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1" i="1" l="1"/>
  <c r="F460" i="1"/>
  <c r="F459" i="1"/>
  <c r="F446" i="1"/>
  <c r="F444" i="1"/>
  <c r="F433" i="1"/>
  <c r="F401" i="1"/>
  <c r="F395" i="1"/>
  <c r="F382" i="1"/>
  <c r="F403" i="1"/>
  <c r="F333" i="1"/>
  <c r="F323" i="1"/>
  <c r="F272" i="1"/>
  <c r="F265" i="1"/>
  <c r="F254" i="1"/>
  <c r="F259" i="1"/>
  <c r="F226" i="1"/>
  <c r="F203" i="1" l="1"/>
  <c r="F204" i="1"/>
  <c r="F205" i="1"/>
  <c r="F172" i="1"/>
  <c r="F140" i="1"/>
  <c r="F613" i="1" l="1"/>
  <c r="N613" i="1" s="1"/>
  <c r="O613" i="1" s="1"/>
  <c r="L613" i="1"/>
  <c r="M613" i="1" s="1"/>
  <c r="J613" i="1"/>
  <c r="K613" i="1" s="1"/>
  <c r="V613" i="1"/>
  <c r="W613" i="1" s="1"/>
  <c r="F243" i="1"/>
  <c r="V243" i="1" s="1"/>
  <c r="W243" i="1" s="1"/>
  <c r="P613" i="1" l="1"/>
  <c r="Q613" i="1" s="1"/>
  <c r="R613" i="1"/>
  <c r="S613" i="1" s="1"/>
  <c r="G613" i="1"/>
  <c r="H613" i="1"/>
  <c r="I613" i="1" s="1"/>
  <c r="T613" i="1"/>
  <c r="U613" i="1" s="1"/>
  <c r="N243" i="1"/>
  <c r="O243" i="1" s="1"/>
  <c r="J243" i="1"/>
  <c r="K243" i="1" s="1"/>
  <c r="P243" i="1"/>
  <c r="Q243" i="1" s="1"/>
  <c r="R243" i="1"/>
  <c r="S243" i="1" s="1"/>
  <c r="L243" i="1"/>
  <c r="M243" i="1" s="1"/>
  <c r="G243" i="1"/>
  <c r="H243" i="1"/>
  <c r="I243" i="1" s="1"/>
  <c r="T243" i="1"/>
  <c r="U243" i="1" s="1"/>
  <c r="G122" i="1"/>
  <c r="G121" i="1"/>
  <c r="G120" i="1"/>
  <c r="F594" i="1" l="1"/>
  <c r="F602" i="1"/>
  <c r="F608" i="1"/>
  <c r="F610" i="1"/>
  <c r="F580" i="1"/>
  <c r="F567" i="1"/>
  <c r="F577" i="1"/>
  <c r="F562" i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8" i="1"/>
  <c r="U38" i="1"/>
  <c r="S38" i="1"/>
  <c r="Q38" i="1"/>
  <c r="O38" i="1"/>
  <c r="F673" i="1" l="1"/>
  <c r="F584" i="1" l="1"/>
  <c r="F412" i="1"/>
  <c r="N401" i="1"/>
  <c r="O401" i="1" s="1"/>
  <c r="W137" i="1"/>
  <c r="U137" i="1"/>
  <c r="S137" i="1"/>
  <c r="Q137" i="1"/>
  <c r="O137" i="1"/>
  <c r="M137" i="1"/>
  <c r="V401" i="1" l="1"/>
  <c r="W401" i="1" s="1"/>
  <c r="G401" i="1"/>
  <c r="L401" i="1"/>
  <c r="M401" i="1" s="1"/>
  <c r="P401" i="1"/>
  <c r="Q401" i="1" s="1"/>
  <c r="R401" i="1"/>
  <c r="S401" i="1" s="1"/>
  <c r="T401" i="1"/>
  <c r="U401" i="1" s="1"/>
  <c r="V62" i="1" l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G62" i="1"/>
  <c r="V627" i="1" l="1"/>
  <c r="W627" i="1" s="1"/>
  <c r="T627" i="1"/>
  <c r="U627" i="1" s="1"/>
  <c r="R627" i="1"/>
  <c r="S627" i="1" s="1"/>
  <c r="P627" i="1"/>
  <c r="Q627" i="1" s="1"/>
  <c r="N627" i="1"/>
  <c r="O627" i="1" s="1"/>
  <c r="L627" i="1"/>
  <c r="M627" i="1" s="1"/>
  <c r="J627" i="1"/>
  <c r="K627" i="1" s="1"/>
  <c r="V288" i="1" l="1"/>
  <c r="W288" i="1" s="1"/>
  <c r="F307" i="1"/>
  <c r="H307" i="1" s="1"/>
  <c r="I307" i="1" s="1"/>
  <c r="L288" i="1" l="1"/>
  <c r="M288" i="1" s="1"/>
  <c r="R288" i="1"/>
  <c r="S288" i="1" s="1"/>
  <c r="T288" i="1"/>
  <c r="U288" i="1" s="1"/>
  <c r="N288" i="1"/>
  <c r="O288" i="1" s="1"/>
  <c r="G288" i="1"/>
  <c r="P288" i="1"/>
  <c r="Q288" i="1" s="1"/>
  <c r="J288" i="1"/>
  <c r="K288" i="1" s="1"/>
  <c r="V307" i="1" l="1"/>
  <c r="W307" i="1" s="1"/>
  <c r="P307" i="1"/>
  <c r="Q307" i="1" s="1"/>
  <c r="N307" i="1"/>
  <c r="O307" i="1" s="1"/>
  <c r="L307" i="1"/>
  <c r="M307" i="1" s="1"/>
  <c r="J307" i="1"/>
  <c r="K307" i="1" s="1"/>
  <c r="T307" i="1"/>
  <c r="U307" i="1" s="1"/>
  <c r="R307" i="1" l="1"/>
  <c r="S307" i="1" s="1"/>
  <c r="G307" i="1"/>
  <c r="F508" i="1"/>
  <c r="F524" i="1"/>
  <c r="F206" i="1"/>
  <c r="F184" i="1"/>
  <c r="F183" i="1"/>
  <c r="F180" i="1"/>
  <c r="F175" i="1"/>
  <c r="F168" i="1"/>
  <c r="F139" i="1"/>
  <c r="F537" i="1" l="1"/>
  <c r="V537" i="1" l="1"/>
  <c r="W537" i="1" s="1"/>
  <c r="J537" i="1" l="1"/>
  <c r="K537" i="1" s="1"/>
  <c r="L537" i="1"/>
  <c r="M537" i="1" s="1"/>
  <c r="N537" i="1"/>
  <c r="O537" i="1" s="1"/>
  <c r="G537" i="1"/>
  <c r="H537" i="1"/>
  <c r="I537" i="1" s="1"/>
  <c r="P537" i="1"/>
  <c r="Q537" i="1" s="1"/>
  <c r="R537" i="1"/>
  <c r="S537" i="1" s="1"/>
  <c r="T537" i="1"/>
  <c r="U537" i="1" s="1"/>
  <c r="F578" i="1"/>
  <c r="V578" i="1" s="1"/>
  <c r="W578" i="1" s="1"/>
  <c r="N578" i="1" l="1"/>
  <c r="O578" i="1" s="1"/>
  <c r="P578" i="1"/>
  <c r="Q578" i="1" s="1"/>
  <c r="G578" i="1"/>
  <c r="H578" i="1"/>
  <c r="I578" i="1" s="1"/>
  <c r="T578" i="1"/>
  <c r="U578" i="1" s="1"/>
  <c r="L578" i="1"/>
  <c r="M578" i="1" s="1"/>
  <c r="R578" i="1"/>
  <c r="S578" i="1" s="1"/>
  <c r="J578" i="1"/>
  <c r="K578" i="1" s="1"/>
  <c r="F600" i="1"/>
  <c r="T600" i="1" s="1"/>
  <c r="F651" i="1"/>
  <c r="P651" i="1" s="1"/>
  <c r="Q651" i="1" s="1"/>
  <c r="V651" i="1" l="1"/>
  <c r="W651" i="1" s="1"/>
  <c r="H600" i="1"/>
  <c r="I600" i="1" s="1"/>
  <c r="J600" i="1"/>
  <c r="K600" i="1" s="1"/>
  <c r="L600" i="1"/>
  <c r="R600" i="1"/>
  <c r="S600" i="1" s="1"/>
  <c r="H651" i="1"/>
  <c r="I651" i="1" s="1"/>
  <c r="U600" i="1"/>
  <c r="N600" i="1"/>
  <c r="O600" i="1" s="1"/>
  <c r="V600" i="1"/>
  <c r="W600" i="1" s="1"/>
  <c r="P600" i="1"/>
  <c r="Q600" i="1" s="1"/>
  <c r="M600" i="1"/>
  <c r="G600" i="1"/>
  <c r="J651" i="1"/>
  <c r="K651" i="1" s="1"/>
  <c r="R651" i="1"/>
  <c r="S651" i="1" s="1"/>
  <c r="G651" i="1"/>
  <c r="L651" i="1"/>
  <c r="M651" i="1" s="1"/>
  <c r="T651" i="1"/>
  <c r="U651" i="1" s="1"/>
  <c r="N651" i="1"/>
  <c r="O651" i="1" s="1"/>
  <c r="F432" i="1" l="1"/>
  <c r="F431" i="1"/>
  <c r="F311" i="1"/>
  <c r="F315" i="1"/>
  <c r="F475" i="1"/>
  <c r="F481" i="1"/>
  <c r="V481" i="1" s="1"/>
  <c r="W481" i="1" s="1"/>
  <c r="F417" i="1"/>
  <c r="F381" i="1"/>
  <c r="F372" i="1"/>
  <c r="F373" i="1"/>
  <c r="F376" i="1"/>
  <c r="F429" i="1"/>
  <c r="F426" i="1"/>
  <c r="F425" i="1"/>
  <c r="F411" i="1"/>
  <c r="F391" i="1"/>
  <c r="F416" i="1"/>
  <c r="F409" i="1"/>
  <c r="F334" i="1"/>
  <c r="F437" i="1"/>
  <c r="F379" i="1"/>
  <c r="F380" i="1"/>
  <c r="F358" i="1"/>
  <c r="F410" i="1"/>
  <c r="F390" i="1"/>
  <c r="G390" i="1" s="1"/>
  <c r="F354" i="1"/>
  <c r="F352" i="1"/>
  <c r="F351" i="1"/>
  <c r="F350" i="1"/>
  <c r="F349" i="1"/>
  <c r="F271" i="1"/>
  <c r="F179" i="1"/>
  <c r="F173" i="1"/>
  <c r="L481" i="1" l="1"/>
  <c r="M481" i="1" s="1"/>
  <c r="P481" i="1"/>
  <c r="Q481" i="1" s="1"/>
  <c r="T481" i="1"/>
  <c r="U481" i="1" s="1"/>
  <c r="G481" i="1"/>
  <c r="J481" i="1"/>
  <c r="K481" i="1" s="1"/>
  <c r="N481" i="1"/>
  <c r="O481" i="1" s="1"/>
  <c r="R481" i="1"/>
  <c r="S481" i="1" s="1"/>
  <c r="N390" i="1"/>
  <c r="O390" i="1" s="1"/>
  <c r="R390" i="1"/>
  <c r="S390" i="1" s="1"/>
  <c r="V390" i="1"/>
  <c r="W390" i="1" s="1"/>
  <c r="L390" i="1"/>
  <c r="M390" i="1" s="1"/>
  <c r="P390" i="1"/>
  <c r="Q390" i="1" s="1"/>
  <c r="T390" i="1"/>
  <c r="U390" i="1" s="1"/>
  <c r="G289" i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N225" i="1"/>
  <c r="L225" i="1"/>
  <c r="J225" i="1"/>
  <c r="V225" i="1"/>
  <c r="T225" i="1"/>
  <c r="R225" i="1"/>
  <c r="P225" i="1"/>
  <c r="V289" i="1" l="1"/>
  <c r="W289" i="1" s="1"/>
  <c r="R289" i="1"/>
  <c r="S289" i="1" s="1"/>
  <c r="T289" i="1"/>
  <c r="U289" i="1" s="1"/>
  <c r="L289" i="1"/>
  <c r="M289" i="1" s="1"/>
  <c r="N289" i="1"/>
  <c r="O289" i="1" s="1"/>
  <c r="P289" i="1"/>
  <c r="Q289" i="1" s="1"/>
  <c r="J289" i="1"/>
  <c r="K289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F590" i="1"/>
  <c r="G69" i="1" l="1"/>
  <c r="F601" i="1" l="1"/>
  <c r="F573" i="1"/>
  <c r="F598" i="1"/>
  <c r="F322" i="1"/>
  <c r="F607" i="1"/>
  <c r="F308" i="1"/>
  <c r="F310" i="1"/>
  <c r="F424" i="1"/>
  <c r="F291" i="1"/>
  <c r="F420" i="1"/>
  <c r="F419" i="1"/>
  <c r="F14" i="1"/>
  <c r="F523" i="1"/>
  <c r="F527" i="1"/>
  <c r="F526" i="1"/>
  <c r="F525" i="1"/>
  <c r="F421" i="1"/>
  <c r="F290" i="1"/>
  <c r="F313" i="1" l="1"/>
  <c r="P313" i="1" s="1"/>
  <c r="Q313" i="1" s="1"/>
  <c r="L313" i="1" l="1"/>
  <c r="M313" i="1" s="1"/>
  <c r="N313" i="1"/>
  <c r="O313" i="1" s="1"/>
  <c r="R313" i="1"/>
  <c r="S313" i="1" s="1"/>
  <c r="G313" i="1"/>
  <c r="H313" i="1"/>
  <c r="I313" i="1" s="1"/>
  <c r="T313" i="1"/>
  <c r="U313" i="1" s="1"/>
  <c r="J313" i="1"/>
  <c r="K313" i="1" s="1"/>
  <c r="V313" i="1"/>
  <c r="W313" i="1" s="1"/>
  <c r="T452" i="1" l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T450" i="1"/>
  <c r="U450" i="1" s="1"/>
  <c r="R450" i="1"/>
  <c r="S450" i="1" s="1"/>
  <c r="P450" i="1"/>
  <c r="Q450" i="1" s="1"/>
  <c r="N450" i="1"/>
  <c r="O450" i="1" s="1"/>
  <c r="L450" i="1"/>
  <c r="M450" i="1" s="1"/>
  <c r="T449" i="1"/>
  <c r="R449" i="1"/>
  <c r="P449" i="1"/>
  <c r="N449" i="1"/>
  <c r="L449" i="1"/>
  <c r="N219" i="1"/>
  <c r="L219" i="1"/>
  <c r="V64" i="1"/>
  <c r="T64" i="1"/>
  <c r="R64" i="1"/>
  <c r="P64" i="1"/>
  <c r="N64" i="1"/>
  <c r="L64" i="1"/>
  <c r="J64" i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2" i="1"/>
  <c r="J162" i="1"/>
  <c r="L162" i="1"/>
  <c r="N162" i="1"/>
  <c r="P162" i="1"/>
  <c r="R162" i="1"/>
  <c r="T162" i="1"/>
  <c r="V162" i="1"/>
  <c r="W113" i="1"/>
  <c r="U113" i="1"/>
  <c r="S113" i="1"/>
  <c r="Q113" i="1"/>
  <c r="O113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31" i="1"/>
  <c r="U131" i="1"/>
  <c r="S131" i="1"/>
  <c r="Q131" i="1"/>
  <c r="O131" i="1"/>
  <c r="M131" i="1"/>
  <c r="W126" i="1"/>
  <c r="U126" i="1"/>
  <c r="S126" i="1"/>
  <c r="Q126" i="1"/>
  <c r="O126" i="1"/>
  <c r="M126" i="1"/>
  <c r="O107" i="1"/>
  <c r="O106" i="1"/>
  <c r="V628" i="1" l="1"/>
  <c r="W628" i="1" s="1"/>
  <c r="T628" i="1"/>
  <c r="U628" i="1" s="1"/>
  <c r="R628" i="1"/>
  <c r="S628" i="1" s="1"/>
  <c r="P628" i="1"/>
  <c r="Q628" i="1" s="1"/>
  <c r="N628" i="1"/>
  <c r="O628" i="1" s="1"/>
  <c r="L628" i="1"/>
  <c r="M628" i="1" s="1"/>
  <c r="H633" i="1"/>
  <c r="H632" i="1"/>
  <c r="H629" i="1"/>
  <c r="V636" i="1"/>
  <c r="W636" i="1" s="1"/>
  <c r="T636" i="1"/>
  <c r="U636" i="1" s="1"/>
  <c r="R636" i="1"/>
  <c r="S636" i="1" s="1"/>
  <c r="P636" i="1"/>
  <c r="Q636" i="1" s="1"/>
  <c r="N636" i="1"/>
  <c r="O636" i="1" s="1"/>
  <c r="L636" i="1"/>
  <c r="M636" i="1" s="1"/>
  <c r="J636" i="1"/>
  <c r="K636" i="1" s="1"/>
  <c r="V635" i="1"/>
  <c r="W635" i="1" s="1"/>
  <c r="T635" i="1"/>
  <c r="U635" i="1" s="1"/>
  <c r="R635" i="1"/>
  <c r="S635" i="1" s="1"/>
  <c r="P635" i="1"/>
  <c r="Q635" i="1" s="1"/>
  <c r="N635" i="1"/>
  <c r="O635" i="1" s="1"/>
  <c r="L635" i="1"/>
  <c r="M635" i="1" s="1"/>
  <c r="J635" i="1"/>
  <c r="K635" i="1" s="1"/>
  <c r="V634" i="1"/>
  <c r="W634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V633" i="1"/>
  <c r="W633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V632" i="1"/>
  <c r="W632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V631" i="1"/>
  <c r="W6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V630" i="1"/>
  <c r="W630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V629" i="1"/>
  <c r="W629" i="1" s="1"/>
  <c r="T629" i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T626" i="1"/>
  <c r="R626" i="1"/>
  <c r="P626" i="1"/>
  <c r="L626" i="1"/>
  <c r="V626" i="1"/>
  <c r="N626" i="1"/>
  <c r="J626" i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L454" i="1"/>
  <c r="J454" i="1"/>
  <c r="N454" i="1"/>
  <c r="P454" i="1"/>
  <c r="R454" i="1"/>
  <c r="T454" i="1"/>
  <c r="V454" i="1"/>
  <c r="V456" i="1"/>
  <c r="W456" i="1" s="1"/>
  <c r="T456" i="1"/>
  <c r="U456" i="1" s="1"/>
  <c r="R456" i="1"/>
  <c r="S456" i="1" s="1"/>
  <c r="P456" i="1"/>
  <c r="Q456" i="1" s="1"/>
  <c r="N456" i="1"/>
  <c r="O456" i="1" s="1"/>
  <c r="L456" i="1"/>
  <c r="M456" i="1" s="1"/>
  <c r="J456" i="1"/>
  <c r="K456" i="1" s="1"/>
  <c r="H695" i="1"/>
  <c r="H694" i="1"/>
  <c r="J695" i="1"/>
  <c r="J694" i="1"/>
  <c r="V695" i="1"/>
  <c r="W695" i="1" s="1"/>
  <c r="T695" i="1"/>
  <c r="U695" i="1" s="1"/>
  <c r="R695" i="1"/>
  <c r="S695" i="1" s="1"/>
  <c r="P695" i="1"/>
  <c r="Q695" i="1" s="1"/>
  <c r="N695" i="1"/>
  <c r="O695" i="1" s="1"/>
  <c r="L695" i="1"/>
  <c r="M695" i="1" s="1"/>
  <c r="V694" i="1"/>
  <c r="W694" i="1" s="1"/>
  <c r="T694" i="1"/>
  <c r="U694" i="1" s="1"/>
  <c r="R694" i="1"/>
  <c r="S694" i="1" s="1"/>
  <c r="P694" i="1"/>
  <c r="Q694" i="1" s="1"/>
  <c r="N694" i="1"/>
  <c r="O694" i="1" s="1"/>
  <c r="L694" i="1"/>
  <c r="M694" i="1" s="1"/>
  <c r="V693" i="1"/>
  <c r="W693" i="1" s="1"/>
  <c r="T693" i="1"/>
  <c r="U693" i="1" s="1"/>
  <c r="R693" i="1"/>
  <c r="S693" i="1" s="1"/>
  <c r="P693" i="1"/>
  <c r="Q693" i="1" s="1"/>
  <c r="N693" i="1"/>
  <c r="O693" i="1" s="1"/>
  <c r="L693" i="1"/>
  <c r="M693" i="1" s="1"/>
  <c r="V691" i="1"/>
  <c r="W691" i="1" s="1"/>
  <c r="T691" i="1"/>
  <c r="U691" i="1" s="1"/>
  <c r="R691" i="1"/>
  <c r="S691" i="1" s="1"/>
  <c r="P691" i="1"/>
  <c r="Q691" i="1" s="1"/>
  <c r="N691" i="1"/>
  <c r="O691" i="1" s="1"/>
  <c r="L691" i="1"/>
  <c r="M691" i="1" s="1"/>
  <c r="V690" i="1"/>
  <c r="W690" i="1" s="1"/>
  <c r="T690" i="1"/>
  <c r="U690" i="1" s="1"/>
  <c r="R690" i="1"/>
  <c r="S690" i="1" s="1"/>
  <c r="P690" i="1"/>
  <c r="Q690" i="1" s="1"/>
  <c r="N690" i="1"/>
  <c r="O690" i="1" s="1"/>
  <c r="L690" i="1"/>
  <c r="M690" i="1" s="1"/>
  <c r="V663" i="1"/>
  <c r="W663" i="1" s="1"/>
  <c r="T663" i="1"/>
  <c r="U663" i="1" s="1"/>
  <c r="R663" i="1"/>
  <c r="S663" i="1" s="1"/>
  <c r="P663" i="1"/>
  <c r="Q663" i="1" s="1"/>
  <c r="V662" i="1"/>
  <c r="W662" i="1" s="1"/>
  <c r="T662" i="1"/>
  <c r="U662" i="1" s="1"/>
  <c r="R662" i="1"/>
  <c r="S662" i="1" s="1"/>
  <c r="P662" i="1"/>
  <c r="Q662" i="1" s="1"/>
  <c r="V661" i="1"/>
  <c r="W661" i="1" s="1"/>
  <c r="T661" i="1"/>
  <c r="U661" i="1" s="1"/>
  <c r="R661" i="1"/>
  <c r="S661" i="1" s="1"/>
  <c r="P661" i="1"/>
  <c r="Q661" i="1" s="1"/>
  <c r="V660" i="1"/>
  <c r="W660" i="1" s="1"/>
  <c r="T660" i="1"/>
  <c r="U660" i="1" s="1"/>
  <c r="R660" i="1"/>
  <c r="S660" i="1" s="1"/>
  <c r="P660" i="1"/>
  <c r="Q660" i="1" s="1"/>
  <c r="V659" i="1"/>
  <c r="W659" i="1" s="1"/>
  <c r="T659" i="1"/>
  <c r="U659" i="1" s="1"/>
  <c r="R659" i="1"/>
  <c r="S659" i="1" s="1"/>
  <c r="P659" i="1"/>
  <c r="Q659" i="1" s="1"/>
  <c r="V658" i="1"/>
  <c r="W658" i="1" s="1"/>
  <c r="T658" i="1"/>
  <c r="U658" i="1" s="1"/>
  <c r="R658" i="1"/>
  <c r="S658" i="1" s="1"/>
  <c r="P658" i="1"/>
  <c r="Q658" i="1" s="1"/>
  <c r="V657" i="1"/>
  <c r="W657" i="1" s="1"/>
  <c r="T657" i="1"/>
  <c r="U657" i="1" s="1"/>
  <c r="R657" i="1"/>
  <c r="S657" i="1" s="1"/>
  <c r="P657" i="1"/>
  <c r="Q657" i="1" s="1"/>
  <c r="V656" i="1"/>
  <c r="W656" i="1" s="1"/>
  <c r="T656" i="1"/>
  <c r="U656" i="1" s="1"/>
  <c r="R656" i="1"/>
  <c r="S656" i="1" s="1"/>
  <c r="P656" i="1"/>
  <c r="Q656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H681" i="1"/>
  <c r="I681" i="1" s="1"/>
  <c r="V680" i="1"/>
  <c r="W680" i="1" s="1"/>
  <c r="T680" i="1"/>
  <c r="U680" i="1" s="1"/>
  <c r="R680" i="1"/>
  <c r="S680" i="1" s="1"/>
  <c r="P680" i="1"/>
  <c r="Q680" i="1" s="1"/>
  <c r="N680" i="1"/>
  <c r="O680" i="1" s="1"/>
  <c r="L680" i="1"/>
  <c r="M680" i="1" s="1"/>
  <c r="J680" i="1"/>
  <c r="K680" i="1" s="1"/>
  <c r="H680" i="1"/>
  <c r="I680" i="1" s="1"/>
  <c r="V678" i="1"/>
  <c r="W678" i="1" s="1"/>
  <c r="T678" i="1"/>
  <c r="U678" i="1" s="1"/>
  <c r="R678" i="1"/>
  <c r="S678" i="1" s="1"/>
  <c r="V677" i="1"/>
  <c r="W677" i="1" s="1"/>
  <c r="T677" i="1"/>
  <c r="U677" i="1" s="1"/>
  <c r="R677" i="1"/>
  <c r="S677" i="1" s="1"/>
  <c r="V676" i="1"/>
  <c r="W676" i="1" s="1"/>
  <c r="T676" i="1"/>
  <c r="U676" i="1" s="1"/>
  <c r="R676" i="1"/>
  <c r="S676" i="1" s="1"/>
  <c r="V675" i="1"/>
  <c r="W675" i="1" s="1"/>
  <c r="T675" i="1"/>
  <c r="U675" i="1" s="1"/>
  <c r="R675" i="1"/>
  <c r="S675" i="1" s="1"/>
  <c r="V674" i="1"/>
  <c r="W674" i="1" s="1"/>
  <c r="T674" i="1"/>
  <c r="U674" i="1" s="1"/>
  <c r="R674" i="1"/>
  <c r="S674" i="1" s="1"/>
  <c r="P674" i="1"/>
  <c r="Q674" i="1" s="1"/>
  <c r="N674" i="1"/>
  <c r="O674" i="1" s="1"/>
  <c r="L674" i="1"/>
  <c r="M674" i="1" s="1"/>
  <c r="V453" i="1" l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F699" i="1"/>
  <c r="T699" i="1" s="1"/>
  <c r="U699" i="1" s="1"/>
  <c r="F700" i="1"/>
  <c r="T700" i="1" s="1"/>
  <c r="U700" i="1" s="1"/>
  <c r="F698" i="1"/>
  <c r="R698" i="1" s="1"/>
  <c r="S698" i="1" s="1"/>
  <c r="T696" i="1"/>
  <c r="U696" i="1" s="1"/>
  <c r="R696" i="1"/>
  <c r="S696" i="1" s="1"/>
  <c r="P696" i="1"/>
  <c r="Q696" i="1" s="1"/>
  <c r="N696" i="1"/>
  <c r="O696" i="1" s="1"/>
  <c r="L696" i="1"/>
  <c r="M696" i="1" s="1"/>
  <c r="J696" i="1"/>
  <c r="K696" i="1" s="1"/>
  <c r="T692" i="1"/>
  <c r="U692" i="1" s="1"/>
  <c r="R692" i="1"/>
  <c r="S692" i="1" s="1"/>
  <c r="P692" i="1"/>
  <c r="Q692" i="1" s="1"/>
  <c r="N692" i="1"/>
  <c r="O692" i="1" s="1"/>
  <c r="L692" i="1"/>
  <c r="M692" i="1" s="1"/>
  <c r="J692" i="1"/>
  <c r="K692" i="1" s="1"/>
  <c r="F586" i="1"/>
  <c r="F585" i="1"/>
  <c r="L698" i="1" l="1"/>
  <c r="M698" i="1" s="1"/>
  <c r="N698" i="1"/>
  <c r="O698" i="1" s="1"/>
  <c r="N700" i="1"/>
  <c r="O700" i="1" s="1"/>
  <c r="P700" i="1"/>
  <c r="Q700" i="1" s="1"/>
  <c r="T698" i="1"/>
  <c r="U698" i="1" s="1"/>
  <c r="N699" i="1"/>
  <c r="O699" i="1" s="1"/>
  <c r="P699" i="1"/>
  <c r="Q699" i="1" s="1"/>
  <c r="J699" i="1"/>
  <c r="K699" i="1" s="1"/>
  <c r="R699" i="1"/>
  <c r="S699" i="1" s="1"/>
  <c r="L699" i="1"/>
  <c r="M699" i="1" s="1"/>
  <c r="J700" i="1"/>
  <c r="K700" i="1" s="1"/>
  <c r="R700" i="1"/>
  <c r="S700" i="1" s="1"/>
  <c r="L700" i="1"/>
  <c r="M700" i="1" s="1"/>
  <c r="P698" i="1"/>
  <c r="Q698" i="1" s="1"/>
  <c r="J698" i="1"/>
  <c r="K698" i="1" s="1"/>
  <c r="V545" i="1" l="1"/>
  <c r="W545" i="1" s="1"/>
  <c r="T545" i="1"/>
  <c r="U545" i="1" s="1"/>
  <c r="R545" i="1"/>
  <c r="S545" i="1" s="1"/>
  <c r="P545" i="1"/>
  <c r="Q545" i="1" s="1"/>
  <c r="N545" i="1"/>
  <c r="O545" i="1" s="1"/>
  <c r="L545" i="1"/>
  <c r="M545" i="1" s="1"/>
  <c r="J545" i="1"/>
  <c r="K545" i="1" s="1"/>
  <c r="H545" i="1"/>
  <c r="I545" i="1" s="1"/>
  <c r="V549" i="1"/>
  <c r="W549" i="1" s="1"/>
  <c r="T549" i="1"/>
  <c r="U549" i="1" s="1"/>
  <c r="R549" i="1"/>
  <c r="S549" i="1" s="1"/>
  <c r="P549" i="1"/>
  <c r="Q549" i="1" s="1"/>
  <c r="N549" i="1"/>
  <c r="O549" i="1" s="1"/>
  <c r="L549" i="1"/>
  <c r="M549" i="1" s="1"/>
  <c r="J549" i="1"/>
  <c r="K549" i="1" s="1"/>
  <c r="H549" i="1"/>
  <c r="I549" i="1" s="1"/>
  <c r="V576" i="1"/>
  <c r="W576" i="1" s="1"/>
  <c r="T576" i="1"/>
  <c r="U576" i="1" s="1"/>
  <c r="R576" i="1"/>
  <c r="S576" i="1" s="1"/>
  <c r="P576" i="1"/>
  <c r="Q576" i="1" s="1"/>
  <c r="N576" i="1"/>
  <c r="O576" i="1" s="1"/>
  <c r="L576" i="1"/>
  <c r="M576" i="1" s="1"/>
  <c r="V579" i="1"/>
  <c r="W579" i="1" s="1"/>
  <c r="T579" i="1"/>
  <c r="U579" i="1" s="1"/>
  <c r="R579" i="1"/>
  <c r="S579" i="1" s="1"/>
  <c r="P579" i="1"/>
  <c r="Q579" i="1" s="1"/>
  <c r="N579" i="1"/>
  <c r="O579" i="1" s="1"/>
  <c r="L579" i="1"/>
  <c r="M579" i="1" s="1"/>
  <c r="H585" i="1"/>
  <c r="I585" i="1" s="1"/>
  <c r="J585" i="1"/>
  <c r="K585" i="1" s="1"/>
  <c r="L585" i="1"/>
  <c r="M585" i="1" s="1"/>
  <c r="N585" i="1"/>
  <c r="O585" i="1" s="1"/>
  <c r="P585" i="1"/>
  <c r="Q585" i="1" s="1"/>
  <c r="R585" i="1"/>
  <c r="S585" i="1" s="1"/>
  <c r="T585" i="1"/>
  <c r="U585" i="1" s="1"/>
  <c r="V585" i="1"/>
  <c r="W585" i="1" s="1"/>
  <c r="H586" i="1"/>
  <c r="I586" i="1" s="1"/>
  <c r="J586" i="1"/>
  <c r="K586" i="1" s="1"/>
  <c r="L586" i="1"/>
  <c r="M586" i="1" s="1"/>
  <c r="N586" i="1"/>
  <c r="O586" i="1" s="1"/>
  <c r="P586" i="1"/>
  <c r="Q586" i="1" s="1"/>
  <c r="R586" i="1"/>
  <c r="S586" i="1" s="1"/>
  <c r="T586" i="1"/>
  <c r="U586" i="1" s="1"/>
  <c r="V586" i="1"/>
  <c r="W586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H574" i="1"/>
  <c r="I574" i="1" s="1"/>
  <c r="V568" i="1"/>
  <c r="W568" i="1" s="1"/>
  <c r="T568" i="1"/>
  <c r="U568" i="1" s="1"/>
  <c r="R568" i="1"/>
  <c r="S568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H507" i="1"/>
  <c r="H506" i="1"/>
  <c r="V512" i="1"/>
  <c r="W512" i="1" s="1"/>
  <c r="T512" i="1"/>
  <c r="U512" i="1" s="1"/>
  <c r="R512" i="1"/>
  <c r="S512" i="1" s="1"/>
  <c r="P512" i="1"/>
  <c r="Q512" i="1" s="1"/>
  <c r="N512" i="1"/>
  <c r="O512" i="1" s="1"/>
  <c r="L512" i="1"/>
  <c r="M512" i="1" s="1"/>
  <c r="J512" i="1"/>
  <c r="K512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V510" i="1"/>
  <c r="W510" i="1" s="1"/>
  <c r="T510" i="1"/>
  <c r="U510" i="1" s="1"/>
  <c r="R510" i="1"/>
  <c r="S510" i="1" s="1"/>
  <c r="P510" i="1"/>
  <c r="Q510" i="1" s="1"/>
  <c r="N510" i="1"/>
  <c r="O510" i="1" s="1"/>
  <c r="L510" i="1"/>
  <c r="M510" i="1" s="1"/>
  <c r="J510" i="1"/>
  <c r="K510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J497" i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J504" i="1"/>
  <c r="K504" i="1" s="1"/>
  <c r="H504" i="1"/>
  <c r="I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T500" i="1"/>
  <c r="V500" i="1"/>
  <c r="R500" i="1"/>
  <c r="P500" i="1"/>
  <c r="N500" i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H500" i="1"/>
  <c r="J500" i="1"/>
  <c r="L500" i="1"/>
  <c r="V499" i="1"/>
  <c r="N499" i="1"/>
  <c r="L499" i="1"/>
  <c r="P499" i="1"/>
  <c r="R499" i="1"/>
  <c r="T499" i="1"/>
  <c r="V447" i="1" l="1"/>
  <c r="W447" i="1" s="1"/>
  <c r="V448" i="1"/>
  <c r="W448" i="1" s="1"/>
  <c r="T447" i="1"/>
  <c r="R447" i="1"/>
  <c r="P447" i="1"/>
  <c r="N447" i="1"/>
  <c r="T448" i="1"/>
  <c r="R448" i="1"/>
  <c r="P448" i="1"/>
  <c r="N448" i="1"/>
  <c r="L448" i="1"/>
  <c r="J448" i="1"/>
  <c r="H448" i="1"/>
  <c r="N360" i="1"/>
  <c r="O360" i="1" s="1"/>
  <c r="L360" i="1"/>
  <c r="M360" i="1" s="1"/>
  <c r="J360" i="1"/>
  <c r="K360" i="1" s="1"/>
  <c r="H360" i="1"/>
  <c r="I360" i="1" s="1"/>
  <c r="L414" i="1"/>
  <c r="M414" i="1" s="1"/>
  <c r="N414" i="1"/>
  <c r="O414" i="1" s="1"/>
  <c r="P414" i="1"/>
  <c r="Q414" i="1" s="1"/>
  <c r="R414" i="1"/>
  <c r="S414" i="1" s="1"/>
  <c r="T414" i="1"/>
  <c r="U414" i="1" s="1"/>
  <c r="V414" i="1"/>
  <c r="W414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J331" i="1"/>
  <c r="V331" i="1"/>
  <c r="W331" i="1" s="1"/>
  <c r="T331" i="1"/>
  <c r="U331" i="1" s="1"/>
  <c r="R331" i="1"/>
  <c r="S331" i="1" s="1"/>
  <c r="P331" i="1"/>
  <c r="Q331" i="1" s="1"/>
  <c r="N331" i="1"/>
  <c r="O331" i="1" s="1"/>
  <c r="L331" i="1"/>
  <c r="M331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H324" i="1"/>
  <c r="I324" i="1" s="1"/>
  <c r="V325" i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J325" i="1"/>
  <c r="K325" i="1" s="1"/>
  <c r="H325" i="1"/>
  <c r="I325" i="1" s="1"/>
  <c r="V326" i="1"/>
  <c r="T326" i="1"/>
  <c r="R326" i="1"/>
  <c r="P326" i="1"/>
  <c r="N326" i="1"/>
  <c r="L326" i="1"/>
  <c r="J326" i="1"/>
  <c r="H326" i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V287" i="1"/>
  <c r="T287" i="1"/>
  <c r="R287" i="1"/>
  <c r="P287" i="1"/>
  <c r="N287" i="1"/>
  <c r="L287" i="1"/>
  <c r="J287" i="1"/>
  <c r="H246" i="1"/>
  <c r="I246" i="1" s="1"/>
  <c r="J246" i="1"/>
  <c r="K246" i="1" s="1"/>
  <c r="L246" i="1"/>
  <c r="M246" i="1" s="1"/>
  <c r="N246" i="1"/>
  <c r="O246" i="1" s="1"/>
  <c r="P246" i="1"/>
  <c r="Q246" i="1" s="1"/>
  <c r="R246" i="1"/>
  <c r="S246" i="1" s="1"/>
  <c r="T246" i="1"/>
  <c r="U246" i="1" s="1"/>
  <c r="V246" i="1"/>
  <c r="W246" i="1" s="1"/>
  <c r="H249" i="1"/>
  <c r="I249" i="1" s="1"/>
  <c r="J249" i="1"/>
  <c r="K249" i="1" s="1"/>
  <c r="L249" i="1"/>
  <c r="M249" i="1" s="1"/>
  <c r="N249" i="1"/>
  <c r="O249" i="1" s="1"/>
  <c r="P249" i="1"/>
  <c r="Q249" i="1" s="1"/>
  <c r="R249" i="1"/>
  <c r="S249" i="1" s="1"/>
  <c r="T249" i="1"/>
  <c r="U249" i="1" s="1"/>
  <c r="V249" i="1"/>
  <c r="W249" i="1" s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J490" i="1"/>
  <c r="K490" i="1" s="1"/>
  <c r="G467" i="1"/>
  <c r="G466" i="1"/>
  <c r="G465" i="1"/>
  <c r="G464" i="1" l="1"/>
  <c r="V195" i="1"/>
  <c r="W195" i="1" s="1"/>
  <c r="T195" i="1"/>
  <c r="U195" i="1" s="1"/>
  <c r="R195" i="1"/>
  <c r="S195" i="1" s="1"/>
  <c r="P195" i="1"/>
  <c r="Q195" i="1" s="1"/>
  <c r="N195" i="1"/>
  <c r="O195" i="1" s="1"/>
  <c r="L195" i="1"/>
  <c r="M195" i="1" s="1"/>
  <c r="J227" i="1"/>
  <c r="N227" i="1"/>
  <c r="L227" i="1"/>
  <c r="L228" i="1"/>
  <c r="N242" i="1"/>
  <c r="L242" i="1"/>
  <c r="J242" i="1"/>
  <c r="P242" i="1"/>
  <c r="R242" i="1"/>
  <c r="T242" i="1"/>
  <c r="V242" i="1"/>
  <c r="H242" i="1"/>
  <c r="W225" i="1"/>
  <c r="U225" i="1"/>
  <c r="S225" i="1"/>
  <c r="Q225" i="1"/>
  <c r="O225" i="1"/>
  <c r="M225" i="1"/>
  <c r="K225" i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V214" i="1"/>
  <c r="W214" i="1" s="1"/>
  <c r="T214" i="1"/>
  <c r="U214" i="1" s="1"/>
  <c r="R214" i="1"/>
  <c r="S214" i="1" s="1"/>
  <c r="P214" i="1"/>
  <c r="Q214" i="1" s="1"/>
  <c r="N214" i="1"/>
  <c r="O214" i="1" s="1"/>
  <c r="V216" i="1"/>
  <c r="W216" i="1" s="1"/>
  <c r="T216" i="1"/>
  <c r="U216" i="1" s="1"/>
  <c r="V215" i="1"/>
  <c r="W215" i="1" s="1"/>
  <c r="T215" i="1"/>
  <c r="U215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01" i="1"/>
  <c r="T201" i="1"/>
  <c r="T197" i="1"/>
  <c r="T198" i="1"/>
  <c r="T199" i="1"/>
  <c r="T200" i="1"/>
  <c r="V197" i="1"/>
  <c r="V198" i="1"/>
  <c r="V199" i="1"/>
  <c r="V200" i="1"/>
  <c r="V196" i="1"/>
  <c r="T196" i="1"/>
  <c r="R201" i="1"/>
  <c r="R197" i="1"/>
  <c r="R198" i="1"/>
  <c r="R199" i="1"/>
  <c r="R200" i="1"/>
  <c r="R196" i="1"/>
  <c r="P201" i="1"/>
  <c r="P197" i="1"/>
  <c r="Q197" i="1" s="1"/>
  <c r="P198" i="1"/>
  <c r="Q198" i="1" s="1"/>
  <c r="P199" i="1"/>
  <c r="Q199" i="1" s="1"/>
  <c r="P200" i="1"/>
  <c r="Q200" i="1" s="1"/>
  <c r="P196" i="1"/>
  <c r="N201" i="1"/>
  <c r="N197" i="1"/>
  <c r="N198" i="1"/>
  <c r="N199" i="1"/>
  <c r="N200" i="1"/>
  <c r="N196" i="1"/>
  <c r="L201" i="1"/>
  <c r="L197" i="1"/>
  <c r="L198" i="1"/>
  <c r="L199" i="1"/>
  <c r="L200" i="1"/>
  <c r="L196" i="1"/>
  <c r="V194" i="1"/>
  <c r="W194" i="1" s="1"/>
  <c r="T194" i="1"/>
  <c r="U194" i="1" s="1"/>
  <c r="R194" i="1"/>
  <c r="S194" i="1" s="1"/>
  <c r="P194" i="1"/>
  <c r="Q194" i="1" s="1"/>
  <c r="N194" i="1"/>
  <c r="O194" i="1" s="1"/>
  <c r="V193" i="1"/>
  <c r="W193" i="1" s="1"/>
  <c r="T193" i="1"/>
  <c r="U193" i="1" s="1"/>
  <c r="R193" i="1"/>
  <c r="S193" i="1" s="1"/>
  <c r="P193" i="1"/>
  <c r="Q193" i="1" s="1"/>
  <c r="N193" i="1"/>
  <c r="O193" i="1" s="1"/>
  <c r="V192" i="1"/>
  <c r="W192" i="1" s="1"/>
  <c r="T192" i="1"/>
  <c r="U192" i="1" s="1"/>
  <c r="R192" i="1"/>
  <c r="S192" i="1" s="1"/>
  <c r="P192" i="1"/>
  <c r="Q192" i="1" s="1"/>
  <c r="N192" i="1"/>
  <c r="O192" i="1" s="1"/>
  <c r="T191" i="1"/>
  <c r="V191" i="1"/>
  <c r="R191" i="1"/>
  <c r="P191" i="1"/>
  <c r="N191" i="1"/>
  <c r="V135" i="1" l="1"/>
  <c r="T135" i="1"/>
  <c r="R135" i="1"/>
  <c r="P135" i="1"/>
  <c r="N135" i="1"/>
  <c r="L135" i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P134" i="1"/>
  <c r="Q134" i="1" s="1"/>
  <c r="N134" i="1"/>
  <c r="O134" i="1" s="1"/>
  <c r="L134" i="1"/>
  <c r="M134" i="1" s="1"/>
  <c r="J134" i="1"/>
  <c r="K134" i="1" s="1"/>
  <c r="V105" i="1"/>
  <c r="W105" i="1" s="1"/>
  <c r="T105" i="1"/>
  <c r="U105" i="1" s="1"/>
  <c r="R105" i="1"/>
  <c r="S105" i="1" s="1"/>
  <c r="P105" i="1"/>
  <c r="Q105" i="1" s="1"/>
  <c r="N105" i="1"/>
  <c r="O105" i="1" s="1"/>
  <c r="L105" i="1"/>
  <c r="M105" i="1" s="1"/>
  <c r="J105" i="1"/>
  <c r="K105" i="1" s="1"/>
  <c r="L95" i="1"/>
  <c r="J95" i="1"/>
  <c r="J98" i="1"/>
  <c r="T97" i="1"/>
  <c r="V97" i="1"/>
  <c r="R97" i="1"/>
  <c r="P97" i="1"/>
  <c r="N97" i="1"/>
  <c r="J97" i="1"/>
  <c r="L97" i="1"/>
  <c r="G330" i="1" l="1"/>
  <c r="F263" i="1" l="1"/>
  <c r="F264" i="1"/>
  <c r="V263" i="1" l="1"/>
  <c r="W263" i="1" s="1"/>
  <c r="J263" i="1"/>
  <c r="K263" i="1" s="1"/>
  <c r="L263" i="1"/>
  <c r="M263" i="1" s="1"/>
  <c r="N263" i="1"/>
  <c r="O263" i="1" s="1"/>
  <c r="P263" i="1"/>
  <c r="Q263" i="1" s="1"/>
  <c r="H263" i="1"/>
  <c r="I263" i="1" s="1"/>
  <c r="R263" i="1"/>
  <c r="S263" i="1" s="1"/>
  <c r="T263" i="1"/>
  <c r="U263" i="1" s="1"/>
  <c r="V264" i="1"/>
  <c r="W264" i="1" s="1"/>
  <c r="H264" i="1"/>
  <c r="I264" i="1" s="1"/>
  <c r="J264" i="1"/>
  <c r="K264" i="1" s="1"/>
  <c r="L264" i="1"/>
  <c r="M264" i="1" s="1"/>
  <c r="N264" i="1"/>
  <c r="O264" i="1" s="1"/>
  <c r="P264" i="1"/>
  <c r="Q264" i="1" s="1"/>
  <c r="R264" i="1"/>
  <c r="S264" i="1" s="1"/>
  <c r="T264" i="1"/>
  <c r="U264" i="1" s="1"/>
  <c r="G264" i="1"/>
  <c r="G263" i="1"/>
  <c r="F611" i="1"/>
  <c r="H607" i="1" l="1"/>
  <c r="I607" i="1" s="1"/>
  <c r="N607" i="1"/>
  <c r="O607" i="1" s="1"/>
  <c r="L607" i="1"/>
  <c r="M607" i="1" s="1"/>
  <c r="T607" i="1"/>
  <c r="U607" i="1" s="1"/>
  <c r="V607" i="1"/>
  <c r="W607" i="1" s="1"/>
  <c r="P607" i="1"/>
  <c r="Q607" i="1" s="1"/>
  <c r="R607" i="1"/>
  <c r="S607" i="1" s="1"/>
  <c r="J607" i="1"/>
  <c r="K607" i="1" s="1"/>
  <c r="H611" i="1"/>
  <c r="I611" i="1" s="1"/>
  <c r="N611" i="1"/>
  <c r="O611" i="1" s="1"/>
  <c r="L611" i="1"/>
  <c r="M611" i="1" s="1"/>
  <c r="T611" i="1"/>
  <c r="U611" i="1" s="1"/>
  <c r="V611" i="1"/>
  <c r="W611" i="1" s="1"/>
  <c r="J611" i="1"/>
  <c r="K611" i="1" s="1"/>
  <c r="P611" i="1"/>
  <c r="Q611" i="1" s="1"/>
  <c r="R611" i="1"/>
  <c r="S611" i="1" s="1"/>
  <c r="N310" i="1"/>
  <c r="O310" i="1" s="1"/>
  <c r="L310" i="1"/>
  <c r="M310" i="1" s="1"/>
  <c r="J310" i="1"/>
  <c r="K310" i="1" s="1"/>
  <c r="H310" i="1"/>
  <c r="I310" i="1" s="1"/>
  <c r="V310" i="1"/>
  <c r="W310" i="1" s="1"/>
  <c r="T310" i="1"/>
  <c r="U310" i="1" s="1"/>
  <c r="R310" i="1"/>
  <c r="S310" i="1" s="1"/>
  <c r="P310" i="1"/>
  <c r="Q310" i="1" s="1"/>
  <c r="F138" i="1"/>
  <c r="N180" i="1" l="1"/>
  <c r="O180" i="1" s="1"/>
  <c r="L180" i="1"/>
  <c r="M180" i="1" s="1"/>
  <c r="J180" i="1"/>
  <c r="K180" i="1" s="1"/>
  <c r="R180" i="1"/>
  <c r="S180" i="1" s="1"/>
  <c r="H180" i="1"/>
  <c r="I180" i="1" s="1"/>
  <c r="P180" i="1"/>
  <c r="Q180" i="1" s="1"/>
  <c r="V180" i="1"/>
  <c r="W180" i="1" s="1"/>
  <c r="T180" i="1"/>
  <c r="U180" i="1" s="1"/>
  <c r="N138" i="1"/>
  <c r="O138" i="1" s="1"/>
  <c r="L138" i="1"/>
  <c r="M138" i="1" s="1"/>
  <c r="J138" i="1"/>
  <c r="V138" i="1"/>
  <c r="W138" i="1" s="1"/>
  <c r="T138" i="1"/>
  <c r="U138" i="1" s="1"/>
  <c r="R138" i="1"/>
  <c r="S138" i="1" s="1"/>
  <c r="P138" i="1"/>
  <c r="Q138" i="1" s="1"/>
  <c r="G180" i="1"/>
  <c r="L28" i="1" l="1"/>
  <c r="N28" i="1"/>
  <c r="P28" i="1"/>
  <c r="R28" i="1"/>
  <c r="T28" i="1"/>
  <c r="H20" i="1"/>
  <c r="I20" i="1" s="1"/>
  <c r="H21" i="1"/>
  <c r="I21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69" i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155" i="1"/>
  <c r="W155" i="1" s="1"/>
  <c r="T155" i="1"/>
  <c r="U155" i="1" s="1"/>
  <c r="R155" i="1"/>
  <c r="S155" i="1" s="1"/>
  <c r="P155" i="1"/>
  <c r="Q155" i="1" s="1"/>
  <c r="N155" i="1"/>
  <c r="O155" i="1" s="1"/>
  <c r="L155" i="1"/>
  <c r="M155" i="1" s="1"/>
  <c r="J155" i="1"/>
  <c r="K155" i="1" s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1" i="1"/>
  <c r="T151" i="1"/>
  <c r="F514" i="1" l="1"/>
  <c r="F513" i="1"/>
  <c r="T513" i="1" l="1"/>
  <c r="U513" i="1" s="1"/>
  <c r="L513" i="1"/>
  <c r="M513" i="1" s="1"/>
  <c r="R513" i="1"/>
  <c r="S513" i="1" s="1"/>
  <c r="J513" i="1"/>
  <c r="K513" i="1" s="1"/>
  <c r="P513" i="1"/>
  <c r="Q513" i="1" s="1"/>
  <c r="N513" i="1"/>
  <c r="O513" i="1" s="1"/>
  <c r="H513" i="1"/>
  <c r="I513" i="1" s="1"/>
  <c r="V513" i="1"/>
  <c r="W513" i="1" s="1"/>
  <c r="V514" i="1"/>
  <c r="W514" i="1" s="1"/>
  <c r="P514" i="1"/>
  <c r="Q514" i="1" s="1"/>
  <c r="T514" i="1"/>
  <c r="U514" i="1" s="1"/>
  <c r="J514" i="1"/>
  <c r="K514" i="1" s="1"/>
  <c r="N514" i="1"/>
  <c r="O514" i="1" s="1"/>
  <c r="R514" i="1"/>
  <c r="S514" i="1" s="1"/>
  <c r="L514" i="1"/>
  <c r="M514" i="1" s="1"/>
  <c r="H514" i="1"/>
  <c r="I514" i="1" s="1"/>
  <c r="G514" i="1"/>
  <c r="G513" i="1"/>
  <c r="R151" i="1"/>
  <c r="P151" i="1"/>
  <c r="N151" i="1"/>
  <c r="L151" i="1"/>
  <c r="V150" i="1"/>
  <c r="T150" i="1"/>
  <c r="R150" i="1"/>
  <c r="P150" i="1"/>
  <c r="N150" i="1"/>
  <c r="L150" i="1"/>
  <c r="J150" i="1"/>
  <c r="J151" i="1"/>
  <c r="V57" i="1"/>
  <c r="T57" i="1"/>
  <c r="R57" i="1"/>
  <c r="P57" i="1"/>
  <c r="N57" i="1"/>
  <c r="L57" i="1"/>
  <c r="J57" i="1"/>
  <c r="G657" i="1" l="1"/>
  <c r="G656" i="1"/>
  <c r="G658" i="1"/>
  <c r="G659" i="1"/>
  <c r="G660" i="1"/>
  <c r="G661" i="1"/>
  <c r="G662" i="1"/>
  <c r="G663" i="1"/>
  <c r="F445" i="1" l="1"/>
  <c r="T445" i="1" l="1"/>
  <c r="U445" i="1" s="1"/>
  <c r="J445" i="1"/>
  <c r="K445" i="1" s="1"/>
  <c r="N445" i="1"/>
  <c r="O445" i="1" s="1"/>
  <c r="H445" i="1"/>
  <c r="I445" i="1" s="1"/>
  <c r="R445" i="1"/>
  <c r="S445" i="1" s="1"/>
  <c r="L445" i="1"/>
  <c r="M445" i="1" s="1"/>
  <c r="V445" i="1"/>
  <c r="W445" i="1" s="1"/>
  <c r="P445" i="1"/>
  <c r="Q445" i="1" s="1"/>
  <c r="G445" i="1"/>
  <c r="F620" i="1"/>
  <c r="L620" i="1" l="1"/>
  <c r="M620" i="1" s="1"/>
  <c r="R620" i="1"/>
  <c r="S620" i="1" s="1"/>
  <c r="H620" i="1"/>
  <c r="I620" i="1" s="1"/>
  <c r="N620" i="1"/>
  <c r="O620" i="1" s="1"/>
  <c r="J620" i="1"/>
  <c r="K620" i="1" s="1"/>
  <c r="P620" i="1"/>
  <c r="Q620" i="1" s="1"/>
  <c r="T620" i="1"/>
  <c r="U620" i="1" s="1"/>
  <c r="V620" i="1"/>
  <c r="W620" i="1" s="1"/>
  <c r="G620" i="1"/>
  <c r="F370" i="1"/>
  <c r="F442" i="1"/>
  <c r="R446" i="1" l="1"/>
  <c r="S446" i="1" s="1"/>
  <c r="L446" i="1"/>
  <c r="M446" i="1" s="1"/>
  <c r="V446" i="1"/>
  <c r="W446" i="1" s="1"/>
  <c r="J446" i="1"/>
  <c r="K446" i="1" s="1"/>
  <c r="T446" i="1"/>
  <c r="U446" i="1" s="1"/>
  <c r="P446" i="1"/>
  <c r="Q446" i="1" s="1"/>
  <c r="N446" i="1"/>
  <c r="O446" i="1" s="1"/>
  <c r="L444" i="1"/>
  <c r="M444" i="1" s="1"/>
  <c r="H444" i="1"/>
  <c r="I444" i="1" s="1"/>
  <c r="R444" i="1"/>
  <c r="S444" i="1" s="1"/>
  <c r="J444" i="1"/>
  <c r="K444" i="1" s="1"/>
  <c r="V444" i="1"/>
  <c r="W444" i="1" s="1"/>
  <c r="P444" i="1"/>
  <c r="Q444" i="1" s="1"/>
  <c r="T444" i="1"/>
  <c r="U444" i="1" s="1"/>
  <c r="N444" i="1"/>
  <c r="O444" i="1" s="1"/>
  <c r="T442" i="1"/>
  <c r="U442" i="1" s="1"/>
  <c r="N442" i="1"/>
  <c r="O442" i="1" s="1"/>
  <c r="H442" i="1"/>
  <c r="I442" i="1" s="1"/>
  <c r="L442" i="1"/>
  <c r="M442" i="1" s="1"/>
  <c r="R442" i="1"/>
  <c r="S442" i="1" s="1"/>
  <c r="V442" i="1"/>
  <c r="W442" i="1" s="1"/>
  <c r="P442" i="1"/>
  <c r="Q442" i="1" s="1"/>
  <c r="J442" i="1"/>
  <c r="K442" i="1" s="1"/>
  <c r="L370" i="1"/>
  <c r="M370" i="1" s="1"/>
  <c r="V370" i="1"/>
  <c r="W370" i="1" s="1"/>
  <c r="T370" i="1"/>
  <c r="U370" i="1" s="1"/>
  <c r="R370" i="1"/>
  <c r="S370" i="1" s="1"/>
  <c r="P370" i="1"/>
  <c r="Q370" i="1" s="1"/>
  <c r="N370" i="1"/>
  <c r="O370" i="1" s="1"/>
  <c r="G370" i="1"/>
  <c r="G444" i="1"/>
  <c r="G442" i="1"/>
  <c r="F241" i="1" l="1"/>
  <c r="F374" i="1"/>
  <c r="P374" i="1" l="1"/>
  <c r="Q374" i="1" s="1"/>
  <c r="N374" i="1"/>
  <c r="O374" i="1" s="1"/>
  <c r="L374" i="1"/>
  <c r="M374" i="1" s="1"/>
  <c r="V374" i="1"/>
  <c r="W374" i="1" s="1"/>
  <c r="T374" i="1"/>
  <c r="U374" i="1" s="1"/>
  <c r="R374" i="1"/>
  <c r="S374" i="1" s="1"/>
  <c r="R241" i="1"/>
  <c r="S241" i="1" s="1"/>
  <c r="V241" i="1"/>
  <c r="W241" i="1" s="1"/>
  <c r="T241" i="1"/>
  <c r="U241" i="1" s="1"/>
  <c r="P241" i="1"/>
  <c r="Q241" i="1" s="1"/>
  <c r="N241" i="1"/>
  <c r="O241" i="1" s="1"/>
  <c r="L241" i="1"/>
  <c r="M241" i="1" s="1"/>
  <c r="J241" i="1"/>
  <c r="K241" i="1" s="1"/>
  <c r="H241" i="1"/>
  <c r="I241" i="1" s="1"/>
  <c r="F619" i="1"/>
  <c r="L619" i="1" l="1"/>
  <c r="M619" i="1" s="1"/>
  <c r="R619" i="1"/>
  <c r="S619" i="1" s="1"/>
  <c r="H619" i="1"/>
  <c r="I619" i="1" s="1"/>
  <c r="N619" i="1"/>
  <c r="O619" i="1" s="1"/>
  <c r="J619" i="1"/>
  <c r="K619" i="1" s="1"/>
  <c r="T619" i="1"/>
  <c r="U619" i="1" s="1"/>
  <c r="V619" i="1"/>
  <c r="W619" i="1" s="1"/>
  <c r="P619" i="1"/>
  <c r="Q619" i="1" s="1"/>
  <c r="G619" i="1"/>
  <c r="N354" i="1" l="1"/>
  <c r="O354" i="1" s="1"/>
  <c r="P354" i="1"/>
  <c r="Q354" i="1" s="1"/>
  <c r="R354" i="1"/>
  <c r="S354" i="1" s="1"/>
  <c r="T354" i="1"/>
  <c r="U354" i="1" s="1"/>
  <c r="V354" i="1"/>
  <c r="W354" i="1" s="1"/>
  <c r="L354" i="1"/>
  <c r="M354" i="1" s="1"/>
  <c r="F103" i="1"/>
  <c r="R103" i="1" l="1"/>
  <c r="S103" i="1" s="1"/>
  <c r="P103" i="1"/>
  <c r="Q103" i="1" s="1"/>
  <c r="N103" i="1"/>
  <c r="O103" i="1" s="1"/>
  <c r="L103" i="1"/>
  <c r="M103" i="1" s="1"/>
  <c r="J103" i="1"/>
  <c r="K103" i="1" s="1"/>
  <c r="V103" i="1"/>
  <c r="W103" i="1" s="1"/>
  <c r="T103" i="1"/>
  <c r="U103" i="1" s="1"/>
  <c r="G103" i="1"/>
  <c r="G184" i="1" l="1"/>
  <c r="T184" i="1"/>
  <c r="U184" i="1" s="1"/>
  <c r="R184" i="1"/>
  <c r="S184" i="1" s="1"/>
  <c r="P184" i="1"/>
  <c r="Q184" i="1" s="1"/>
  <c r="N184" i="1"/>
  <c r="O184" i="1" s="1"/>
  <c r="L184" i="1"/>
  <c r="M184" i="1" s="1"/>
  <c r="J184" i="1"/>
  <c r="K184" i="1" s="1"/>
  <c r="H184" i="1"/>
  <c r="I184" i="1" s="1"/>
  <c r="V184" i="1"/>
  <c r="W184" i="1" s="1"/>
  <c r="R183" i="1"/>
  <c r="S183" i="1" s="1"/>
  <c r="P183" i="1"/>
  <c r="Q183" i="1" s="1"/>
  <c r="N183" i="1"/>
  <c r="O183" i="1" s="1"/>
  <c r="L183" i="1"/>
  <c r="M183" i="1" s="1"/>
  <c r="J183" i="1"/>
  <c r="K183" i="1" s="1"/>
  <c r="H183" i="1"/>
  <c r="I183" i="1" s="1"/>
  <c r="T183" i="1"/>
  <c r="U183" i="1" s="1"/>
  <c r="V183" i="1"/>
  <c r="W183" i="1" s="1"/>
  <c r="F177" i="1"/>
  <c r="R177" i="1" l="1"/>
  <c r="S177" i="1" s="1"/>
  <c r="P177" i="1"/>
  <c r="Q177" i="1" s="1"/>
  <c r="N177" i="1"/>
  <c r="O177" i="1" s="1"/>
  <c r="L177" i="1"/>
  <c r="M177" i="1" s="1"/>
  <c r="T177" i="1"/>
  <c r="U177" i="1" s="1"/>
  <c r="J177" i="1"/>
  <c r="K177" i="1" s="1"/>
  <c r="H177" i="1"/>
  <c r="I177" i="1" s="1"/>
  <c r="V177" i="1"/>
  <c r="W177" i="1" s="1"/>
  <c r="G177" i="1"/>
  <c r="F178" i="1"/>
  <c r="V178" i="1" l="1"/>
  <c r="W178" i="1" s="1"/>
  <c r="T178" i="1"/>
  <c r="U178" i="1" s="1"/>
  <c r="R178" i="1"/>
  <c r="S178" i="1" s="1"/>
  <c r="P178" i="1"/>
  <c r="Q178" i="1" s="1"/>
  <c r="N178" i="1"/>
  <c r="O178" i="1" s="1"/>
  <c r="L178" i="1"/>
  <c r="M178" i="1" s="1"/>
  <c r="J178" i="1"/>
  <c r="K178" i="1" s="1"/>
  <c r="H178" i="1"/>
  <c r="I178" i="1" s="1"/>
  <c r="G183" i="1"/>
  <c r="G178" i="1"/>
  <c r="F563" i="1"/>
  <c r="P563" i="1" l="1"/>
  <c r="Q563" i="1" s="1"/>
  <c r="T563" i="1"/>
  <c r="U563" i="1" s="1"/>
  <c r="N563" i="1"/>
  <c r="O563" i="1" s="1"/>
  <c r="V563" i="1"/>
  <c r="W563" i="1" s="1"/>
  <c r="L563" i="1"/>
  <c r="M563" i="1" s="1"/>
  <c r="R563" i="1"/>
  <c r="S563" i="1" s="1"/>
  <c r="R226" i="1"/>
  <c r="P226" i="1"/>
  <c r="N226" i="1"/>
  <c r="L226" i="1"/>
  <c r="J226" i="1"/>
  <c r="H226" i="1"/>
  <c r="V226" i="1"/>
  <c r="T226" i="1"/>
  <c r="G563" i="1"/>
  <c r="F565" i="1" l="1"/>
  <c r="T565" i="1" l="1"/>
  <c r="U565" i="1" s="1"/>
  <c r="L565" i="1"/>
  <c r="M565" i="1" s="1"/>
  <c r="R565" i="1"/>
  <c r="S565" i="1" s="1"/>
  <c r="N565" i="1"/>
  <c r="O565" i="1" s="1"/>
  <c r="V565" i="1"/>
  <c r="W565" i="1" s="1"/>
  <c r="P565" i="1"/>
  <c r="Q565" i="1" s="1"/>
  <c r="F427" i="1"/>
  <c r="T427" i="1" l="1"/>
  <c r="U427" i="1" s="1"/>
  <c r="N427" i="1"/>
  <c r="O427" i="1" s="1"/>
  <c r="J427" i="1"/>
  <c r="K427" i="1" s="1"/>
  <c r="V427" i="1"/>
  <c r="W427" i="1" s="1"/>
  <c r="H427" i="1"/>
  <c r="I427" i="1" s="1"/>
  <c r="L427" i="1"/>
  <c r="M427" i="1" s="1"/>
  <c r="R427" i="1"/>
  <c r="S427" i="1" s="1"/>
  <c r="P427" i="1"/>
  <c r="Q427" i="1" s="1"/>
  <c r="L417" i="1"/>
  <c r="M417" i="1" s="1"/>
  <c r="N417" i="1"/>
  <c r="O417" i="1" s="1"/>
  <c r="P417" i="1"/>
  <c r="Q417" i="1" s="1"/>
  <c r="R417" i="1"/>
  <c r="S417" i="1" s="1"/>
  <c r="T417" i="1"/>
  <c r="U417" i="1" s="1"/>
  <c r="V417" i="1"/>
  <c r="W417" i="1" s="1"/>
  <c r="H601" i="1" l="1"/>
  <c r="I601" i="1" s="1"/>
  <c r="L601" i="1"/>
  <c r="M601" i="1" s="1"/>
  <c r="P601" i="1"/>
  <c r="Q601" i="1" s="1"/>
  <c r="T601" i="1"/>
  <c r="U601" i="1" s="1"/>
  <c r="J601" i="1"/>
  <c r="K601" i="1" s="1"/>
  <c r="V601" i="1"/>
  <c r="W601" i="1" s="1"/>
  <c r="N601" i="1"/>
  <c r="O601" i="1" s="1"/>
  <c r="R601" i="1"/>
  <c r="S601" i="1" s="1"/>
  <c r="G601" i="1"/>
  <c r="F569" i="1" l="1"/>
  <c r="F441" i="1"/>
  <c r="F440" i="1"/>
  <c r="F207" i="1"/>
  <c r="V440" i="1" l="1"/>
  <c r="W440" i="1" s="1"/>
  <c r="P440" i="1"/>
  <c r="Q440" i="1" s="1"/>
  <c r="H440" i="1"/>
  <c r="I440" i="1" s="1"/>
  <c r="L440" i="1"/>
  <c r="M440" i="1" s="1"/>
  <c r="R440" i="1"/>
  <c r="S440" i="1" s="1"/>
  <c r="T440" i="1"/>
  <c r="U440" i="1" s="1"/>
  <c r="N440" i="1"/>
  <c r="O440" i="1" s="1"/>
  <c r="J440" i="1"/>
  <c r="K440" i="1" s="1"/>
  <c r="V441" i="1"/>
  <c r="W441" i="1" s="1"/>
  <c r="N441" i="1"/>
  <c r="O441" i="1" s="1"/>
  <c r="J441" i="1"/>
  <c r="K441" i="1" s="1"/>
  <c r="P441" i="1"/>
  <c r="Q441" i="1" s="1"/>
  <c r="T441" i="1"/>
  <c r="U441" i="1" s="1"/>
  <c r="L441" i="1"/>
  <c r="M441" i="1" s="1"/>
  <c r="R441" i="1"/>
  <c r="S441" i="1" s="1"/>
  <c r="H441" i="1"/>
  <c r="I441" i="1" s="1"/>
  <c r="R569" i="1"/>
  <c r="S569" i="1" s="1"/>
  <c r="V569" i="1"/>
  <c r="W569" i="1" s="1"/>
  <c r="P569" i="1"/>
  <c r="Q569" i="1" s="1"/>
  <c r="N569" i="1"/>
  <c r="O569" i="1" s="1"/>
  <c r="T569" i="1"/>
  <c r="U569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H207" i="1"/>
  <c r="I207" i="1" s="1"/>
  <c r="G568" i="1"/>
  <c r="G441" i="1"/>
  <c r="G440" i="1"/>
  <c r="G207" i="1"/>
  <c r="F176" i="1"/>
  <c r="L176" i="1" l="1"/>
  <c r="M176" i="1" s="1"/>
  <c r="J176" i="1"/>
  <c r="K176" i="1" s="1"/>
  <c r="H176" i="1"/>
  <c r="I176" i="1" s="1"/>
  <c r="V176" i="1"/>
  <c r="W176" i="1" s="1"/>
  <c r="P176" i="1"/>
  <c r="Q176" i="1" s="1"/>
  <c r="T176" i="1"/>
  <c r="U176" i="1" s="1"/>
  <c r="R176" i="1"/>
  <c r="S176" i="1" s="1"/>
  <c r="N176" i="1"/>
  <c r="O176" i="1" s="1"/>
  <c r="N206" i="1"/>
  <c r="O206" i="1" s="1"/>
  <c r="V206" i="1"/>
  <c r="W206" i="1" s="1"/>
  <c r="T206" i="1"/>
  <c r="U206" i="1" s="1"/>
  <c r="R206" i="1"/>
  <c r="S206" i="1" s="1"/>
  <c r="P206" i="1"/>
  <c r="Q206" i="1" s="1"/>
  <c r="H206" i="1"/>
  <c r="I206" i="1" s="1"/>
  <c r="L206" i="1"/>
  <c r="M206" i="1" s="1"/>
  <c r="J206" i="1"/>
  <c r="K206" i="1" s="1"/>
  <c r="N175" i="1"/>
  <c r="O175" i="1" s="1"/>
  <c r="L175" i="1"/>
  <c r="M175" i="1" s="1"/>
  <c r="J175" i="1"/>
  <c r="K175" i="1" s="1"/>
  <c r="H175" i="1"/>
  <c r="I175" i="1" s="1"/>
  <c r="R175" i="1"/>
  <c r="S175" i="1" s="1"/>
  <c r="P175" i="1"/>
  <c r="Q175" i="1" s="1"/>
  <c r="V175" i="1"/>
  <c r="W175" i="1" s="1"/>
  <c r="T175" i="1"/>
  <c r="U175" i="1" s="1"/>
  <c r="G206" i="1"/>
  <c r="G175" i="1"/>
  <c r="F682" i="1"/>
  <c r="F670" i="1"/>
  <c r="F686" i="1"/>
  <c r="F244" i="1"/>
  <c r="F245" i="1"/>
  <c r="F262" i="1"/>
  <c r="T682" i="1" l="1"/>
  <c r="L682" i="1"/>
  <c r="M682" i="1" s="1"/>
  <c r="R682" i="1"/>
  <c r="J682" i="1"/>
  <c r="K682" i="1" s="1"/>
  <c r="P682" i="1"/>
  <c r="Q682" i="1" s="1"/>
  <c r="V682" i="1"/>
  <c r="W682" i="1" s="1"/>
  <c r="N682" i="1"/>
  <c r="O682" i="1" s="1"/>
  <c r="T686" i="1"/>
  <c r="U686" i="1" s="1"/>
  <c r="J686" i="1"/>
  <c r="K686" i="1" s="1"/>
  <c r="N686" i="1"/>
  <c r="O686" i="1" s="1"/>
  <c r="H686" i="1"/>
  <c r="I686" i="1" s="1"/>
  <c r="P686" i="1"/>
  <c r="Q686" i="1" s="1"/>
  <c r="R686" i="1"/>
  <c r="S686" i="1" s="1"/>
  <c r="L686" i="1"/>
  <c r="M686" i="1" s="1"/>
  <c r="V686" i="1"/>
  <c r="W686" i="1" s="1"/>
  <c r="V670" i="1"/>
  <c r="W670" i="1" s="1"/>
  <c r="J670" i="1"/>
  <c r="K670" i="1" s="1"/>
  <c r="T670" i="1"/>
  <c r="U670" i="1" s="1"/>
  <c r="L670" i="1"/>
  <c r="M670" i="1" s="1"/>
  <c r="P670" i="1"/>
  <c r="Q670" i="1" s="1"/>
  <c r="R670" i="1"/>
  <c r="S670" i="1" s="1"/>
  <c r="N670" i="1"/>
  <c r="O670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R262" i="1"/>
  <c r="S262" i="1" s="1"/>
  <c r="V262" i="1"/>
  <c r="W262" i="1" s="1"/>
  <c r="H262" i="1"/>
  <c r="I262" i="1" s="1"/>
  <c r="J262" i="1"/>
  <c r="K262" i="1" s="1"/>
  <c r="L262" i="1"/>
  <c r="M262" i="1" s="1"/>
  <c r="N262" i="1"/>
  <c r="O262" i="1" s="1"/>
  <c r="T262" i="1"/>
  <c r="U262" i="1" s="1"/>
  <c r="P262" i="1"/>
  <c r="Q262" i="1" s="1"/>
  <c r="V245" i="1"/>
  <c r="W245" i="1" s="1"/>
  <c r="T245" i="1"/>
  <c r="U245" i="1" s="1"/>
  <c r="R245" i="1"/>
  <c r="S245" i="1" s="1"/>
  <c r="P245" i="1"/>
  <c r="Q245" i="1" s="1"/>
  <c r="N245" i="1"/>
  <c r="O245" i="1" s="1"/>
  <c r="J245" i="1"/>
  <c r="K245" i="1" s="1"/>
  <c r="L245" i="1"/>
  <c r="M245" i="1" s="1"/>
  <c r="H245" i="1"/>
  <c r="I245" i="1" s="1"/>
  <c r="S682" i="1"/>
  <c r="U682" i="1"/>
  <c r="G682" i="1"/>
  <c r="G670" i="1"/>
  <c r="H670" i="1"/>
  <c r="I670" i="1" s="1"/>
  <c r="G686" i="1"/>
  <c r="G244" i="1"/>
  <c r="G245" i="1"/>
  <c r="J265" i="1" l="1"/>
  <c r="K265" i="1" s="1"/>
  <c r="N265" i="1"/>
  <c r="O265" i="1" s="1"/>
  <c r="P265" i="1"/>
  <c r="Q265" i="1" s="1"/>
  <c r="R265" i="1"/>
  <c r="S265" i="1" s="1"/>
  <c r="T265" i="1"/>
  <c r="U265" i="1" s="1"/>
  <c r="H265" i="1"/>
  <c r="I265" i="1" s="1"/>
  <c r="L265" i="1"/>
  <c r="M265" i="1" s="1"/>
  <c r="V265" i="1"/>
  <c r="W265" i="1" s="1"/>
  <c r="G262" i="1"/>
  <c r="F617" i="1" l="1"/>
  <c r="F616" i="1"/>
  <c r="F615" i="1"/>
  <c r="F609" i="1"/>
  <c r="F603" i="1"/>
  <c r="F597" i="1"/>
  <c r="F587" i="1"/>
  <c r="F570" i="1"/>
  <c r="F564" i="1"/>
  <c r="F544" i="1"/>
  <c r="F543" i="1"/>
  <c r="F463" i="1"/>
  <c r="F462" i="1"/>
  <c r="F458" i="1"/>
  <c r="P475" i="1" l="1"/>
  <c r="Q475" i="1" s="1"/>
  <c r="V475" i="1"/>
  <c r="W475" i="1" s="1"/>
  <c r="N475" i="1"/>
  <c r="O475" i="1" s="1"/>
  <c r="T475" i="1"/>
  <c r="U475" i="1" s="1"/>
  <c r="L475" i="1"/>
  <c r="M475" i="1" s="1"/>
  <c r="R475" i="1"/>
  <c r="S475" i="1" s="1"/>
  <c r="J475" i="1"/>
  <c r="K475" i="1" s="1"/>
  <c r="P573" i="1"/>
  <c r="Q573" i="1" s="1"/>
  <c r="H573" i="1"/>
  <c r="I573" i="1" s="1"/>
  <c r="V573" i="1"/>
  <c r="W573" i="1" s="1"/>
  <c r="N573" i="1"/>
  <c r="O573" i="1" s="1"/>
  <c r="T573" i="1"/>
  <c r="U573" i="1" s="1"/>
  <c r="L573" i="1"/>
  <c r="M573" i="1" s="1"/>
  <c r="R573" i="1"/>
  <c r="S573" i="1" s="1"/>
  <c r="J573" i="1"/>
  <c r="K573" i="1" s="1"/>
  <c r="H597" i="1"/>
  <c r="I597" i="1" s="1"/>
  <c r="L597" i="1"/>
  <c r="M597" i="1" s="1"/>
  <c r="P597" i="1"/>
  <c r="Q597" i="1" s="1"/>
  <c r="T597" i="1"/>
  <c r="U597" i="1" s="1"/>
  <c r="N597" i="1"/>
  <c r="O597" i="1" s="1"/>
  <c r="V597" i="1"/>
  <c r="W597" i="1" s="1"/>
  <c r="R597" i="1"/>
  <c r="S597" i="1" s="1"/>
  <c r="J597" i="1"/>
  <c r="K597" i="1" s="1"/>
  <c r="H602" i="1"/>
  <c r="I602" i="1" s="1"/>
  <c r="L602" i="1"/>
  <c r="M602" i="1" s="1"/>
  <c r="P602" i="1"/>
  <c r="Q602" i="1" s="1"/>
  <c r="T602" i="1"/>
  <c r="U602" i="1" s="1"/>
  <c r="J602" i="1"/>
  <c r="K602" i="1" s="1"/>
  <c r="V602" i="1"/>
  <c r="W602" i="1" s="1"/>
  <c r="R602" i="1"/>
  <c r="S602" i="1" s="1"/>
  <c r="N602" i="1"/>
  <c r="O602" i="1" s="1"/>
  <c r="V523" i="1"/>
  <c r="L523" i="1"/>
  <c r="R523" i="1"/>
  <c r="J523" i="1"/>
  <c r="P523" i="1"/>
  <c r="N523" i="1"/>
  <c r="T523" i="1"/>
  <c r="H523" i="1"/>
  <c r="T544" i="1"/>
  <c r="U544" i="1" s="1"/>
  <c r="L544" i="1"/>
  <c r="M544" i="1" s="1"/>
  <c r="R544" i="1"/>
  <c r="S544" i="1" s="1"/>
  <c r="J544" i="1"/>
  <c r="K544" i="1" s="1"/>
  <c r="H544" i="1"/>
  <c r="I544" i="1" s="1"/>
  <c r="V544" i="1"/>
  <c r="W544" i="1" s="1"/>
  <c r="P544" i="1"/>
  <c r="Q544" i="1" s="1"/>
  <c r="N544" i="1"/>
  <c r="O544" i="1" s="1"/>
  <c r="H603" i="1"/>
  <c r="I603" i="1" s="1"/>
  <c r="L603" i="1"/>
  <c r="M603" i="1" s="1"/>
  <c r="P603" i="1"/>
  <c r="Q603" i="1" s="1"/>
  <c r="T603" i="1"/>
  <c r="U603" i="1" s="1"/>
  <c r="J603" i="1"/>
  <c r="K603" i="1" s="1"/>
  <c r="V603" i="1"/>
  <c r="W603" i="1" s="1"/>
  <c r="N603" i="1"/>
  <c r="O603" i="1" s="1"/>
  <c r="R603" i="1"/>
  <c r="S603" i="1" s="1"/>
  <c r="L615" i="1"/>
  <c r="M615" i="1" s="1"/>
  <c r="R615" i="1"/>
  <c r="S615" i="1" s="1"/>
  <c r="H615" i="1"/>
  <c r="I615" i="1" s="1"/>
  <c r="N615" i="1"/>
  <c r="O615" i="1" s="1"/>
  <c r="J615" i="1"/>
  <c r="K615" i="1" s="1"/>
  <c r="T615" i="1"/>
  <c r="U615" i="1" s="1"/>
  <c r="V615" i="1"/>
  <c r="W615" i="1" s="1"/>
  <c r="P615" i="1"/>
  <c r="Q615" i="1" s="1"/>
  <c r="P524" i="1"/>
  <c r="R524" i="1"/>
  <c r="N524" i="1"/>
  <c r="T524" i="1"/>
  <c r="L524" i="1"/>
  <c r="J524" i="1"/>
  <c r="H524" i="1"/>
  <c r="V524" i="1"/>
  <c r="P564" i="1"/>
  <c r="Q564" i="1" s="1"/>
  <c r="V564" i="1"/>
  <c r="W564" i="1" s="1"/>
  <c r="N564" i="1"/>
  <c r="O564" i="1" s="1"/>
  <c r="R564" i="1"/>
  <c r="S564" i="1" s="1"/>
  <c r="L564" i="1"/>
  <c r="M564" i="1" s="1"/>
  <c r="T564" i="1"/>
  <c r="U564" i="1" s="1"/>
  <c r="J587" i="1"/>
  <c r="K587" i="1" s="1"/>
  <c r="T587" i="1"/>
  <c r="U587" i="1" s="1"/>
  <c r="P587" i="1"/>
  <c r="Q587" i="1" s="1"/>
  <c r="V587" i="1"/>
  <c r="W587" i="1" s="1"/>
  <c r="L587" i="1"/>
  <c r="M587" i="1" s="1"/>
  <c r="N587" i="1"/>
  <c r="O587" i="1" s="1"/>
  <c r="R587" i="1"/>
  <c r="S587" i="1" s="1"/>
  <c r="H587" i="1"/>
  <c r="I587" i="1" s="1"/>
  <c r="H608" i="1"/>
  <c r="I608" i="1" s="1"/>
  <c r="N608" i="1"/>
  <c r="O608" i="1" s="1"/>
  <c r="R608" i="1"/>
  <c r="S608" i="1" s="1"/>
  <c r="L608" i="1"/>
  <c r="M608" i="1" s="1"/>
  <c r="T608" i="1"/>
  <c r="U608" i="1" s="1"/>
  <c r="J608" i="1"/>
  <c r="K608" i="1" s="1"/>
  <c r="P608" i="1"/>
  <c r="Q608" i="1" s="1"/>
  <c r="V608" i="1"/>
  <c r="W608" i="1" s="1"/>
  <c r="L616" i="1"/>
  <c r="M616" i="1" s="1"/>
  <c r="R616" i="1"/>
  <c r="S616" i="1" s="1"/>
  <c r="H616" i="1"/>
  <c r="I616" i="1" s="1"/>
  <c r="N616" i="1"/>
  <c r="O616" i="1" s="1"/>
  <c r="P616" i="1"/>
  <c r="Q616" i="1" s="1"/>
  <c r="J616" i="1"/>
  <c r="K616" i="1" s="1"/>
  <c r="T616" i="1"/>
  <c r="U616" i="1" s="1"/>
  <c r="V616" i="1"/>
  <c r="W616" i="1" s="1"/>
  <c r="T543" i="1"/>
  <c r="U543" i="1" s="1"/>
  <c r="L543" i="1"/>
  <c r="M543" i="1" s="1"/>
  <c r="R543" i="1"/>
  <c r="S543" i="1" s="1"/>
  <c r="J543" i="1"/>
  <c r="K543" i="1" s="1"/>
  <c r="P543" i="1"/>
  <c r="Q543" i="1" s="1"/>
  <c r="N543" i="1"/>
  <c r="O543" i="1" s="1"/>
  <c r="V543" i="1"/>
  <c r="W543" i="1" s="1"/>
  <c r="H543" i="1"/>
  <c r="I543" i="1" s="1"/>
  <c r="H610" i="1"/>
  <c r="I610" i="1" s="1"/>
  <c r="N610" i="1"/>
  <c r="O610" i="1" s="1"/>
  <c r="V610" i="1"/>
  <c r="W610" i="1" s="1"/>
  <c r="J610" i="1"/>
  <c r="K610" i="1" s="1"/>
  <c r="P610" i="1"/>
  <c r="Q610" i="1" s="1"/>
  <c r="T610" i="1"/>
  <c r="U610" i="1" s="1"/>
  <c r="L610" i="1"/>
  <c r="M610" i="1" s="1"/>
  <c r="R610" i="1"/>
  <c r="S610" i="1" s="1"/>
  <c r="P580" i="1"/>
  <c r="Q580" i="1" s="1"/>
  <c r="H580" i="1"/>
  <c r="I580" i="1" s="1"/>
  <c r="V580" i="1"/>
  <c r="W580" i="1" s="1"/>
  <c r="N580" i="1"/>
  <c r="O580" i="1" s="1"/>
  <c r="T580" i="1"/>
  <c r="U580" i="1" s="1"/>
  <c r="R580" i="1"/>
  <c r="S580" i="1" s="1"/>
  <c r="L580" i="1"/>
  <c r="M580" i="1" s="1"/>
  <c r="J580" i="1"/>
  <c r="K580" i="1" s="1"/>
  <c r="R570" i="1"/>
  <c r="S570" i="1" s="1"/>
  <c r="V570" i="1"/>
  <c r="W570" i="1" s="1"/>
  <c r="P570" i="1"/>
  <c r="Q570" i="1" s="1"/>
  <c r="T570" i="1"/>
  <c r="U570" i="1" s="1"/>
  <c r="N570" i="1"/>
  <c r="O570" i="1" s="1"/>
  <c r="H590" i="1"/>
  <c r="I590" i="1" s="1"/>
  <c r="L590" i="1"/>
  <c r="M590" i="1" s="1"/>
  <c r="P590" i="1"/>
  <c r="Q590" i="1" s="1"/>
  <c r="T590" i="1"/>
  <c r="U590" i="1" s="1"/>
  <c r="N590" i="1"/>
  <c r="O590" i="1" s="1"/>
  <c r="V590" i="1"/>
  <c r="W590" i="1" s="1"/>
  <c r="J590" i="1"/>
  <c r="K590" i="1" s="1"/>
  <c r="R590" i="1"/>
  <c r="S590" i="1" s="1"/>
  <c r="H609" i="1"/>
  <c r="I609" i="1" s="1"/>
  <c r="N609" i="1"/>
  <c r="O609" i="1" s="1"/>
  <c r="J609" i="1"/>
  <c r="K609" i="1" s="1"/>
  <c r="P609" i="1"/>
  <c r="Q609" i="1" s="1"/>
  <c r="R609" i="1"/>
  <c r="S609" i="1" s="1"/>
  <c r="L609" i="1"/>
  <c r="M609" i="1" s="1"/>
  <c r="T609" i="1"/>
  <c r="U609" i="1" s="1"/>
  <c r="V609" i="1"/>
  <c r="W609" i="1" s="1"/>
  <c r="L617" i="1"/>
  <c r="M617" i="1" s="1"/>
  <c r="R617" i="1"/>
  <c r="S617" i="1" s="1"/>
  <c r="H617" i="1"/>
  <c r="I617" i="1" s="1"/>
  <c r="N617" i="1"/>
  <c r="O617" i="1" s="1"/>
  <c r="J617" i="1"/>
  <c r="K617" i="1" s="1"/>
  <c r="T617" i="1"/>
  <c r="U617" i="1" s="1"/>
  <c r="P617" i="1"/>
  <c r="Q617" i="1" s="1"/>
  <c r="V617" i="1"/>
  <c r="W617" i="1" s="1"/>
  <c r="V462" i="1"/>
  <c r="W462" i="1" s="1"/>
  <c r="P462" i="1"/>
  <c r="Q462" i="1" s="1"/>
  <c r="T462" i="1"/>
  <c r="U462" i="1" s="1"/>
  <c r="N462" i="1"/>
  <c r="O462" i="1" s="1"/>
  <c r="R462" i="1"/>
  <c r="S462" i="1" s="1"/>
  <c r="L462" i="1"/>
  <c r="M462" i="1" s="1"/>
  <c r="J462" i="1"/>
  <c r="K462" i="1" s="1"/>
  <c r="H462" i="1"/>
  <c r="I462" i="1" s="1"/>
  <c r="R458" i="1"/>
  <c r="S458" i="1" s="1"/>
  <c r="P458" i="1"/>
  <c r="Q458" i="1" s="1"/>
  <c r="V458" i="1"/>
  <c r="W458" i="1" s="1"/>
  <c r="T458" i="1"/>
  <c r="U458" i="1" s="1"/>
  <c r="L458" i="1"/>
  <c r="M458" i="1" s="1"/>
  <c r="H458" i="1"/>
  <c r="I458" i="1" s="1"/>
  <c r="N458" i="1"/>
  <c r="O458" i="1" s="1"/>
  <c r="J458" i="1"/>
  <c r="K458" i="1" s="1"/>
  <c r="L463" i="1"/>
  <c r="M463" i="1" s="1"/>
  <c r="J463" i="1"/>
  <c r="K463" i="1" s="1"/>
  <c r="H463" i="1"/>
  <c r="I463" i="1" s="1"/>
  <c r="N463" i="1"/>
  <c r="O463" i="1" s="1"/>
  <c r="J173" i="1"/>
  <c r="K173" i="1" s="1"/>
  <c r="H173" i="1"/>
  <c r="I173" i="1" s="1"/>
  <c r="V173" i="1"/>
  <c r="W173" i="1" s="1"/>
  <c r="T173" i="1"/>
  <c r="U173" i="1" s="1"/>
  <c r="R173" i="1"/>
  <c r="S173" i="1" s="1"/>
  <c r="P173" i="1"/>
  <c r="Q173" i="1" s="1"/>
  <c r="N173" i="1"/>
  <c r="O173" i="1" s="1"/>
  <c r="L173" i="1"/>
  <c r="M173" i="1" s="1"/>
  <c r="G173" i="1"/>
  <c r="G602" i="1"/>
  <c r="F428" i="1" l="1"/>
  <c r="F418" i="1"/>
  <c r="F378" i="1"/>
  <c r="F276" i="1"/>
  <c r="F273" i="1"/>
  <c r="F267" i="1"/>
  <c r="F266" i="1"/>
  <c r="F258" i="1"/>
  <c r="F257" i="1"/>
  <c r="F256" i="1"/>
  <c r="F252" i="1"/>
  <c r="F234" i="1"/>
  <c r="F233" i="1"/>
  <c r="F232" i="1"/>
  <c r="J219" i="1"/>
  <c r="F202" i="1"/>
  <c r="F208" i="1"/>
  <c r="F181" i="1"/>
  <c r="F182" i="1"/>
  <c r="F174" i="1"/>
  <c r="F104" i="1"/>
  <c r="F102" i="1"/>
  <c r="F101" i="1"/>
  <c r="F100" i="1"/>
  <c r="F99" i="1"/>
  <c r="F30" i="1"/>
  <c r="F16" i="1"/>
  <c r="F26" i="1"/>
  <c r="F29" i="1"/>
  <c r="P26" i="1" l="1"/>
  <c r="Q26" i="1" s="1"/>
  <c r="T26" i="1"/>
  <c r="U26" i="1" s="1"/>
  <c r="N26" i="1"/>
  <c r="O26" i="1" s="1"/>
  <c r="R26" i="1"/>
  <c r="S26" i="1" s="1"/>
  <c r="L26" i="1"/>
  <c r="M26" i="1" s="1"/>
  <c r="V418" i="1"/>
  <c r="W418" i="1" s="1"/>
  <c r="N418" i="1"/>
  <c r="O418" i="1" s="1"/>
  <c r="J418" i="1"/>
  <c r="K418" i="1" s="1"/>
  <c r="H418" i="1"/>
  <c r="I418" i="1" s="1"/>
  <c r="T418" i="1"/>
  <c r="U418" i="1" s="1"/>
  <c r="L418" i="1"/>
  <c r="M418" i="1" s="1"/>
  <c r="R418" i="1"/>
  <c r="S418" i="1" s="1"/>
  <c r="P418" i="1"/>
  <c r="Q418" i="1" s="1"/>
  <c r="R428" i="1"/>
  <c r="S428" i="1" s="1"/>
  <c r="L428" i="1"/>
  <c r="M428" i="1" s="1"/>
  <c r="T428" i="1"/>
  <c r="U428" i="1" s="1"/>
  <c r="H428" i="1"/>
  <c r="I428" i="1" s="1"/>
  <c r="V428" i="1"/>
  <c r="W428" i="1" s="1"/>
  <c r="P428" i="1"/>
  <c r="Q428" i="1" s="1"/>
  <c r="J428" i="1"/>
  <c r="K428" i="1" s="1"/>
  <c r="N428" i="1"/>
  <c r="O428" i="1" s="1"/>
  <c r="L412" i="1"/>
  <c r="M412" i="1" s="1"/>
  <c r="N412" i="1"/>
  <c r="O412" i="1" s="1"/>
  <c r="P412" i="1"/>
  <c r="Q412" i="1" s="1"/>
  <c r="R412" i="1"/>
  <c r="S412" i="1" s="1"/>
  <c r="T412" i="1"/>
  <c r="U412" i="1" s="1"/>
  <c r="V412" i="1"/>
  <c r="W412" i="1" s="1"/>
  <c r="L411" i="1"/>
  <c r="M411" i="1" s="1"/>
  <c r="N411" i="1"/>
  <c r="O411" i="1" s="1"/>
  <c r="P411" i="1"/>
  <c r="Q411" i="1" s="1"/>
  <c r="R411" i="1"/>
  <c r="S411" i="1" s="1"/>
  <c r="T411" i="1"/>
  <c r="U411" i="1" s="1"/>
  <c r="V411" i="1"/>
  <c r="W411" i="1" s="1"/>
  <c r="J99" i="1"/>
  <c r="K99" i="1" s="1"/>
  <c r="L99" i="1"/>
  <c r="M99" i="1" s="1"/>
  <c r="V99" i="1"/>
  <c r="W99" i="1" s="1"/>
  <c r="T99" i="1"/>
  <c r="U99" i="1" s="1"/>
  <c r="R99" i="1"/>
  <c r="S99" i="1" s="1"/>
  <c r="H99" i="1"/>
  <c r="P99" i="1"/>
  <c r="Q99" i="1" s="1"/>
  <c r="N99" i="1"/>
  <c r="O99" i="1" s="1"/>
  <c r="J174" i="1"/>
  <c r="K174" i="1" s="1"/>
  <c r="H174" i="1"/>
  <c r="I174" i="1" s="1"/>
  <c r="V174" i="1"/>
  <c r="W174" i="1" s="1"/>
  <c r="T174" i="1"/>
  <c r="U174" i="1" s="1"/>
  <c r="N174" i="1"/>
  <c r="O174" i="1" s="1"/>
  <c r="L174" i="1"/>
  <c r="M174" i="1" s="1"/>
  <c r="R174" i="1"/>
  <c r="S174" i="1" s="1"/>
  <c r="P174" i="1"/>
  <c r="Q174" i="1" s="1"/>
  <c r="P234" i="1"/>
  <c r="Q234" i="1" s="1"/>
  <c r="N234" i="1"/>
  <c r="O234" i="1" s="1"/>
  <c r="L234" i="1"/>
  <c r="M234" i="1" s="1"/>
  <c r="J234" i="1"/>
  <c r="K234" i="1" s="1"/>
  <c r="V234" i="1"/>
  <c r="W234" i="1" s="1"/>
  <c r="T234" i="1"/>
  <c r="U234" i="1" s="1"/>
  <c r="R234" i="1"/>
  <c r="S234" i="1" s="1"/>
  <c r="P378" i="1"/>
  <c r="Q378" i="1" s="1"/>
  <c r="L378" i="1"/>
  <c r="M378" i="1" s="1"/>
  <c r="J378" i="1"/>
  <c r="V378" i="1"/>
  <c r="W378" i="1" s="1"/>
  <c r="T378" i="1"/>
  <c r="U378" i="1" s="1"/>
  <c r="R378" i="1"/>
  <c r="S378" i="1" s="1"/>
  <c r="N378" i="1"/>
  <c r="O378" i="1" s="1"/>
  <c r="P100" i="1"/>
  <c r="Q100" i="1" s="1"/>
  <c r="T100" i="1"/>
  <c r="U100" i="1" s="1"/>
  <c r="N100" i="1"/>
  <c r="O100" i="1" s="1"/>
  <c r="L100" i="1"/>
  <c r="M100" i="1" s="1"/>
  <c r="R100" i="1"/>
  <c r="S100" i="1" s="1"/>
  <c r="J100" i="1"/>
  <c r="K100" i="1" s="1"/>
  <c r="V100" i="1"/>
  <c r="W100" i="1" s="1"/>
  <c r="H100" i="1"/>
  <c r="V182" i="1"/>
  <c r="W182" i="1" s="1"/>
  <c r="T182" i="1"/>
  <c r="U182" i="1" s="1"/>
  <c r="R182" i="1"/>
  <c r="S182" i="1" s="1"/>
  <c r="P182" i="1"/>
  <c r="Q182" i="1" s="1"/>
  <c r="N182" i="1"/>
  <c r="O182" i="1" s="1"/>
  <c r="J182" i="1"/>
  <c r="K182" i="1" s="1"/>
  <c r="L182" i="1"/>
  <c r="M182" i="1" s="1"/>
  <c r="H182" i="1"/>
  <c r="I182" i="1" s="1"/>
  <c r="R252" i="1"/>
  <c r="S252" i="1" s="1"/>
  <c r="T252" i="1"/>
  <c r="U252" i="1" s="1"/>
  <c r="V252" i="1"/>
  <c r="W252" i="1" s="1"/>
  <c r="H252" i="1"/>
  <c r="I252" i="1" s="1"/>
  <c r="J252" i="1"/>
  <c r="K252" i="1" s="1"/>
  <c r="L252" i="1"/>
  <c r="M252" i="1" s="1"/>
  <c r="N252" i="1"/>
  <c r="O252" i="1" s="1"/>
  <c r="P252" i="1"/>
  <c r="Q252" i="1" s="1"/>
  <c r="T379" i="1"/>
  <c r="U379" i="1" s="1"/>
  <c r="R379" i="1"/>
  <c r="S379" i="1" s="1"/>
  <c r="P379" i="1"/>
  <c r="Q379" i="1" s="1"/>
  <c r="N379" i="1"/>
  <c r="O379" i="1" s="1"/>
  <c r="L379" i="1"/>
  <c r="M379" i="1" s="1"/>
  <c r="V379" i="1"/>
  <c r="W379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J232" i="1"/>
  <c r="K232" i="1" s="1"/>
  <c r="G181" i="1"/>
  <c r="R181" i="1"/>
  <c r="S181" i="1" s="1"/>
  <c r="P181" i="1"/>
  <c r="Q181" i="1" s="1"/>
  <c r="N181" i="1"/>
  <c r="O181" i="1" s="1"/>
  <c r="J181" i="1"/>
  <c r="K181" i="1" s="1"/>
  <c r="H181" i="1"/>
  <c r="I181" i="1" s="1"/>
  <c r="T181" i="1"/>
  <c r="U181" i="1" s="1"/>
  <c r="L181" i="1"/>
  <c r="M181" i="1" s="1"/>
  <c r="V181" i="1"/>
  <c r="W181" i="1" s="1"/>
  <c r="J256" i="1"/>
  <c r="K256" i="1" s="1"/>
  <c r="N256" i="1"/>
  <c r="O256" i="1" s="1"/>
  <c r="P256" i="1"/>
  <c r="Q256" i="1" s="1"/>
  <c r="R256" i="1"/>
  <c r="S256" i="1" s="1"/>
  <c r="T256" i="1"/>
  <c r="U256" i="1" s="1"/>
  <c r="H256" i="1"/>
  <c r="I256" i="1" s="1"/>
  <c r="L256" i="1"/>
  <c r="M256" i="1" s="1"/>
  <c r="V256" i="1"/>
  <c r="W256" i="1" s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V102" i="1"/>
  <c r="W102" i="1" s="1"/>
  <c r="T102" i="1"/>
  <c r="U102" i="1" s="1"/>
  <c r="R102" i="1"/>
  <c r="S102" i="1" s="1"/>
  <c r="P102" i="1"/>
  <c r="Q102" i="1" s="1"/>
  <c r="L102" i="1"/>
  <c r="M102" i="1" s="1"/>
  <c r="N102" i="1"/>
  <c r="O102" i="1" s="1"/>
  <c r="J102" i="1"/>
  <c r="K102" i="1" s="1"/>
  <c r="H102" i="1"/>
  <c r="L208" i="1"/>
  <c r="M208" i="1" s="1"/>
  <c r="J208" i="1"/>
  <c r="K208" i="1" s="1"/>
  <c r="H208" i="1"/>
  <c r="I208" i="1" s="1"/>
  <c r="N208" i="1"/>
  <c r="O208" i="1" s="1"/>
  <c r="R208" i="1"/>
  <c r="S208" i="1" s="1"/>
  <c r="V208" i="1"/>
  <c r="W208" i="1" s="1"/>
  <c r="T208" i="1"/>
  <c r="U208" i="1" s="1"/>
  <c r="P208" i="1"/>
  <c r="Q208" i="1" s="1"/>
  <c r="J257" i="1"/>
  <c r="K257" i="1" s="1"/>
  <c r="L257" i="1"/>
  <c r="M257" i="1" s="1"/>
  <c r="N257" i="1"/>
  <c r="O257" i="1" s="1"/>
  <c r="P257" i="1"/>
  <c r="Q257" i="1" s="1"/>
  <c r="R257" i="1"/>
  <c r="S257" i="1" s="1"/>
  <c r="T257" i="1"/>
  <c r="U257" i="1" s="1"/>
  <c r="V257" i="1"/>
  <c r="W257" i="1" s="1"/>
  <c r="H257" i="1"/>
  <c r="I257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T276" i="1"/>
  <c r="U276" i="1" s="1"/>
  <c r="R276" i="1"/>
  <c r="S276" i="1" s="1"/>
  <c r="N276" i="1"/>
  <c r="O276" i="1" s="1"/>
  <c r="L276" i="1"/>
  <c r="M276" i="1" s="1"/>
  <c r="J276" i="1"/>
  <c r="K276" i="1" s="1"/>
  <c r="H276" i="1"/>
  <c r="I276" i="1" s="1"/>
  <c r="P276" i="1"/>
  <c r="Q276" i="1" s="1"/>
  <c r="V276" i="1"/>
  <c r="W276" i="1" s="1"/>
  <c r="V104" i="1"/>
  <c r="W104" i="1" s="1"/>
  <c r="H104" i="1"/>
  <c r="T104" i="1"/>
  <c r="U104" i="1" s="1"/>
  <c r="R104" i="1"/>
  <c r="S104" i="1" s="1"/>
  <c r="P104" i="1"/>
  <c r="Q104" i="1" s="1"/>
  <c r="N104" i="1"/>
  <c r="O104" i="1" s="1"/>
  <c r="J104" i="1"/>
  <c r="K104" i="1" s="1"/>
  <c r="L104" i="1"/>
  <c r="M104" i="1" s="1"/>
  <c r="T205" i="1"/>
  <c r="U205" i="1" s="1"/>
  <c r="R205" i="1"/>
  <c r="S205" i="1" s="1"/>
  <c r="P205" i="1"/>
  <c r="Q205" i="1" s="1"/>
  <c r="N205" i="1"/>
  <c r="O205" i="1" s="1"/>
  <c r="L205" i="1"/>
  <c r="M205" i="1" s="1"/>
  <c r="V205" i="1"/>
  <c r="W205" i="1" s="1"/>
  <c r="J258" i="1"/>
  <c r="K258" i="1" s="1"/>
  <c r="N258" i="1"/>
  <c r="O258" i="1" s="1"/>
  <c r="R258" i="1"/>
  <c r="S258" i="1" s="1"/>
  <c r="T258" i="1"/>
  <c r="U258" i="1" s="1"/>
  <c r="V258" i="1"/>
  <c r="W258" i="1" s="1"/>
  <c r="L258" i="1"/>
  <c r="M258" i="1" s="1"/>
  <c r="P258" i="1"/>
  <c r="Q258" i="1" s="1"/>
  <c r="H258" i="1"/>
  <c r="I258" i="1" s="1"/>
  <c r="J273" i="1"/>
  <c r="K273" i="1" s="1"/>
  <c r="P273" i="1"/>
  <c r="Q273" i="1" s="1"/>
  <c r="R273" i="1"/>
  <c r="S273" i="1" s="1"/>
  <c r="T273" i="1"/>
  <c r="U273" i="1" s="1"/>
  <c r="N273" i="1"/>
  <c r="O273" i="1" s="1"/>
  <c r="H273" i="1"/>
  <c r="I273" i="1" s="1"/>
  <c r="V273" i="1"/>
  <c r="W273" i="1" s="1"/>
  <c r="L273" i="1"/>
  <c r="M273" i="1" s="1"/>
  <c r="V203" i="1"/>
  <c r="W203" i="1" s="1"/>
  <c r="T203" i="1"/>
  <c r="U203" i="1" s="1"/>
  <c r="R203" i="1"/>
  <c r="S203" i="1" s="1"/>
  <c r="P203" i="1"/>
  <c r="Q203" i="1" s="1"/>
  <c r="N203" i="1"/>
  <c r="O203" i="1" s="1"/>
  <c r="L203" i="1"/>
  <c r="M203" i="1" s="1"/>
  <c r="N259" i="1"/>
  <c r="O259" i="1" s="1"/>
  <c r="P259" i="1"/>
  <c r="Q259" i="1" s="1"/>
  <c r="R259" i="1"/>
  <c r="S259" i="1" s="1"/>
  <c r="T259" i="1"/>
  <c r="U259" i="1" s="1"/>
  <c r="V259" i="1"/>
  <c r="W259" i="1" s="1"/>
  <c r="H259" i="1"/>
  <c r="I259" i="1" s="1"/>
  <c r="L259" i="1"/>
  <c r="M259" i="1" s="1"/>
  <c r="J259" i="1"/>
  <c r="K259" i="1" s="1"/>
  <c r="N202" i="1"/>
  <c r="O202" i="1" s="1"/>
  <c r="L202" i="1"/>
  <c r="M202" i="1" s="1"/>
  <c r="R202" i="1"/>
  <c r="S202" i="1" s="1"/>
  <c r="P202" i="1"/>
  <c r="Q202" i="1" s="1"/>
  <c r="V202" i="1"/>
  <c r="W202" i="1" s="1"/>
  <c r="T202" i="1"/>
  <c r="U202" i="1" s="1"/>
  <c r="J266" i="1"/>
  <c r="K266" i="1" s="1"/>
  <c r="L266" i="1"/>
  <c r="M266" i="1" s="1"/>
  <c r="N266" i="1"/>
  <c r="O266" i="1" s="1"/>
  <c r="P266" i="1"/>
  <c r="Q266" i="1" s="1"/>
  <c r="R266" i="1"/>
  <c r="S266" i="1" s="1"/>
  <c r="T266" i="1"/>
  <c r="U266" i="1" s="1"/>
  <c r="V266" i="1"/>
  <c r="W266" i="1" s="1"/>
  <c r="H266" i="1"/>
  <c r="I266" i="1" s="1"/>
  <c r="J233" i="1"/>
  <c r="K233" i="1" s="1"/>
  <c r="V233" i="1"/>
  <c r="W233" i="1" s="1"/>
  <c r="T233" i="1"/>
  <c r="U233" i="1" s="1"/>
  <c r="R233" i="1"/>
  <c r="S233" i="1" s="1"/>
  <c r="N233" i="1"/>
  <c r="O233" i="1" s="1"/>
  <c r="L233" i="1"/>
  <c r="M233" i="1" s="1"/>
  <c r="P233" i="1"/>
  <c r="Q233" i="1" s="1"/>
  <c r="N101" i="1"/>
  <c r="O101" i="1" s="1"/>
  <c r="R101" i="1"/>
  <c r="S101" i="1" s="1"/>
  <c r="V101" i="1"/>
  <c r="W101" i="1" s="1"/>
  <c r="P101" i="1"/>
  <c r="Q101" i="1" s="1"/>
  <c r="L101" i="1"/>
  <c r="M101" i="1" s="1"/>
  <c r="J101" i="1"/>
  <c r="K101" i="1" s="1"/>
  <c r="H101" i="1"/>
  <c r="T101" i="1"/>
  <c r="U101" i="1" s="1"/>
  <c r="J267" i="1"/>
  <c r="K267" i="1" s="1"/>
  <c r="N267" i="1"/>
  <c r="O267" i="1" s="1"/>
  <c r="R267" i="1"/>
  <c r="S267" i="1" s="1"/>
  <c r="T267" i="1"/>
  <c r="U267" i="1" s="1"/>
  <c r="V267" i="1"/>
  <c r="W267" i="1" s="1"/>
  <c r="H267" i="1"/>
  <c r="I267" i="1" s="1"/>
  <c r="L267" i="1"/>
  <c r="M267" i="1" s="1"/>
  <c r="P267" i="1"/>
  <c r="Q267" i="1" s="1"/>
  <c r="H272" i="1"/>
  <c r="I272" i="1" s="1"/>
  <c r="L272" i="1"/>
  <c r="M272" i="1" s="1"/>
  <c r="N272" i="1"/>
  <c r="O272" i="1" s="1"/>
  <c r="P272" i="1"/>
  <c r="Q272" i="1" s="1"/>
  <c r="R272" i="1"/>
  <c r="S272" i="1" s="1"/>
  <c r="V272" i="1"/>
  <c r="W272" i="1" s="1"/>
  <c r="T272" i="1"/>
  <c r="U272" i="1" s="1"/>
  <c r="J272" i="1"/>
  <c r="K272" i="1" s="1"/>
  <c r="T29" i="1"/>
  <c r="U29" i="1" s="1"/>
  <c r="R29" i="1"/>
  <c r="S29" i="1" s="1"/>
  <c r="P29" i="1"/>
  <c r="Q29" i="1" s="1"/>
  <c r="N29" i="1"/>
  <c r="O29" i="1" s="1"/>
  <c r="L29" i="1"/>
  <c r="M29" i="1" s="1"/>
  <c r="T16" i="1"/>
  <c r="U16" i="1" s="1"/>
  <c r="P16" i="1"/>
  <c r="Q16" i="1" s="1"/>
  <c r="R16" i="1"/>
  <c r="S16" i="1" s="1"/>
  <c r="N16" i="1"/>
  <c r="O16" i="1" s="1"/>
  <c r="L16" i="1"/>
  <c r="M16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6" i="1"/>
  <c r="F211" i="1" l="1"/>
  <c r="F210" i="1"/>
  <c r="J140" i="1" l="1"/>
  <c r="V140" i="1"/>
  <c r="W140" i="1" s="1"/>
  <c r="T140" i="1"/>
  <c r="U140" i="1" s="1"/>
  <c r="N140" i="1"/>
  <c r="O140" i="1" s="1"/>
  <c r="R140" i="1"/>
  <c r="S140" i="1" s="1"/>
  <c r="P140" i="1"/>
  <c r="Q140" i="1" s="1"/>
  <c r="L140" i="1"/>
  <c r="M140" i="1" s="1"/>
  <c r="R139" i="1"/>
  <c r="S139" i="1" s="1"/>
  <c r="P139" i="1"/>
  <c r="Q139" i="1" s="1"/>
  <c r="J139" i="1"/>
  <c r="N139" i="1"/>
  <c r="O139" i="1" s="1"/>
  <c r="L139" i="1"/>
  <c r="M139" i="1" s="1"/>
  <c r="T139" i="1"/>
  <c r="U139" i="1" s="1"/>
  <c r="V139" i="1"/>
  <c r="W139" i="1" s="1"/>
  <c r="V210" i="1"/>
  <c r="W210" i="1" s="1"/>
  <c r="T210" i="1"/>
  <c r="U210" i="1" s="1"/>
  <c r="R210" i="1"/>
  <c r="S210" i="1" s="1"/>
  <c r="P210" i="1"/>
  <c r="Q210" i="1" s="1"/>
  <c r="L210" i="1"/>
  <c r="M210" i="1" s="1"/>
  <c r="N210" i="1"/>
  <c r="O210" i="1" s="1"/>
  <c r="J210" i="1"/>
  <c r="K210" i="1" s="1"/>
  <c r="J211" i="1"/>
  <c r="K211" i="1" s="1"/>
  <c r="V211" i="1"/>
  <c r="W211" i="1" s="1"/>
  <c r="T211" i="1"/>
  <c r="U211" i="1" s="1"/>
  <c r="N211" i="1"/>
  <c r="O211" i="1" s="1"/>
  <c r="R211" i="1"/>
  <c r="S211" i="1" s="1"/>
  <c r="P211" i="1"/>
  <c r="Q211" i="1" s="1"/>
  <c r="L211" i="1"/>
  <c r="M211" i="1" s="1"/>
  <c r="F535" i="1"/>
  <c r="F532" i="1"/>
  <c r="F531" i="1"/>
  <c r="F541" i="1"/>
  <c r="F540" i="1"/>
  <c r="F539" i="1"/>
  <c r="F538" i="1"/>
  <c r="F436" i="1"/>
  <c r="F435" i="1"/>
  <c r="F434" i="1"/>
  <c r="F363" i="1"/>
  <c r="F413" i="1"/>
  <c r="F367" i="1"/>
  <c r="F385" i="1"/>
  <c r="F384" i="1"/>
  <c r="F328" i="1"/>
  <c r="F296" i="1"/>
  <c r="F274" i="1"/>
  <c r="F392" i="1"/>
  <c r="F393" i="1"/>
  <c r="F404" i="1"/>
  <c r="F430" i="1"/>
  <c r="T425" i="1" l="1"/>
  <c r="U425" i="1" s="1"/>
  <c r="H425" i="1"/>
  <c r="I425" i="1" s="1"/>
  <c r="L425" i="1"/>
  <c r="M425" i="1" s="1"/>
  <c r="P425" i="1"/>
  <c r="Q425" i="1" s="1"/>
  <c r="N425" i="1"/>
  <c r="O425" i="1" s="1"/>
  <c r="R425" i="1"/>
  <c r="S425" i="1" s="1"/>
  <c r="V425" i="1"/>
  <c r="W425" i="1" s="1"/>
  <c r="J425" i="1"/>
  <c r="K425" i="1" s="1"/>
  <c r="H328" i="1"/>
  <c r="I328" i="1" s="1"/>
  <c r="N328" i="1"/>
  <c r="O328" i="1" s="1"/>
  <c r="R328" i="1"/>
  <c r="S328" i="1" s="1"/>
  <c r="L328" i="1"/>
  <c r="M328" i="1" s="1"/>
  <c r="P328" i="1"/>
  <c r="Q328" i="1" s="1"/>
  <c r="J328" i="1"/>
  <c r="K328" i="1" s="1"/>
  <c r="P429" i="1"/>
  <c r="Q429" i="1" s="1"/>
  <c r="H429" i="1"/>
  <c r="I429" i="1" s="1"/>
  <c r="T429" i="1"/>
  <c r="U429" i="1" s="1"/>
  <c r="J429" i="1"/>
  <c r="K429" i="1" s="1"/>
  <c r="V429" i="1"/>
  <c r="W429" i="1" s="1"/>
  <c r="N429" i="1"/>
  <c r="O429" i="1" s="1"/>
  <c r="L429" i="1"/>
  <c r="M429" i="1" s="1"/>
  <c r="R429" i="1"/>
  <c r="S429" i="1" s="1"/>
  <c r="T436" i="1"/>
  <c r="U436" i="1" s="1"/>
  <c r="P436" i="1"/>
  <c r="Q436" i="1" s="1"/>
  <c r="H436" i="1"/>
  <c r="I436" i="1" s="1"/>
  <c r="R436" i="1"/>
  <c r="S436" i="1" s="1"/>
  <c r="N436" i="1"/>
  <c r="O436" i="1" s="1"/>
  <c r="L436" i="1"/>
  <c r="M436" i="1" s="1"/>
  <c r="V436" i="1"/>
  <c r="W436" i="1" s="1"/>
  <c r="J436" i="1"/>
  <c r="K436" i="1" s="1"/>
  <c r="T434" i="1"/>
  <c r="U434" i="1" s="1"/>
  <c r="P434" i="1"/>
  <c r="Q434" i="1" s="1"/>
  <c r="H434" i="1"/>
  <c r="I434" i="1" s="1"/>
  <c r="L434" i="1"/>
  <c r="M434" i="1" s="1"/>
  <c r="N434" i="1"/>
  <c r="O434" i="1" s="1"/>
  <c r="R434" i="1"/>
  <c r="S434" i="1" s="1"/>
  <c r="V434" i="1"/>
  <c r="W434" i="1" s="1"/>
  <c r="J434" i="1"/>
  <c r="K434" i="1" s="1"/>
  <c r="V420" i="1"/>
  <c r="W420" i="1" s="1"/>
  <c r="P420" i="1"/>
  <c r="Q420" i="1" s="1"/>
  <c r="J420" i="1"/>
  <c r="K420" i="1" s="1"/>
  <c r="N420" i="1"/>
  <c r="O420" i="1" s="1"/>
  <c r="R420" i="1"/>
  <c r="S420" i="1" s="1"/>
  <c r="T420" i="1"/>
  <c r="U420" i="1" s="1"/>
  <c r="H420" i="1"/>
  <c r="I420" i="1" s="1"/>
  <c r="L420" i="1"/>
  <c r="M420" i="1" s="1"/>
  <c r="T432" i="1"/>
  <c r="U432" i="1" s="1"/>
  <c r="L432" i="1"/>
  <c r="M432" i="1" s="1"/>
  <c r="P432" i="1"/>
  <c r="Q432" i="1" s="1"/>
  <c r="V432" i="1"/>
  <c r="W432" i="1" s="1"/>
  <c r="R432" i="1"/>
  <c r="S432" i="1" s="1"/>
  <c r="J432" i="1"/>
  <c r="K432" i="1" s="1"/>
  <c r="H432" i="1"/>
  <c r="I432" i="1" s="1"/>
  <c r="N432" i="1"/>
  <c r="O432" i="1" s="1"/>
  <c r="T541" i="1"/>
  <c r="U541" i="1" s="1"/>
  <c r="L541" i="1"/>
  <c r="M541" i="1" s="1"/>
  <c r="R541" i="1"/>
  <c r="S541" i="1" s="1"/>
  <c r="J541" i="1"/>
  <c r="K541" i="1" s="1"/>
  <c r="H541" i="1"/>
  <c r="I541" i="1" s="1"/>
  <c r="V541" i="1"/>
  <c r="W541" i="1" s="1"/>
  <c r="P541" i="1"/>
  <c r="Q541" i="1" s="1"/>
  <c r="N541" i="1"/>
  <c r="O541" i="1" s="1"/>
  <c r="N419" i="1"/>
  <c r="O419" i="1" s="1"/>
  <c r="P419" i="1"/>
  <c r="Q419" i="1" s="1"/>
  <c r="T419" i="1"/>
  <c r="U419" i="1" s="1"/>
  <c r="H419" i="1"/>
  <c r="I419" i="1" s="1"/>
  <c r="R419" i="1"/>
  <c r="S419" i="1" s="1"/>
  <c r="L419" i="1"/>
  <c r="M419" i="1" s="1"/>
  <c r="V419" i="1"/>
  <c r="W419" i="1" s="1"/>
  <c r="J419" i="1"/>
  <c r="K419" i="1" s="1"/>
  <c r="T538" i="1"/>
  <c r="U538" i="1" s="1"/>
  <c r="L538" i="1"/>
  <c r="M538" i="1" s="1"/>
  <c r="R538" i="1"/>
  <c r="S538" i="1" s="1"/>
  <c r="J538" i="1"/>
  <c r="K538" i="1" s="1"/>
  <c r="H538" i="1"/>
  <c r="I538" i="1" s="1"/>
  <c r="V538" i="1"/>
  <c r="W538" i="1" s="1"/>
  <c r="P538" i="1"/>
  <c r="Q538" i="1" s="1"/>
  <c r="N538" i="1"/>
  <c r="O538" i="1" s="1"/>
  <c r="T531" i="1"/>
  <c r="U531" i="1" s="1"/>
  <c r="L531" i="1"/>
  <c r="M531" i="1" s="1"/>
  <c r="R531" i="1"/>
  <c r="S531" i="1" s="1"/>
  <c r="J531" i="1"/>
  <c r="K531" i="1" s="1"/>
  <c r="H531" i="1"/>
  <c r="I531" i="1" s="1"/>
  <c r="V531" i="1"/>
  <c r="W531" i="1" s="1"/>
  <c r="P531" i="1"/>
  <c r="Q531" i="1" s="1"/>
  <c r="N531" i="1"/>
  <c r="O531" i="1" s="1"/>
  <c r="V430" i="1"/>
  <c r="W430" i="1" s="1"/>
  <c r="N430" i="1"/>
  <c r="O430" i="1" s="1"/>
  <c r="J430" i="1"/>
  <c r="K430" i="1" s="1"/>
  <c r="H430" i="1"/>
  <c r="I430" i="1" s="1"/>
  <c r="T430" i="1"/>
  <c r="U430" i="1" s="1"/>
  <c r="L430" i="1"/>
  <c r="M430" i="1" s="1"/>
  <c r="R430" i="1"/>
  <c r="S430" i="1" s="1"/>
  <c r="P430" i="1"/>
  <c r="Q430" i="1" s="1"/>
  <c r="R433" i="1"/>
  <c r="S433" i="1" s="1"/>
  <c r="L433" i="1"/>
  <c r="M433" i="1" s="1"/>
  <c r="V433" i="1"/>
  <c r="W433" i="1" s="1"/>
  <c r="P433" i="1"/>
  <c r="Q433" i="1" s="1"/>
  <c r="J433" i="1"/>
  <c r="K433" i="1" s="1"/>
  <c r="T433" i="1"/>
  <c r="U433" i="1" s="1"/>
  <c r="H433" i="1"/>
  <c r="I433" i="1" s="1"/>
  <c r="N433" i="1"/>
  <c r="O433" i="1" s="1"/>
  <c r="T539" i="1"/>
  <c r="U539" i="1" s="1"/>
  <c r="L539" i="1"/>
  <c r="M539" i="1" s="1"/>
  <c r="R539" i="1"/>
  <c r="S539" i="1" s="1"/>
  <c r="J539" i="1"/>
  <c r="K539" i="1" s="1"/>
  <c r="H539" i="1"/>
  <c r="I539" i="1" s="1"/>
  <c r="V539" i="1"/>
  <c r="W539" i="1" s="1"/>
  <c r="P539" i="1"/>
  <c r="Q539" i="1" s="1"/>
  <c r="N539" i="1"/>
  <c r="O539" i="1" s="1"/>
  <c r="T532" i="1"/>
  <c r="U532" i="1" s="1"/>
  <c r="L532" i="1"/>
  <c r="M532" i="1" s="1"/>
  <c r="R532" i="1"/>
  <c r="S532" i="1" s="1"/>
  <c r="J532" i="1"/>
  <c r="K532" i="1" s="1"/>
  <c r="P532" i="1"/>
  <c r="Q532" i="1" s="1"/>
  <c r="N532" i="1"/>
  <c r="O532" i="1" s="1"/>
  <c r="V532" i="1"/>
  <c r="W532" i="1" s="1"/>
  <c r="H532" i="1"/>
  <c r="I532" i="1" s="1"/>
  <c r="R426" i="1"/>
  <c r="S426" i="1" s="1"/>
  <c r="L426" i="1"/>
  <c r="M426" i="1" s="1"/>
  <c r="N426" i="1"/>
  <c r="O426" i="1" s="1"/>
  <c r="V426" i="1"/>
  <c r="W426" i="1" s="1"/>
  <c r="P426" i="1"/>
  <c r="Q426" i="1" s="1"/>
  <c r="J426" i="1"/>
  <c r="K426" i="1" s="1"/>
  <c r="T426" i="1"/>
  <c r="U426" i="1" s="1"/>
  <c r="H426" i="1"/>
  <c r="I426" i="1" s="1"/>
  <c r="N431" i="1"/>
  <c r="O431" i="1" s="1"/>
  <c r="H431" i="1"/>
  <c r="I431" i="1" s="1"/>
  <c r="R431" i="1"/>
  <c r="S431" i="1" s="1"/>
  <c r="V431" i="1"/>
  <c r="W431" i="1" s="1"/>
  <c r="T431" i="1"/>
  <c r="U431" i="1" s="1"/>
  <c r="L431" i="1"/>
  <c r="M431" i="1" s="1"/>
  <c r="J431" i="1"/>
  <c r="K431" i="1" s="1"/>
  <c r="P431" i="1"/>
  <c r="Q431" i="1" s="1"/>
  <c r="R435" i="1"/>
  <c r="S435" i="1" s="1"/>
  <c r="L435" i="1"/>
  <c r="M435" i="1" s="1"/>
  <c r="T435" i="1"/>
  <c r="U435" i="1" s="1"/>
  <c r="H435" i="1"/>
  <c r="I435" i="1" s="1"/>
  <c r="N435" i="1"/>
  <c r="O435" i="1" s="1"/>
  <c r="V435" i="1"/>
  <c r="W435" i="1" s="1"/>
  <c r="J435" i="1"/>
  <c r="K435" i="1" s="1"/>
  <c r="P435" i="1"/>
  <c r="Q435" i="1" s="1"/>
  <c r="V540" i="1"/>
  <c r="W540" i="1" s="1"/>
  <c r="P540" i="1"/>
  <c r="Q540" i="1" s="1"/>
  <c r="T540" i="1"/>
  <c r="U540" i="1" s="1"/>
  <c r="J540" i="1"/>
  <c r="K540" i="1" s="1"/>
  <c r="H540" i="1"/>
  <c r="I540" i="1" s="1"/>
  <c r="R540" i="1"/>
  <c r="S540" i="1" s="1"/>
  <c r="N540" i="1"/>
  <c r="O540" i="1" s="1"/>
  <c r="L540" i="1"/>
  <c r="M540" i="1" s="1"/>
  <c r="V535" i="1"/>
  <c r="W535" i="1" s="1"/>
  <c r="P535" i="1"/>
  <c r="Q535" i="1" s="1"/>
  <c r="T535" i="1"/>
  <c r="U535" i="1" s="1"/>
  <c r="J535" i="1"/>
  <c r="K535" i="1" s="1"/>
  <c r="N535" i="1"/>
  <c r="O535" i="1" s="1"/>
  <c r="L535" i="1"/>
  <c r="M535" i="1" s="1"/>
  <c r="R535" i="1"/>
  <c r="S535" i="1" s="1"/>
  <c r="H535" i="1"/>
  <c r="I535" i="1" s="1"/>
  <c r="P404" i="1"/>
  <c r="Q404" i="1" s="1"/>
  <c r="N404" i="1"/>
  <c r="O404" i="1" s="1"/>
  <c r="L404" i="1"/>
  <c r="M404" i="1" s="1"/>
  <c r="R404" i="1"/>
  <c r="S404" i="1" s="1"/>
  <c r="V404" i="1"/>
  <c r="W404" i="1" s="1"/>
  <c r="T404" i="1"/>
  <c r="U404" i="1" s="1"/>
  <c r="T393" i="1"/>
  <c r="U393" i="1" s="1"/>
  <c r="R393" i="1"/>
  <c r="S393" i="1" s="1"/>
  <c r="P393" i="1"/>
  <c r="Q393" i="1" s="1"/>
  <c r="L393" i="1"/>
  <c r="M393" i="1" s="1"/>
  <c r="N393" i="1"/>
  <c r="O393" i="1" s="1"/>
  <c r="V393" i="1"/>
  <c r="W393" i="1" s="1"/>
  <c r="N413" i="1"/>
  <c r="O413" i="1" s="1"/>
  <c r="P413" i="1"/>
  <c r="Q413" i="1" s="1"/>
  <c r="R413" i="1"/>
  <c r="S413" i="1" s="1"/>
  <c r="V413" i="1"/>
  <c r="W413" i="1" s="1"/>
  <c r="T413" i="1"/>
  <c r="U413" i="1" s="1"/>
  <c r="L413" i="1"/>
  <c r="M413" i="1" s="1"/>
  <c r="V392" i="1"/>
  <c r="W392" i="1" s="1"/>
  <c r="N392" i="1"/>
  <c r="O392" i="1" s="1"/>
  <c r="T392" i="1"/>
  <c r="U392" i="1" s="1"/>
  <c r="R392" i="1"/>
  <c r="S392" i="1" s="1"/>
  <c r="L392" i="1"/>
  <c r="M392" i="1" s="1"/>
  <c r="P392" i="1"/>
  <c r="Q392" i="1" s="1"/>
  <c r="V403" i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N395" i="1"/>
  <c r="O395" i="1" s="1"/>
  <c r="V395" i="1"/>
  <c r="W395" i="1" s="1"/>
  <c r="L395" i="1"/>
  <c r="M395" i="1" s="1"/>
  <c r="T395" i="1"/>
  <c r="U395" i="1" s="1"/>
  <c r="R395" i="1"/>
  <c r="S395" i="1" s="1"/>
  <c r="P395" i="1"/>
  <c r="Q395" i="1" s="1"/>
  <c r="V367" i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V363" i="1"/>
  <c r="W363" i="1" s="1"/>
  <c r="R363" i="1"/>
  <c r="S363" i="1" s="1"/>
  <c r="P363" i="1"/>
  <c r="Q363" i="1" s="1"/>
  <c r="N363" i="1"/>
  <c r="O363" i="1" s="1"/>
  <c r="L363" i="1"/>
  <c r="M363" i="1" s="1"/>
  <c r="T363" i="1"/>
  <c r="U363" i="1" s="1"/>
  <c r="P311" i="1"/>
  <c r="Q311" i="1" s="1"/>
  <c r="N311" i="1"/>
  <c r="O311" i="1" s="1"/>
  <c r="L311" i="1"/>
  <c r="M311" i="1" s="1"/>
  <c r="J311" i="1"/>
  <c r="K311" i="1" s="1"/>
  <c r="H311" i="1"/>
  <c r="I311" i="1" s="1"/>
  <c r="V311" i="1"/>
  <c r="W311" i="1" s="1"/>
  <c r="T311" i="1"/>
  <c r="U311" i="1" s="1"/>
  <c r="R311" i="1"/>
  <c r="S311" i="1" s="1"/>
  <c r="L315" i="1"/>
  <c r="M315" i="1" s="1"/>
  <c r="J315" i="1"/>
  <c r="K315" i="1" s="1"/>
  <c r="H315" i="1"/>
  <c r="I315" i="1" s="1"/>
  <c r="V315" i="1"/>
  <c r="W315" i="1" s="1"/>
  <c r="T315" i="1"/>
  <c r="U315" i="1" s="1"/>
  <c r="R315" i="1"/>
  <c r="S315" i="1" s="1"/>
  <c r="P315" i="1"/>
  <c r="Q315" i="1" s="1"/>
  <c r="N315" i="1"/>
  <c r="O315" i="1" s="1"/>
  <c r="L274" i="1"/>
  <c r="M274" i="1" s="1"/>
  <c r="V274" i="1"/>
  <c r="W274" i="1" s="1"/>
  <c r="T274" i="1"/>
  <c r="U274" i="1" s="1"/>
  <c r="R274" i="1"/>
  <c r="S274" i="1" s="1"/>
  <c r="P274" i="1"/>
  <c r="Q274" i="1" s="1"/>
  <c r="N274" i="1"/>
  <c r="O274" i="1" s="1"/>
  <c r="J274" i="1"/>
  <c r="K274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T385" i="1"/>
  <c r="U385" i="1" s="1"/>
  <c r="R385" i="1"/>
  <c r="S385" i="1" s="1"/>
  <c r="P385" i="1"/>
  <c r="Q385" i="1" s="1"/>
  <c r="N385" i="1"/>
  <c r="O385" i="1" s="1"/>
  <c r="L385" i="1"/>
  <c r="M385" i="1" s="1"/>
  <c r="V385" i="1"/>
  <c r="W385" i="1" s="1"/>
  <c r="P384" i="1"/>
  <c r="Q384" i="1" s="1"/>
  <c r="N384" i="1"/>
  <c r="O384" i="1" s="1"/>
  <c r="L384" i="1"/>
  <c r="M384" i="1" s="1"/>
  <c r="V384" i="1"/>
  <c r="W384" i="1" s="1"/>
  <c r="T384" i="1"/>
  <c r="U384" i="1" s="1"/>
  <c r="R384" i="1"/>
  <c r="S384" i="1" s="1"/>
  <c r="G315" i="1"/>
  <c r="G311" i="1"/>
  <c r="G274" i="1"/>
  <c r="G392" i="1"/>
  <c r="G393" i="1"/>
  <c r="G430" i="1" l="1"/>
  <c r="F468" i="1" l="1"/>
  <c r="F489" i="1"/>
  <c r="F488" i="1"/>
  <c r="F492" i="1"/>
  <c r="F518" i="1"/>
  <c r="G512" i="1"/>
  <c r="F509" i="1"/>
  <c r="F672" i="1"/>
  <c r="F688" i="1"/>
  <c r="F687" i="1"/>
  <c r="F685" i="1"/>
  <c r="T688" i="1" l="1"/>
  <c r="N688" i="1"/>
  <c r="L688" i="1"/>
  <c r="P688" i="1"/>
  <c r="J688" i="1"/>
  <c r="K688" i="1" s="1"/>
  <c r="R688" i="1"/>
  <c r="R685" i="1"/>
  <c r="P685" i="1"/>
  <c r="T685" i="1"/>
  <c r="J685" i="1"/>
  <c r="K685" i="1" s="1"/>
  <c r="V685" i="1"/>
  <c r="L685" i="1"/>
  <c r="N685" i="1"/>
  <c r="R687" i="1"/>
  <c r="S687" i="1" s="1"/>
  <c r="J687" i="1"/>
  <c r="K687" i="1" s="1"/>
  <c r="P687" i="1"/>
  <c r="Q687" i="1" s="1"/>
  <c r="H687" i="1"/>
  <c r="I687" i="1" s="1"/>
  <c r="T687" i="1"/>
  <c r="U687" i="1" s="1"/>
  <c r="V687" i="1"/>
  <c r="W687" i="1" s="1"/>
  <c r="N687" i="1"/>
  <c r="O687" i="1" s="1"/>
  <c r="L687" i="1"/>
  <c r="M687" i="1" s="1"/>
  <c r="R672" i="1"/>
  <c r="S672" i="1" s="1"/>
  <c r="J672" i="1"/>
  <c r="K672" i="1" s="1"/>
  <c r="T672" i="1"/>
  <c r="U672" i="1" s="1"/>
  <c r="L672" i="1"/>
  <c r="M672" i="1" s="1"/>
  <c r="P672" i="1"/>
  <c r="Q672" i="1" s="1"/>
  <c r="H672" i="1"/>
  <c r="I672" i="1" s="1"/>
  <c r="V672" i="1"/>
  <c r="W672" i="1" s="1"/>
  <c r="N672" i="1"/>
  <c r="O672" i="1" s="1"/>
  <c r="R508" i="1"/>
  <c r="S508" i="1" s="1"/>
  <c r="L508" i="1"/>
  <c r="M508" i="1" s="1"/>
  <c r="H508" i="1"/>
  <c r="I508" i="1" s="1"/>
  <c r="V508" i="1"/>
  <c r="W508" i="1" s="1"/>
  <c r="P508" i="1"/>
  <c r="Q508" i="1" s="1"/>
  <c r="N508" i="1"/>
  <c r="O508" i="1" s="1"/>
  <c r="T508" i="1"/>
  <c r="U508" i="1" s="1"/>
  <c r="J508" i="1"/>
  <c r="K508" i="1" s="1"/>
  <c r="H509" i="1"/>
  <c r="I509" i="1" s="1"/>
  <c r="N509" i="1"/>
  <c r="O509" i="1" s="1"/>
  <c r="R509" i="1"/>
  <c r="S509" i="1" s="1"/>
  <c r="L509" i="1"/>
  <c r="M509" i="1" s="1"/>
  <c r="T509" i="1"/>
  <c r="U509" i="1" s="1"/>
  <c r="J509" i="1"/>
  <c r="K509" i="1" s="1"/>
  <c r="V509" i="1"/>
  <c r="W509" i="1" s="1"/>
  <c r="P509" i="1"/>
  <c r="Q509" i="1" s="1"/>
  <c r="T518" i="1"/>
  <c r="U518" i="1" s="1"/>
  <c r="L518" i="1"/>
  <c r="M518" i="1" s="1"/>
  <c r="R518" i="1"/>
  <c r="S518" i="1" s="1"/>
  <c r="J518" i="1"/>
  <c r="K518" i="1" s="1"/>
  <c r="H518" i="1"/>
  <c r="I518" i="1" s="1"/>
  <c r="N518" i="1"/>
  <c r="O518" i="1" s="1"/>
  <c r="V518" i="1"/>
  <c r="W518" i="1" s="1"/>
  <c r="P518" i="1"/>
  <c r="Q518" i="1" s="1"/>
  <c r="R492" i="1"/>
  <c r="S492" i="1" s="1"/>
  <c r="H492" i="1"/>
  <c r="I492" i="1" s="1"/>
  <c r="V492" i="1"/>
  <c r="W492" i="1" s="1"/>
  <c r="T492" i="1"/>
  <c r="U492" i="1" s="1"/>
  <c r="P492" i="1"/>
  <c r="Q492" i="1" s="1"/>
  <c r="L492" i="1"/>
  <c r="M492" i="1" s="1"/>
  <c r="N492" i="1"/>
  <c r="O492" i="1" s="1"/>
  <c r="J492" i="1"/>
  <c r="K492" i="1" s="1"/>
  <c r="L488" i="1"/>
  <c r="M488" i="1" s="1"/>
  <c r="J488" i="1"/>
  <c r="K488" i="1" s="1"/>
  <c r="N488" i="1"/>
  <c r="O488" i="1" s="1"/>
  <c r="H488" i="1"/>
  <c r="I488" i="1" s="1"/>
  <c r="V488" i="1"/>
  <c r="W488" i="1" s="1"/>
  <c r="R488" i="1"/>
  <c r="S488" i="1" s="1"/>
  <c r="P488" i="1"/>
  <c r="Q488" i="1" s="1"/>
  <c r="T488" i="1"/>
  <c r="U488" i="1" s="1"/>
  <c r="L489" i="1"/>
  <c r="M489" i="1" s="1"/>
  <c r="J489" i="1"/>
  <c r="K489" i="1" s="1"/>
  <c r="H489" i="1"/>
  <c r="I489" i="1" s="1"/>
  <c r="G509" i="1"/>
  <c r="G508" i="1"/>
  <c r="G672" i="1"/>
  <c r="G687" i="1"/>
  <c r="F618" i="1" l="1"/>
  <c r="F314" i="1"/>
  <c r="L618" i="1" l="1"/>
  <c r="M618" i="1" s="1"/>
  <c r="R618" i="1"/>
  <c r="S618" i="1" s="1"/>
  <c r="H618" i="1"/>
  <c r="I618" i="1" s="1"/>
  <c r="N618" i="1"/>
  <c r="O618" i="1" s="1"/>
  <c r="J618" i="1"/>
  <c r="K618" i="1" s="1"/>
  <c r="V618" i="1"/>
  <c r="W618" i="1" s="1"/>
  <c r="P618" i="1"/>
  <c r="Q618" i="1" s="1"/>
  <c r="T618" i="1"/>
  <c r="U618" i="1" s="1"/>
  <c r="L314" i="1"/>
  <c r="M314" i="1" s="1"/>
  <c r="H314" i="1"/>
  <c r="I314" i="1" s="1"/>
  <c r="V314" i="1"/>
  <c r="W314" i="1" s="1"/>
  <c r="T314" i="1"/>
  <c r="U314" i="1" s="1"/>
  <c r="R314" i="1"/>
  <c r="S314" i="1" s="1"/>
  <c r="P314" i="1"/>
  <c r="Q314" i="1" s="1"/>
  <c r="J314" i="1"/>
  <c r="K314" i="1" s="1"/>
  <c r="N314" i="1"/>
  <c r="O314" i="1" s="1"/>
  <c r="H14" i="1"/>
  <c r="R14" i="1"/>
  <c r="J14" i="1"/>
  <c r="T14" i="1"/>
  <c r="L14" i="1"/>
  <c r="P14" i="1"/>
  <c r="N14" i="1"/>
  <c r="G618" i="1"/>
  <c r="G470" i="1"/>
  <c r="G420" i="1" l="1"/>
  <c r="G469" i="1"/>
  <c r="F332" i="1"/>
  <c r="G332" i="1" l="1"/>
  <c r="G234" i="1" l="1"/>
  <c r="G545" i="1" l="1"/>
  <c r="R290" i="1" l="1"/>
  <c r="S290" i="1" s="1"/>
  <c r="N290" i="1"/>
  <c r="O290" i="1" s="1"/>
  <c r="L290" i="1"/>
  <c r="M290" i="1" s="1"/>
  <c r="J290" i="1"/>
  <c r="K290" i="1" s="1"/>
  <c r="H290" i="1"/>
  <c r="I290" i="1" s="1"/>
  <c r="V290" i="1"/>
  <c r="W290" i="1" s="1"/>
  <c r="T290" i="1"/>
  <c r="U290" i="1" s="1"/>
  <c r="P290" i="1"/>
  <c r="Q290" i="1" s="1"/>
  <c r="G290" i="1"/>
  <c r="G272" i="1" l="1"/>
  <c r="L447" i="1"/>
  <c r="F439" i="1" l="1"/>
  <c r="F423" i="1"/>
  <c r="V423" i="1" l="1"/>
  <c r="N423" i="1"/>
  <c r="O423" i="1" s="1"/>
  <c r="J423" i="1"/>
  <c r="K423" i="1" s="1"/>
  <c r="H423" i="1"/>
  <c r="I423" i="1" s="1"/>
  <c r="T423" i="1"/>
  <c r="U423" i="1" s="1"/>
  <c r="L423" i="1"/>
  <c r="R423" i="1"/>
  <c r="S423" i="1" s="1"/>
  <c r="P423" i="1"/>
  <c r="Q423" i="1" s="1"/>
  <c r="P439" i="1"/>
  <c r="Q439" i="1" s="1"/>
  <c r="H439" i="1"/>
  <c r="I439" i="1" s="1"/>
  <c r="L439" i="1"/>
  <c r="M439" i="1" s="1"/>
  <c r="R439" i="1"/>
  <c r="S439" i="1" s="1"/>
  <c r="V439" i="1"/>
  <c r="W439" i="1" s="1"/>
  <c r="N439" i="1"/>
  <c r="O439" i="1" s="1"/>
  <c r="T439" i="1"/>
  <c r="U439" i="1" s="1"/>
  <c r="J439" i="1"/>
  <c r="K439" i="1" s="1"/>
  <c r="G439" i="1"/>
  <c r="G423" i="1"/>
  <c r="W423" i="1"/>
  <c r="M423" i="1"/>
  <c r="F250" i="1"/>
  <c r="K497" i="1"/>
  <c r="G497" i="1"/>
  <c r="I632" i="1"/>
  <c r="I633" i="1"/>
  <c r="W499" i="1"/>
  <c r="U499" i="1"/>
  <c r="S499" i="1"/>
  <c r="Q499" i="1"/>
  <c r="O499" i="1"/>
  <c r="M499" i="1"/>
  <c r="N459" i="1" l="1"/>
  <c r="O459" i="1" s="1"/>
  <c r="H459" i="1"/>
  <c r="I459" i="1" s="1"/>
  <c r="R459" i="1"/>
  <c r="S459" i="1" s="1"/>
  <c r="L459" i="1"/>
  <c r="M459" i="1" s="1"/>
  <c r="V459" i="1"/>
  <c r="W459" i="1" s="1"/>
  <c r="P459" i="1"/>
  <c r="Q459" i="1" s="1"/>
  <c r="T459" i="1"/>
  <c r="U459" i="1" s="1"/>
  <c r="J459" i="1"/>
  <c r="K459" i="1" s="1"/>
  <c r="P424" i="1"/>
  <c r="Q424" i="1" s="1"/>
  <c r="H424" i="1"/>
  <c r="I424" i="1" s="1"/>
  <c r="J424" i="1"/>
  <c r="K424" i="1" s="1"/>
  <c r="V424" i="1"/>
  <c r="W424" i="1" s="1"/>
  <c r="N424" i="1"/>
  <c r="O424" i="1" s="1"/>
  <c r="T424" i="1"/>
  <c r="U424" i="1" s="1"/>
  <c r="L424" i="1"/>
  <c r="M424" i="1" s="1"/>
  <c r="R424" i="1"/>
  <c r="S424" i="1" s="1"/>
  <c r="N250" i="1"/>
  <c r="O250" i="1" s="1"/>
  <c r="P250" i="1"/>
  <c r="Q250" i="1" s="1"/>
  <c r="R250" i="1"/>
  <c r="S250" i="1" s="1"/>
  <c r="T250" i="1"/>
  <c r="U250" i="1" s="1"/>
  <c r="V250" i="1"/>
  <c r="W250" i="1" s="1"/>
  <c r="H250" i="1"/>
  <c r="I250" i="1" s="1"/>
  <c r="J250" i="1"/>
  <c r="K250" i="1" s="1"/>
  <c r="L250" i="1"/>
  <c r="M250" i="1" s="1"/>
  <c r="G570" i="1"/>
  <c r="G250" i="1"/>
  <c r="G424" i="1"/>
  <c r="G459" i="1"/>
  <c r="P468" i="1"/>
  <c r="J468" i="1" l="1"/>
  <c r="K468" i="1" s="1"/>
  <c r="L468" i="1"/>
  <c r="M468" i="1" s="1"/>
  <c r="N468" i="1"/>
  <c r="O468" i="1" s="1"/>
  <c r="V468" i="1"/>
  <c r="W468" i="1" s="1"/>
  <c r="T468" i="1"/>
  <c r="U468" i="1" s="1"/>
  <c r="R468" i="1"/>
  <c r="S468" i="1" s="1"/>
  <c r="G176" i="1"/>
  <c r="Q468" i="1"/>
  <c r="G468" i="1"/>
  <c r="G257" i="1" l="1"/>
  <c r="F371" i="1"/>
  <c r="V371" i="1" l="1"/>
  <c r="W371" i="1" s="1"/>
  <c r="R371" i="1"/>
  <c r="S371" i="1" s="1"/>
  <c r="P371" i="1"/>
  <c r="Q371" i="1" s="1"/>
  <c r="N371" i="1"/>
  <c r="O371" i="1" s="1"/>
  <c r="L371" i="1"/>
  <c r="M371" i="1" s="1"/>
  <c r="T371" i="1"/>
  <c r="U371" i="1" s="1"/>
  <c r="G371" i="1"/>
  <c r="F361" i="1"/>
  <c r="V391" i="1" l="1"/>
  <c r="W391" i="1" s="1"/>
  <c r="T391" i="1"/>
  <c r="U391" i="1" s="1"/>
  <c r="R391" i="1"/>
  <c r="S391" i="1" s="1"/>
  <c r="L391" i="1"/>
  <c r="M391" i="1" s="1"/>
  <c r="P391" i="1"/>
  <c r="Q391" i="1" s="1"/>
  <c r="N391" i="1"/>
  <c r="O391" i="1" s="1"/>
  <c r="V361" i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G603" i="1"/>
  <c r="F581" i="1"/>
  <c r="F575" i="1"/>
  <c r="F583" i="1"/>
  <c r="F592" i="1"/>
  <c r="P577" i="1" l="1"/>
  <c r="Q577" i="1" s="1"/>
  <c r="H577" i="1"/>
  <c r="I577" i="1" s="1"/>
  <c r="V577" i="1"/>
  <c r="W577" i="1" s="1"/>
  <c r="N577" i="1"/>
  <c r="O577" i="1" s="1"/>
  <c r="T577" i="1"/>
  <c r="U577" i="1" s="1"/>
  <c r="L577" i="1"/>
  <c r="M577" i="1" s="1"/>
  <c r="J577" i="1"/>
  <c r="K577" i="1" s="1"/>
  <c r="R577" i="1"/>
  <c r="S577" i="1" s="1"/>
  <c r="H598" i="1"/>
  <c r="I598" i="1" s="1"/>
  <c r="L598" i="1"/>
  <c r="M598" i="1" s="1"/>
  <c r="P598" i="1"/>
  <c r="Q598" i="1" s="1"/>
  <c r="T598" i="1"/>
  <c r="U598" i="1" s="1"/>
  <c r="N598" i="1"/>
  <c r="O598" i="1" s="1"/>
  <c r="V598" i="1"/>
  <c r="W598" i="1" s="1"/>
  <c r="J598" i="1"/>
  <c r="K598" i="1" s="1"/>
  <c r="R598" i="1"/>
  <c r="S598" i="1" s="1"/>
  <c r="P575" i="1"/>
  <c r="Q575" i="1" s="1"/>
  <c r="H575" i="1"/>
  <c r="I575" i="1" s="1"/>
  <c r="V575" i="1"/>
  <c r="W575" i="1" s="1"/>
  <c r="N575" i="1"/>
  <c r="O575" i="1" s="1"/>
  <c r="T575" i="1"/>
  <c r="U575" i="1" s="1"/>
  <c r="R575" i="1"/>
  <c r="S575" i="1" s="1"/>
  <c r="L575" i="1"/>
  <c r="M575" i="1" s="1"/>
  <c r="J575" i="1"/>
  <c r="K575" i="1" s="1"/>
  <c r="H592" i="1"/>
  <c r="I592" i="1" s="1"/>
  <c r="L592" i="1"/>
  <c r="M592" i="1" s="1"/>
  <c r="P592" i="1"/>
  <c r="Q592" i="1" s="1"/>
  <c r="T592" i="1"/>
  <c r="U592" i="1" s="1"/>
  <c r="N592" i="1"/>
  <c r="O592" i="1" s="1"/>
  <c r="V592" i="1"/>
  <c r="W592" i="1" s="1"/>
  <c r="J592" i="1"/>
  <c r="K592" i="1" s="1"/>
  <c r="R592" i="1"/>
  <c r="S592" i="1" s="1"/>
  <c r="P581" i="1"/>
  <c r="Q581" i="1" s="1"/>
  <c r="H581" i="1"/>
  <c r="I581" i="1" s="1"/>
  <c r="V581" i="1"/>
  <c r="W581" i="1" s="1"/>
  <c r="N581" i="1"/>
  <c r="O581" i="1" s="1"/>
  <c r="T581" i="1"/>
  <c r="U581" i="1" s="1"/>
  <c r="L581" i="1"/>
  <c r="M581" i="1" s="1"/>
  <c r="J581" i="1"/>
  <c r="K581" i="1" s="1"/>
  <c r="R581" i="1"/>
  <c r="S581" i="1" s="1"/>
  <c r="H594" i="1"/>
  <c r="I594" i="1" s="1"/>
  <c r="L594" i="1"/>
  <c r="M594" i="1" s="1"/>
  <c r="P594" i="1"/>
  <c r="Q594" i="1" s="1"/>
  <c r="T594" i="1"/>
  <c r="U594" i="1" s="1"/>
  <c r="N594" i="1"/>
  <c r="O594" i="1" s="1"/>
  <c r="V594" i="1"/>
  <c r="W594" i="1" s="1"/>
  <c r="J594" i="1"/>
  <c r="K594" i="1" s="1"/>
  <c r="R594" i="1"/>
  <c r="S594" i="1" s="1"/>
  <c r="H584" i="1"/>
  <c r="I584" i="1" s="1"/>
  <c r="L584" i="1"/>
  <c r="M584" i="1" s="1"/>
  <c r="P584" i="1"/>
  <c r="Q584" i="1" s="1"/>
  <c r="T584" i="1"/>
  <c r="U584" i="1" s="1"/>
  <c r="J584" i="1"/>
  <c r="K584" i="1" s="1"/>
  <c r="R584" i="1"/>
  <c r="S584" i="1" s="1"/>
  <c r="V584" i="1"/>
  <c r="W584" i="1" s="1"/>
  <c r="N584" i="1"/>
  <c r="O584" i="1" s="1"/>
  <c r="P583" i="1"/>
  <c r="Q583" i="1" s="1"/>
  <c r="H583" i="1"/>
  <c r="I583" i="1" s="1"/>
  <c r="V583" i="1"/>
  <c r="W583" i="1" s="1"/>
  <c r="N583" i="1"/>
  <c r="O583" i="1" s="1"/>
  <c r="T583" i="1"/>
  <c r="U583" i="1" s="1"/>
  <c r="L583" i="1"/>
  <c r="M583" i="1" s="1"/>
  <c r="J583" i="1"/>
  <c r="K583" i="1" s="1"/>
  <c r="R583" i="1"/>
  <c r="S583" i="1" s="1"/>
  <c r="G598" i="1"/>
  <c r="G581" i="1"/>
  <c r="G577" i="1"/>
  <c r="G594" i="1" l="1"/>
  <c r="F321" i="1" l="1"/>
  <c r="F297" i="1"/>
  <c r="F292" i="1"/>
  <c r="F282" i="1"/>
  <c r="F286" i="1"/>
  <c r="F248" i="1"/>
  <c r="F278" i="1"/>
  <c r="F270" i="1"/>
  <c r="F269" i="1"/>
  <c r="F261" i="1"/>
  <c r="F260" i="1"/>
  <c r="F251" i="1"/>
  <c r="F591" i="1"/>
  <c r="F231" i="1"/>
  <c r="F171" i="1"/>
  <c r="F170" i="1"/>
  <c r="H591" i="1" l="1"/>
  <c r="I591" i="1" s="1"/>
  <c r="L591" i="1"/>
  <c r="M591" i="1" s="1"/>
  <c r="P591" i="1"/>
  <c r="Q591" i="1" s="1"/>
  <c r="T591" i="1"/>
  <c r="U591" i="1" s="1"/>
  <c r="N591" i="1"/>
  <c r="O591" i="1" s="1"/>
  <c r="V591" i="1"/>
  <c r="W591" i="1" s="1"/>
  <c r="R591" i="1"/>
  <c r="S591" i="1" s="1"/>
  <c r="J591" i="1"/>
  <c r="K591" i="1" s="1"/>
  <c r="N269" i="1"/>
  <c r="O269" i="1" s="1"/>
  <c r="R269" i="1"/>
  <c r="S269" i="1" s="1"/>
  <c r="V269" i="1"/>
  <c r="W269" i="1" s="1"/>
  <c r="H269" i="1"/>
  <c r="I269" i="1" s="1"/>
  <c r="J269" i="1"/>
  <c r="K269" i="1" s="1"/>
  <c r="L269" i="1"/>
  <c r="M269" i="1" s="1"/>
  <c r="P269" i="1"/>
  <c r="Q269" i="1" s="1"/>
  <c r="T269" i="1"/>
  <c r="U269" i="1" s="1"/>
  <c r="R270" i="1"/>
  <c r="S270" i="1" s="1"/>
  <c r="T270" i="1"/>
  <c r="U270" i="1" s="1"/>
  <c r="V270" i="1"/>
  <c r="W270" i="1" s="1"/>
  <c r="H270" i="1"/>
  <c r="I270" i="1" s="1"/>
  <c r="J270" i="1"/>
  <c r="K270" i="1" s="1"/>
  <c r="L270" i="1"/>
  <c r="M270" i="1" s="1"/>
  <c r="N270" i="1"/>
  <c r="O270" i="1" s="1"/>
  <c r="P270" i="1"/>
  <c r="Q270" i="1" s="1"/>
  <c r="L204" i="1"/>
  <c r="M204" i="1" s="1"/>
  <c r="V204" i="1"/>
  <c r="W204" i="1" s="1"/>
  <c r="T204" i="1"/>
  <c r="U204" i="1" s="1"/>
  <c r="R204" i="1"/>
  <c r="S204" i="1" s="1"/>
  <c r="P204" i="1"/>
  <c r="Q204" i="1" s="1"/>
  <c r="N204" i="1"/>
  <c r="O204" i="1" s="1"/>
  <c r="R170" i="1"/>
  <c r="S170" i="1" s="1"/>
  <c r="N170" i="1"/>
  <c r="O170" i="1" s="1"/>
  <c r="P170" i="1"/>
  <c r="Q170" i="1" s="1"/>
  <c r="T170" i="1"/>
  <c r="U170" i="1" s="1"/>
  <c r="L170" i="1"/>
  <c r="M170" i="1" s="1"/>
  <c r="J170" i="1"/>
  <c r="K170" i="1" s="1"/>
  <c r="V170" i="1"/>
  <c r="W170" i="1" s="1"/>
  <c r="J286" i="1"/>
  <c r="K286" i="1" s="1"/>
  <c r="L286" i="1"/>
  <c r="M286" i="1" s="1"/>
  <c r="P286" i="1"/>
  <c r="Q286" i="1" s="1"/>
  <c r="R286" i="1"/>
  <c r="S286" i="1" s="1"/>
  <c r="T286" i="1"/>
  <c r="U286" i="1" s="1"/>
  <c r="H286" i="1"/>
  <c r="I286" i="1" s="1"/>
  <c r="N286" i="1"/>
  <c r="O286" i="1" s="1"/>
  <c r="V286" i="1"/>
  <c r="W286" i="1" s="1"/>
  <c r="H292" i="1"/>
  <c r="I292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R261" i="1"/>
  <c r="S261" i="1" s="1"/>
  <c r="T261" i="1"/>
  <c r="U261" i="1" s="1"/>
  <c r="V261" i="1"/>
  <c r="W261" i="1" s="1"/>
  <c r="H261" i="1"/>
  <c r="I261" i="1" s="1"/>
  <c r="J261" i="1"/>
  <c r="K261" i="1" s="1"/>
  <c r="L261" i="1"/>
  <c r="M261" i="1" s="1"/>
  <c r="P261" i="1"/>
  <c r="Q261" i="1" s="1"/>
  <c r="N261" i="1"/>
  <c r="O261" i="1" s="1"/>
  <c r="T562" i="1"/>
  <c r="J562" i="1"/>
  <c r="K562" i="1" s="1"/>
  <c r="V562" i="1"/>
  <c r="W562" i="1" s="1"/>
  <c r="N562" i="1"/>
  <c r="O562" i="1" s="1"/>
  <c r="P562" i="1"/>
  <c r="Q562" i="1" s="1"/>
  <c r="L562" i="1"/>
  <c r="M562" i="1" s="1"/>
  <c r="R562" i="1"/>
  <c r="S562" i="1" s="1"/>
  <c r="J248" i="1"/>
  <c r="K248" i="1" s="1"/>
  <c r="L248" i="1"/>
  <c r="M248" i="1" s="1"/>
  <c r="N248" i="1"/>
  <c r="O248" i="1" s="1"/>
  <c r="P248" i="1"/>
  <c r="Q248" i="1" s="1"/>
  <c r="R248" i="1"/>
  <c r="S248" i="1" s="1"/>
  <c r="T248" i="1"/>
  <c r="U248" i="1" s="1"/>
  <c r="V248" i="1"/>
  <c r="W248" i="1" s="1"/>
  <c r="H248" i="1"/>
  <c r="I248" i="1" s="1"/>
  <c r="H282" i="1"/>
  <c r="I282" i="1" s="1"/>
  <c r="J282" i="1"/>
  <c r="K282" i="1" s="1"/>
  <c r="L282" i="1"/>
  <c r="M282" i="1" s="1"/>
  <c r="N282" i="1"/>
  <c r="O282" i="1" s="1"/>
  <c r="P282" i="1"/>
  <c r="Q282" i="1" s="1"/>
  <c r="R282" i="1"/>
  <c r="S282" i="1" s="1"/>
  <c r="V282" i="1"/>
  <c r="W282" i="1" s="1"/>
  <c r="T282" i="1"/>
  <c r="U282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H297" i="1"/>
  <c r="I297" i="1" s="1"/>
  <c r="V297" i="1"/>
  <c r="W297" i="1" s="1"/>
  <c r="N260" i="1"/>
  <c r="O260" i="1" s="1"/>
  <c r="R260" i="1"/>
  <c r="S260" i="1" s="1"/>
  <c r="V260" i="1"/>
  <c r="W260" i="1" s="1"/>
  <c r="H260" i="1"/>
  <c r="I260" i="1" s="1"/>
  <c r="J260" i="1"/>
  <c r="K260" i="1" s="1"/>
  <c r="L260" i="1"/>
  <c r="M260" i="1" s="1"/>
  <c r="P260" i="1"/>
  <c r="Q260" i="1" s="1"/>
  <c r="T260" i="1"/>
  <c r="U260" i="1" s="1"/>
  <c r="H278" i="1"/>
  <c r="I278" i="1" s="1"/>
  <c r="V278" i="1"/>
  <c r="W278" i="1" s="1"/>
  <c r="J278" i="1"/>
  <c r="K278" i="1" s="1"/>
  <c r="L278" i="1"/>
  <c r="M278" i="1" s="1"/>
  <c r="N278" i="1"/>
  <c r="O278" i="1" s="1"/>
  <c r="P278" i="1"/>
  <c r="Q278" i="1" s="1"/>
  <c r="R278" i="1"/>
  <c r="S278" i="1" s="1"/>
  <c r="T278" i="1"/>
  <c r="U278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L172" i="1"/>
  <c r="M172" i="1" s="1"/>
  <c r="N172" i="1"/>
  <c r="O172" i="1" s="1"/>
  <c r="J172" i="1"/>
  <c r="K172" i="1" s="1"/>
  <c r="J179" i="1"/>
  <c r="K179" i="1" s="1"/>
  <c r="T179" i="1"/>
  <c r="U179" i="1" s="1"/>
  <c r="H179" i="1"/>
  <c r="I179" i="1" s="1"/>
  <c r="V179" i="1"/>
  <c r="W179" i="1" s="1"/>
  <c r="R179" i="1"/>
  <c r="S179" i="1" s="1"/>
  <c r="N179" i="1"/>
  <c r="O179" i="1" s="1"/>
  <c r="L179" i="1"/>
  <c r="M179" i="1" s="1"/>
  <c r="P179" i="1"/>
  <c r="Q179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91" i="1"/>
  <c r="W291" i="1" s="1"/>
  <c r="R231" i="1"/>
  <c r="S231" i="1" s="1"/>
  <c r="P231" i="1"/>
  <c r="Q231" i="1" s="1"/>
  <c r="N231" i="1"/>
  <c r="O231" i="1" s="1"/>
  <c r="L231" i="1"/>
  <c r="M231" i="1" s="1"/>
  <c r="J231" i="1"/>
  <c r="K231" i="1" s="1"/>
  <c r="V231" i="1"/>
  <c r="W231" i="1" s="1"/>
  <c r="T231" i="1"/>
  <c r="U231" i="1" s="1"/>
  <c r="N251" i="1"/>
  <c r="O251" i="1" s="1"/>
  <c r="R251" i="1"/>
  <c r="S251" i="1" s="1"/>
  <c r="V251" i="1"/>
  <c r="W251" i="1" s="1"/>
  <c r="H251" i="1"/>
  <c r="I251" i="1" s="1"/>
  <c r="J251" i="1"/>
  <c r="K251" i="1" s="1"/>
  <c r="P251" i="1"/>
  <c r="Q251" i="1" s="1"/>
  <c r="T251" i="1"/>
  <c r="U251" i="1" s="1"/>
  <c r="L251" i="1"/>
  <c r="M251" i="1" s="1"/>
  <c r="P321" i="1"/>
  <c r="Q321" i="1" s="1"/>
  <c r="N321" i="1"/>
  <c r="O321" i="1" s="1"/>
  <c r="L321" i="1"/>
  <c r="M321" i="1" s="1"/>
  <c r="J321" i="1"/>
  <c r="K321" i="1" s="1"/>
  <c r="H321" i="1"/>
  <c r="I321" i="1" s="1"/>
  <c r="V321" i="1"/>
  <c r="W321" i="1" s="1"/>
  <c r="R321" i="1"/>
  <c r="S321" i="1" s="1"/>
  <c r="T321" i="1"/>
  <c r="U321" i="1" s="1"/>
  <c r="U562" i="1"/>
  <c r="G286" i="1"/>
  <c r="G248" i="1"/>
  <c r="G562" i="1"/>
  <c r="G384" i="1" l="1"/>
  <c r="H567" i="1" l="1"/>
  <c r="T567" i="1"/>
  <c r="U567" i="1" s="1"/>
  <c r="L567" i="1"/>
  <c r="M567" i="1" s="1"/>
  <c r="R567" i="1"/>
  <c r="S567" i="1" s="1"/>
  <c r="J567" i="1"/>
  <c r="K567" i="1" s="1"/>
  <c r="N567" i="1"/>
  <c r="O567" i="1" s="1"/>
  <c r="V567" i="1"/>
  <c r="W567" i="1" s="1"/>
  <c r="P567" i="1"/>
  <c r="Q567" i="1" s="1"/>
  <c r="F697" i="1"/>
  <c r="W626" i="1"/>
  <c r="U626" i="1"/>
  <c r="S626" i="1"/>
  <c r="Q626" i="1"/>
  <c r="O626" i="1"/>
  <c r="M626" i="1"/>
  <c r="K626" i="1"/>
  <c r="N697" i="1" l="1"/>
  <c r="O697" i="1" s="1"/>
  <c r="P697" i="1"/>
  <c r="Q697" i="1" s="1"/>
  <c r="T697" i="1"/>
  <c r="U697" i="1" s="1"/>
  <c r="L697" i="1"/>
  <c r="M697" i="1" s="1"/>
  <c r="R697" i="1"/>
  <c r="S697" i="1" s="1"/>
  <c r="J697" i="1"/>
  <c r="K697" i="1" s="1"/>
  <c r="G314" i="1"/>
  <c r="W326" i="1"/>
  <c r="U326" i="1"/>
  <c r="S326" i="1"/>
  <c r="Q326" i="1"/>
  <c r="O326" i="1"/>
  <c r="M326" i="1"/>
  <c r="K326" i="1"/>
  <c r="I326" i="1"/>
  <c r="W287" i="1"/>
  <c r="U287" i="1"/>
  <c r="S287" i="1"/>
  <c r="Q287" i="1"/>
  <c r="O287" i="1"/>
  <c r="M287" i="1"/>
  <c r="K287" i="1"/>
  <c r="O227" i="1"/>
  <c r="M227" i="1"/>
  <c r="K227" i="1"/>
  <c r="W200" i="1"/>
  <c r="U200" i="1"/>
  <c r="S200" i="1"/>
  <c r="O200" i="1"/>
  <c r="M200" i="1"/>
  <c r="W199" i="1"/>
  <c r="U199" i="1"/>
  <c r="S199" i="1"/>
  <c r="O199" i="1"/>
  <c r="M199" i="1"/>
  <c r="W198" i="1"/>
  <c r="U198" i="1"/>
  <c r="S198" i="1"/>
  <c r="O198" i="1"/>
  <c r="M198" i="1"/>
  <c r="W197" i="1"/>
  <c r="U197" i="1"/>
  <c r="S197" i="1"/>
  <c r="O197" i="1"/>
  <c r="M197" i="1"/>
  <c r="T322" i="1" l="1"/>
  <c r="U322" i="1" s="1"/>
  <c r="R322" i="1"/>
  <c r="S322" i="1" s="1"/>
  <c r="P322" i="1"/>
  <c r="Q322" i="1" s="1"/>
  <c r="N322" i="1"/>
  <c r="O322" i="1" s="1"/>
  <c r="L322" i="1"/>
  <c r="M322" i="1" s="1"/>
  <c r="J322" i="1"/>
  <c r="K322" i="1" s="1"/>
  <c r="H322" i="1"/>
  <c r="I322" i="1" s="1"/>
  <c r="V322" i="1"/>
  <c r="W322" i="1" s="1"/>
  <c r="G322" i="1"/>
  <c r="F491" i="1" l="1"/>
  <c r="P168" i="1" l="1"/>
  <c r="Q168" i="1" s="1"/>
  <c r="N168" i="1"/>
  <c r="O168" i="1" s="1"/>
  <c r="L168" i="1"/>
  <c r="M168" i="1" s="1"/>
  <c r="R168" i="1"/>
  <c r="S168" i="1" s="1"/>
  <c r="V168" i="1"/>
  <c r="W168" i="1" s="1"/>
  <c r="T168" i="1"/>
  <c r="U168" i="1" s="1"/>
  <c r="V491" i="1"/>
  <c r="W491" i="1" s="1"/>
  <c r="T491" i="1"/>
  <c r="U491" i="1" s="1"/>
  <c r="P491" i="1"/>
  <c r="Q491" i="1" s="1"/>
  <c r="J491" i="1"/>
  <c r="K491" i="1" s="1"/>
  <c r="L491" i="1"/>
  <c r="M491" i="1" s="1"/>
  <c r="N491" i="1"/>
  <c r="O491" i="1" s="1"/>
  <c r="H491" i="1"/>
  <c r="I491" i="1" s="1"/>
  <c r="R491" i="1"/>
  <c r="S491" i="1" s="1"/>
  <c r="G418" i="1"/>
  <c r="F516" i="1" l="1"/>
  <c r="F515" i="1"/>
  <c r="V515" i="1" l="1"/>
  <c r="P515" i="1"/>
  <c r="T515" i="1"/>
  <c r="R515" i="1"/>
  <c r="H515" i="1"/>
  <c r="N515" i="1"/>
  <c r="J515" i="1"/>
  <c r="L515" i="1"/>
  <c r="T516" i="1"/>
  <c r="U516" i="1" s="1"/>
  <c r="L516" i="1"/>
  <c r="M516" i="1" s="1"/>
  <c r="R516" i="1"/>
  <c r="S516" i="1" s="1"/>
  <c r="J516" i="1"/>
  <c r="K516" i="1" s="1"/>
  <c r="H516" i="1"/>
  <c r="I516" i="1" s="1"/>
  <c r="V516" i="1"/>
  <c r="W516" i="1" s="1"/>
  <c r="P516" i="1"/>
  <c r="Q516" i="1" s="1"/>
  <c r="N516" i="1"/>
  <c r="O516" i="1" s="1"/>
  <c r="G576" i="1" l="1"/>
  <c r="F566" i="1"/>
  <c r="T566" i="1" l="1"/>
  <c r="U566" i="1" s="1"/>
  <c r="N566" i="1"/>
  <c r="O566" i="1" s="1"/>
  <c r="P566" i="1"/>
  <c r="Q566" i="1" s="1"/>
  <c r="V566" i="1"/>
  <c r="W566" i="1" s="1"/>
  <c r="L566" i="1"/>
  <c r="M566" i="1" s="1"/>
  <c r="R566" i="1"/>
  <c r="S566" i="1" s="1"/>
  <c r="G566" i="1"/>
  <c r="G565" i="1"/>
  <c r="G564" i="1"/>
  <c r="W485" i="1"/>
  <c r="U485" i="1"/>
  <c r="S485" i="1"/>
  <c r="Q485" i="1"/>
  <c r="O485" i="1"/>
  <c r="W484" i="1"/>
  <c r="U484" i="1"/>
  <c r="S484" i="1"/>
  <c r="Q484" i="1"/>
  <c r="O484" i="1"/>
  <c r="W473" i="1"/>
  <c r="U473" i="1"/>
  <c r="S473" i="1"/>
  <c r="Q473" i="1"/>
  <c r="O473" i="1"/>
  <c r="W472" i="1"/>
  <c r="U472" i="1"/>
  <c r="S472" i="1"/>
  <c r="Q472" i="1"/>
  <c r="O472" i="1"/>
  <c r="F582" i="1"/>
  <c r="P582" i="1" l="1"/>
  <c r="Q582" i="1" s="1"/>
  <c r="H582" i="1"/>
  <c r="I582" i="1" s="1"/>
  <c r="V582" i="1"/>
  <c r="W582" i="1" s="1"/>
  <c r="N582" i="1"/>
  <c r="O582" i="1" s="1"/>
  <c r="T582" i="1"/>
  <c r="U582" i="1" s="1"/>
  <c r="R582" i="1"/>
  <c r="S582" i="1" s="1"/>
  <c r="L582" i="1"/>
  <c r="M582" i="1" s="1"/>
  <c r="J582" i="1"/>
  <c r="K582" i="1" s="1"/>
  <c r="G582" i="1"/>
  <c r="F655" i="1" l="1"/>
  <c r="F671" i="1"/>
  <c r="V671" i="1" l="1"/>
  <c r="N671" i="1"/>
  <c r="T671" i="1"/>
  <c r="L671" i="1"/>
  <c r="R671" i="1"/>
  <c r="J671" i="1"/>
  <c r="P671" i="1"/>
  <c r="H671" i="1"/>
  <c r="I671" i="1" s="1"/>
  <c r="T655" i="1"/>
  <c r="U655" i="1" s="1"/>
  <c r="J655" i="1"/>
  <c r="K655" i="1" s="1"/>
  <c r="R655" i="1"/>
  <c r="S655" i="1" s="1"/>
  <c r="V655" i="1"/>
  <c r="W655" i="1" s="1"/>
  <c r="N655" i="1"/>
  <c r="O655" i="1" s="1"/>
  <c r="H655" i="1"/>
  <c r="I655" i="1" s="1"/>
  <c r="L655" i="1"/>
  <c r="M655" i="1" s="1"/>
  <c r="P655" i="1"/>
  <c r="Q655" i="1" s="1"/>
  <c r="F405" i="1"/>
  <c r="F253" i="1"/>
  <c r="F280" i="1"/>
  <c r="F649" i="1"/>
  <c r="G169" i="1"/>
  <c r="P460" i="1" l="1"/>
  <c r="Q460" i="1" s="1"/>
  <c r="H460" i="1"/>
  <c r="I460" i="1" s="1"/>
  <c r="V460" i="1"/>
  <c r="W460" i="1" s="1"/>
  <c r="N460" i="1"/>
  <c r="O460" i="1" s="1"/>
  <c r="T460" i="1"/>
  <c r="U460" i="1" s="1"/>
  <c r="L460" i="1"/>
  <c r="M460" i="1" s="1"/>
  <c r="R460" i="1"/>
  <c r="S460" i="1" s="1"/>
  <c r="J460" i="1"/>
  <c r="K460" i="1" s="1"/>
  <c r="R649" i="1"/>
  <c r="S649" i="1" s="1"/>
  <c r="J649" i="1"/>
  <c r="K649" i="1" s="1"/>
  <c r="V649" i="1"/>
  <c r="W649" i="1" s="1"/>
  <c r="T649" i="1"/>
  <c r="U649" i="1" s="1"/>
  <c r="P649" i="1"/>
  <c r="Q649" i="1" s="1"/>
  <c r="N649" i="1"/>
  <c r="O649" i="1" s="1"/>
  <c r="L649" i="1"/>
  <c r="M649" i="1" s="1"/>
  <c r="V405" i="1"/>
  <c r="W405" i="1" s="1"/>
  <c r="T405" i="1"/>
  <c r="U405" i="1" s="1"/>
  <c r="R405" i="1"/>
  <c r="S405" i="1" s="1"/>
  <c r="N405" i="1"/>
  <c r="O405" i="1" s="1"/>
  <c r="P405" i="1"/>
  <c r="Q405" i="1" s="1"/>
  <c r="L405" i="1"/>
  <c r="M405" i="1" s="1"/>
  <c r="N280" i="1"/>
  <c r="O280" i="1" s="1"/>
  <c r="P280" i="1"/>
  <c r="Q280" i="1" s="1"/>
  <c r="R280" i="1"/>
  <c r="S280" i="1" s="1"/>
  <c r="T280" i="1"/>
  <c r="U280" i="1" s="1"/>
  <c r="H280" i="1"/>
  <c r="I280" i="1" s="1"/>
  <c r="V280" i="1"/>
  <c r="W280" i="1" s="1"/>
  <c r="J280" i="1"/>
  <c r="K280" i="1" s="1"/>
  <c r="L280" i="1"/>
  <c r="M280" i="1" s="1"/>
  <c r="R253" i="1"/>
  <c r="S253" i="1" s="1"/>
  <c r="V253" i="1"/>
  <c r="W253" i="1" s="1"/>
  <c r="H253" i="1"/>
  <c r="I253" i="1" s="1"/>
  <c r="J253" i="1"/>
  <c r="K253" i="1" s="1"/>
  <c r="L253" i="1"/>
  <c r="M253" i="1" s="1"/>
  <c r="N253" i="1"/>
  <c r="O253" i="1" s="1"/>
  <c r="P253" i="1"/>
  <c r="Q253" i="1" s="1"/>
  <c r="T253" i="1"/>
  <c r="U253" i="1" s="1"/>
  <c r="G404" i="1"/>
  <c r="G405" i="1"/>
  <c r="G253" i="1"/>
  <c r="G649" i="1"/>
  <c r="G138" i="1"/>
  <c r="K138" i="1"/>
  <c r="G310" i="1" l="1"/>
  <c r="V271" i="1" l="1"/>
  <c r="W271" i="1" s="1"/>
  <c r="H271" i="1"/>
  <c r="I271" i="1" s="1"/>
  <c r="J271" i="1"/>
  <c r="K271" i="1" s="1"/>
  <c r="L271" i="1"/>
  <c r="M271" i="1" s="1"/>
  <c r="N271" i="1"/>
  <c r="O271" i="1" s="1"/>
  <c r="R271" i="1"/>
  <c r="S271" i="1" s="1"/>
  <c r="T271" i="1"/>
  <c r="U271" i="1" s="1"/>
  <c r="P271" i="1"/>
  <c r="Q271" i="1" s="1"/>
  <c r="G271" i="1"/>
  <c r="G291" i="1"/>
  <c r="G261" i="1" l="1"/>
  <c r="F614" i="1"/>
  <c r="L614" i="1" l="1"/>
  <c r="M614" i="1" s="1"/>
  <c r="R614" i="1"/>
  <c r="S614" i="1" s="1"/>
  <c r="H614" i="1"/>
  <c r="I614" i="1" s="1"/>
  <c r="N614" i="1"/>
  <c r="O614" i="1" s="1"/>
  <c r="V614" i="1"/>
  <c r="W614" i="1" s="1"/>
  <c r="P614" i="1"/>
  <c r="Q614" i="1" s="1"/>
  <c r="J614" i="1"/>
  <c r="K614" i="1" s="1"/>
  <c r="T614" i="1"/>
  <c r="U614" i="1" s="1"/>
  <c r="G614" i="1"/>
  <c r="F299" i="1" l="1"/>
  <c r="R299" i="1" l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V299" i="1"/>
  <c r="W299" i="1" s="1"/>
  <c r="T299" i="1"/>
  <c r="U299" i="1" s="1"/>
  <c r="G296" i="1"/>
  <c r="G280" i="1"/>
  <c r="V351" i="1" l="1"/>
  <c r="W351" i="1" s="1"/>
  <c r="L351" i="1"/>
  <c r="M351" i="1" s="1"/>
  <c r="N351" i="1"/>
  <c r="O351" i="1" s="1"/>
  <c r="P351" i="1"/>
  <c r="Q351" i="1" s="1"/>
  <c r="R351" i="1"/>
  <c r="S351" i="1" s="1"/>
  <c r="T351" i="1"/>
  <c r="U351" i="1" s="1"/>
  <c r="L352" i="1"/>
  <c r="M352" i="1" s="1"/>
  <c r="N352" i="1"/>
  <c r="O352" i="1" s="1"/>
  <c r="P352" i="1"/>
  <c r="Q352" i="1" s="1"/>
  <c r="R352" i="1"/>
  <c r="S352" i="1" s="1"/>
  <c r="T352" i="1"/>
  <c r="U352" i="1" s="1"/>
  <c r="V352" i="1"/>
  <c r="W352" i="1" s="1"/>
  <c r="G352" i="1"/>
  <c r="T525" i="1" l="1"/>
  <c r="U525" i="1" s="1"/>
  <c r="L525" i="1"/>
  <c r="M525" i="1" s="1"/>
  <c r="R525" i="1"/>
  <c r="S525" i="1" s="1"/>
  <c r="J525" i="1"/>
  <c r="K525" i="1" s="1"/>
  <c r="P525" i="1"/>
  <c r="Q525" i="1" s="1"/>
  <c r="N525" i="1"/>
  <c r="O525" i="1" s="1"/>
  <c r="V525" i="1"/>
  <c r="W525" i="1" s="1"/>
  <c r="H525" i="1"/>
  <c r="I525" i="1" s="1"/>
  <c r="T526" i="1"/>
  <c r="U526" i="1" s="1"/>
  <c r="L526" i="1"/>
  <c r="M526" i="1" s="1"/>
  <c r="R526" i="1"/>
  <c r="S526" i="1" s="1"/>
  <c r="J526" i="1"/>
  <c r="K526" i="1" s="1"/>
  <c r="P526" i="1"/>
  <c r="Q526" i="1" s="1"/>
  <c r="N526" i="1"/>
  <c r="O526" i="1" s="1"/>
  <c r="H526" i="1"/>
  <c r="I526" i="1" s="1"/>
  <c r="V526" i="1"/>
  <c r="W526" i="1" s="1"/>
  <c r="T527" i="1"/>
  <c r="U527" i="1" s="1"/>
  <c r="L527" i="1"/>
  <c r="M527" i="1" s="1"/>
  <c r="R527" i="1"/>
  <c r="S527" i="1" s="1"/>
  <c r="J527" i="1"/>
  <c r="K527" i="1" s="1"/>
  <c r="P527" i="1"/>
  <c r="Q527" i="1" s="1"/>
  <c r="N527" i="1"/>
  <c r="O527" i="1" s="1"/>
  <c r="H527" i="1"/>
  <c r="I527" i="1" s="1"/>
  <c r="V527" i="1"/>
  <c r="W527" i="1" s="1"/>
  <c r="G367" i="1"/>
  <c r="G691" i="1"/>
  <c r="G690" i="1"/>
  <c r="F650" i="1"/>
  <c r="G505" i="1"/>
  <c r="T650" i="1" l="1"/>
  <c r="U650" i="1" s="1"/>
  <c r="L650" i="1"/>
  <c r="M650" i="1" s="1"/>
  <c r="P650" i="1"/>
  <c r="Q650" i="1" s="1"/>
  <c r="R650" i="1"/>
  <c r="S650" i="1" s="1"/>
  <c r="J650" i="1"/>
  <c r="K650" i="1" s="1"/>
  <c r="H650" i="1"/>
  <c r="I650" i="1" s="1"/>
  <c r="V650" i="1"/>
  <c r="W650" i="1" s="1"/>
  <c r="N650" i="1"/>
  <c r="O650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V372" i="1"/>
  <c r="W372" i="1" s="1"/>
  <c r="T372" i="1"/>
  <c r="U372" i="1" s="1"/>
  <c r="R372" i="1"/>
  <c r="S372" i="1" s="1"/>
  <c r="P372" i="1"/>
  <c r="Q372" i="1" s="1"/>
  <c r="N372" i="1"/>
  <c r="O372" i="1" s="1"/>
  <c r="J323" i="1"/>
  <c r="K323" i="1" s="1"/>
  <c r="N323" i="1"/>
  <c r="O323" i="1" s="1"/>
  <c r="P323" i="1"/>
  <c r="Q323" i="1" s="1"/>
  <c r="R323" i="1"/>
  <c r="S323" i="1" s="1"/>
  <c r="T323" i="1"/>
  <c r="U323" i="1" s="1"/>
  <c r="V323" i="1"/>
  <c r="W323" i="1" s="1"/>
  <c r="L323" i="1"/>
  <c r="M323" i="1" s="1"/>
  <c r="H323" i="1"/>
  <c r="I323" i="1" s="1"/>
  <c r="N308" i="1"/>
  <c r="O308" i="1" s="1"/>
  <c r="J308" i="1"/>
  <c r="K308" i="1" s="1"/>
  <c r="H308" i="1"/>
  <c r="I308" i="1" s="1"/>
  <c r="V308" i="1"/>
  <c r="W308" i="1" s="1"/>
  <c r="T308" i="1"/>
  <c r="U308" i="1" s="1"/>
  <c r="R308" i="1"/>
  <c r="S308" i="1" s="1"/>
  <c r="L308" i="1"/>
  <c r="M308" i="1" s="1"/>
  <c r="P308" i="1"/>
  <c r="Q308" i="1" s="1"/>
  <c r="R381" i="1"/>
  <c r="S381" i="1" s="1"/>
  <c r="N381" i="1"/>
  <c r="O381" i="1" s="1"/>
  <c r="L381" i="1"/>
  <c r="M381" i="1" s="1"/>
  <c r="V381" i="1"/>
  <c r="W381" i="1" s="1"/>
  <c r="P381" i="1"/>
  <c r="Q381" i="1" s="1"/>
  <c r="T381" i="1"/>
  <c r="U381" i="1" s="1"/>
  <c r="L376" i="1"/>
  <c r="M376" i="1" s="1"/>
  <c r="V376" i="1"/>
  <c r="W376" i="1" s="1"/>
  <c r="T376" i="1"/>
  <c r="U376" i="1" s="1"/>
  <c r="R376" i="1"/>
  <c r="S376" i="1" s="1"/>
  <c r="N376" i="1"/>
  <c r="O376" i="1" s="1"/>
  <c r="P376" i="1"/>
  <c r="Q376" i="1" s="1"/>
  <c r="G134" i="1" l="1"/>
  <c r="G433" i="1" l="1"/>
  <c r="F329" i="1"/>
  <c r="F683" i="1"/>
  <c r="F648" i="1"/>
  <c r="F606" i="1"/>
  <c r="F605" i="1"/>
  <c r="F604" i="1"/>
  <c r="F599" i="1"/>
  <c r="F596" i="1"/>
  <c r="F572" i="1"/>
  <c r="F528" i="1"/>
  <c r="V683" i="1" l="1"/>
  <c r="W683" i="1" s="1"/>
  <c r="R683" i="1"/>
  <c r="S683" i="1" s="1"/>
  <c r="N683" i="1"/>
  <c r="O683" i="1" s="1"/>
  <c r="T683" i="1"/>
  <c r="U683" i="1" s="1"/>
  <c r="P683" i="1"/>
  <c r="Q683" i="1" s="1"/>
  <c r="L683" i="1"/>
  <c r="M683" i="1" s="1"/>
  <c r="H599" i="1"/>
  <c r="I599" i="1" s="1"/>
  <c r="L599" i="1"/>
  <c r="M599" i="1" s="1"/>
  <c r="P599" i="1"/>
  <c r="Q599" i="1" s="1"/>
  <c r="T599" i="1"/>
  <c r="U599" i="1" s="1"/>
  <c r="J599" i="1"/>
  <c r="K599" i="1" s="1"/>
  <c r="V599" i="1"/>
  <c r="W599" i="1" s="1"/>
  <c r="R599" i="1"/>
  <c r="S599" i="1" s="1"/>
  <c r="N599" i="1"/>
  <c r="O599" i="1" s="1"/>
  <c r="T648" i="1"/>
  <c r="U648" i="1" s="1"/>
  <c r="L648" i="1"/>
  <c r="M648" i="1" s="1"/>
  <c r="P648" i="1"/>
  <c r="Q648" i="1" s="1"/>
  <c r="V648" i="1"/>
  <c r="W648" i="1" s="1"/>
  <c r="R648" i="1"/>
  <c r="S648" i="1" s="1"/>
  <c r="J648" i="1"/>
  <c r="K648" i="1" s="1"/>
  <c r="H648" i="1"/>
  <c r="I648" i="1" s="1"/>
  <c r="N648" i="1"/>
  <c r="O648" i="1" s="1"/>
  <c r="T528" i="1"/>
  <c r="U528" i="1" s="1"/>
  <c r="L528" i="1"/>
  <c r="M528" i="1" s="1"/>
  <c r="R528" i="1"/>
  <c r="S528" i="1" s="1"/>
  <c r="J528" i="1"/>
  <c r="K528" i="1" s="1"/>
  <c r="P528" i="1"/>
  <c r="Q528" i="1" s="1"/>
  <c r="N528" i="1"/>
  <c r="O528" i="1" s="1"/>
  <c r="V528" i="1"/>
  <c r="W528" i="1" s="1"/>
  <c r="H528" i="1"/>
  <c r="I528" i="1" s="1"/>
  <c r="H604" i="1"/>
  <c r="I604" i="1" s="1"/>
  <c r="N604" i="1"/>
  <c r="O604" i="1" s="1"/>
  <c r="R604" i="1"/>
  <c r="S604" i="1" s="1"/>
  <c r="L604" i="1"/>
  <c r="M604" i="1" s="1"/>
  <c r="T604" i="1"/>
  <c r="U604" i="1" s="1"/>
  <c r="V604" i="1"/>
  <c r="W604" i="1" s="1"/>
  <c r="P604" i="1"/>
  <c r="Q604" i="1" s="1"/>
  <c r="J604" i="1"/>
  <c r="K604" i="1" s="1"/>
  <c r="P572" i="1"/>
  <c r="Q572" i="1" s="1"/>
  <c r="H572" i="1"/>
  <c r="I572" i="1" s="1"/>
  <c r="V572" i="1"/>
  <c r="W572" i="1" s="1"/>
  <c r="N572" i="1"/>
  <c r="O572" i="1" s="1"/>
  <c r="T572" i="1"/>
  <c r="U572" i="1" s="1"/>
  <c r="J572" i="1"/>
  <c r="K572" i="1" s="1"/>
  <c r="R572" i="1"/>
  <c r="S572" i="1" s="1"/>
  <c r="L572" i="1"/>
  <c r="M572" i="1" s="1"/>
  <c r="H605" i="1"/>
  <c r="I605" i="1" s="1"/>
  <c r="N605" i="1"/>
  <c r="O605" i="1" s="1"/>
  <c r="J605" i="1"/>
  <c r="K605" i="1" s="1"/>
  <c r="P605" i="1"/>
  <c r="Q605" i="1" s="1"/>
  <c r="R605" i="1"/>
  <c r="S605" i="1" s="1"/>
  <c r="T605" i="1"/>
  <c r="U605" i="1" s="1"/>
  <c r="V605" i="1"/>
  <c r="W605" i="1" s="1"/>
  <c r="L605" i="1"/>
  <c r="M605" i="1" s="1"/>
  <c r="P329" i="1"/>
  <c r="Q329" i="1" s="1"/>
  <c r="V329" i="1"/>
  <c r="W329" i="1" s="1"/>
  <c r="N329" i="1"/>
  <c r="O329" i="1" s="1"/>
  <c r="T329" i="1"/>
  <c r="U329" i="1" s="1"/>
  <c r="L329" i="1"/>
  <c r="M329" i="1" s="1"/>
  <c r="R329" i="1"/>
  <c r="S329" i="1" s="1"/>
  <c r="H596" i="1"/>
  <c r="I596" i="1" s="1"/>
  <c r="L596" i="1"/>
  <c r="M596" i="1" s="1"/>
  <c r="P596" i="1"/>
  <c r="Q596" i="1" s="1"/>
  <c r="T596" i="1"/>
  <c r="U596" i="1" s="1"/>
  <c r="N596" i="1"/>
  <c r="O596" i="1" s="1"/>
  <c r="V596" i="1"/>
  <c r="W596" i="1" s="1"/>
  <c r="J596" i="1"/>
  <c r="K596" i="1" s="1"/>
  <c r="R596" i="1"/>
  <c r="S596" i="1" s="1"/>
  <c r="H606" i="1"/>
  <c r="I606" i="1" s="1"/>
  <c r="N606" i="1"/>
  <c r="O606" i="1" s="1"/>
  <c r="V606" i="1"/>
  <c r="W606" i="1" s="1"/>
  <c r="J606" i="1"/>
  <c r="K606" i="1" s="1"/>
  <c r="P606" i="1"/>
  <c r="Q606" i="1" s="1"/>
  <c r="R606" i="1"/>
  <c r="S606" i="1" s="1"/>
  <c r="L606" i="1"/>
  <c r="M606" i="1" s="1"/>
  <c r="T606" i="1"/>
  <c r="U606" i="1" s="1"/>
  <c r="I101" i="1"/>
  <c r="F553" i="1"/>
  <c r="F552" i="1"/>
  <c r="F443" i="1"/>
  <c r="F415" i="1"/>
  <c r="F337" i="1"/>
  <c r="F336" i="1"/>
  <c r="F335" i="1"/>
  <c r="F340" i="1"/>
  <c r="F342" i="1"/>
  <c r="F344" i="1"/>
  <c r="F356" i="1"/>
  <c r="F339" i="1"/>
  <c r="F338" i="1"/>
  <c r="F346" i="1"/>
  <c r="F357" i="1"/>
  <c r="F389" i="1"/>
  <c r="F394" i="1"/>
  <c r="F407" i="1"/>
  <c r="F408" i="1"/>
  <c r="F359" i="1"/>
  <c r="F362" i="1"/>
  <c r="F365" i="1"/>
  <c r="F368" i="1"/>
  <c r="F387" i="1"/>
  <c r="F386" i="1"/>
  <c r="F355" i="1"/>
  <c r="F353" i="1"/>
  <c r="F327" i="1"/>
  <c r="F217" i="1"/>
  <c r="H217" i="1" s="1"/>
  <c r="V359" i="1" l="1"/>
  <c r="W359" i="1" s="1"/>
  <c r="P359" i="1"/>
  <c r="Q359" i="1" s="1"/>
  <c r="J359" i="1"/>
  <c r="K359" i="1" s="1"/>
  <c r="N359" i="1"/>
  <c r="O359" i="1" s="1"/>
  <c r="R359" i="1"/>
  <c r="S359" i="1" s="1"/>
  <c r="L359" i="1"/>
  <c r="M359" i="1" s="1"/>
  <c r="T359" i="1"/>
  <c r="U359" i="1" s="1"/>
  <c r="H359" i="1"/>
  <c r="I359" i="1" s="1"/>
  <c r="R443" i="1"/>
  <c r="S443" i="1" s="1"/>
  <c r="L443" i="1"/>
  <c r="M443" i="1" s="1"/>
  <c r="N443" i="1"/>
  <c r="O443" i="1" s="1"/>
  <c r="V443" i="1"/>
  <c r="W443" i="1" s="1"/>
  <c r="J443" i="1"/>
  <c r="K443" i="1" s="1"/>
  <c r="T443" i="1"/>
  <c r="U443" i="1" s="1"/>
  <c r="P443" i="1"/>
  <c r="Q443" i="1" s="1"/>
  <c r="H443" i="1"/>
  <c r="I443" i="1" s="1"/>
  <c r="H389" i="1"/>
  <c r="I389" i="1" s="1"/>
  <c r="J389" i="1"/>
  <c r="K389" i="1" s="1"/>
  <c r="L389" i="1"/>
  <c r="M389" i="1" s="1"/>
  <c r="R437" i="1"/>
  <c r="S437" i="1" s="1"/>
  <c r="L437" i="1"/>
  <c r="M437" i="1" s="1"/>
  <c r="P437" i="1"/>
  <c r="Q437" i="1" s="1"/>
  <c r="V437" i="1"/>
  <c r="W437" i="1" s="1"/>
  <c r="J437" i="1"/>
  <c r="K437" i="1" s="1"/>
  <c r="T437" i="1"/>
  <c r="U437" i="1" s="1"/>
  <c r="H437" i="1"/>
  <c r="I437" i="1" s="1"/>
  <c r="N437" i="1"/>
  <c r="O437" i="1" s="1"/>
  <c r="V552" i="1"/>
  <c r="W552" i="1" s="1"/>
  <c r="P552" i="1"/>
  <c r="Q552" i="1" s="1"/>
  <c r="T552" i="1"/>
  <c r="U552" i="1" s="1"/>
  <c r="J552" i="1"/>
  <c r="K552" i="1" s="1"/>
  <c r="H552" i="1"/>
  <c r="I552" i="1" s="1"/>
  <c r="R552" i="1"/>
  <c r="S552" i="1" s="1"/>
  <c r="N552" i="1"/>
  <c r="O552" i="1" s="1"/>
  <c r="L552" i="1"/>
  <c r="M552" i="1" s="1"/>
  <c r="R327" i="1"/>
  <c r="S327" i="1" s="1"/>
  <c r="T327" i="1"/>
  <c r="U327" i="1" s="1"/>
  <c r="J327" i="1"/>
  <c r="K327" i="1" s="1"/>
  <c r="P327" i="1"/>
  <c r="Q327" i="1" s="1"/>
  <c r="H327" i="1"/>
  <c r="I327" i="1" s="1"/>
  <c r="V327" i="1"/>
  <c r="W327" i="1" s="1"/>
  <c r="N327" i="1"/>
  <c r="O327" i="1" s="1"/>
  <c r="L327" i="1"/>
  <c r="M327" i="1" s="1"/>
  <c r="N421" i="1"/>
  <c r="O421" i="1" s="1"/>
  <c r="P421" i="1"/>
  <c r="Q421" i="1" s="1"/>
  <c r="R421" i="1"/>
  <c r="S421" i="1" s="1"/>
  <c r="L421" i="1"/>
  <c r="M421" i="1" s="1"/>
  <c r="V421" i="1"/>
  <c r="W421" i="1" s="1"/>
  <c r="J421" i="1"/>
  <c r="K421" i="1" s="1"/>
  <c r="T421" i="1"/>
  <c r="U421" i="1" s="1"/>
  <c r="H421" i="1"/>
  <c r="I421" i="1" s="1"/>
  <c r="L553" i="1"/>
  <c r="M553" i="1" s="1"/>
  <c r="J553" i="1"/>
  <c r="K553" i="1" s="1"/>
  <c r="H553" i="1"/>
  <c r="I553" i="1" s="1"/>
  <c r="N553" i="1"/>
  <c r="O553" i="1" s="1"/>
  <c r="V365" i="1"/>
  <c r="W365" i="1" s="1"/>
  <c r="R365" i="1"/>
  <c r="S365" i="1" s="1"/>
  <c r="T365" i="1"/>
  <c r="U365" i="1" s="1"/>
  <c r="P365" i="1"/>
  <c r="Q365" i="1" s="1"/>
  <c r="L365" i="1"/>
  <c r="M365" i="1" s="1"/>
  <c r="N365" i="1"/>
  <c r="O365" i="1" s="1"/>
  <c r="N407" i="1"/>
  <c r="O407" i="1" s="1"/>
  <c r="P407" i="1"/>
  <c r="Q407" i="1" s="1"/>
  <c r="R407" i="1"/>
  <c r="S407" i="1" s="1"/>
  <c r="V407" i="1"/>
  <c r="W407" i="1" s="1"/>
  <c r="T407" i="1"/>
  <c r="U407" i="1" s="1"/>
  <c r="L407" i="1"/>
  <c r="M407" i="1" s="1"/>
  <c r="R408" i="1"/>
  <c r="S408" i="1" s="1"/>
  <c r="T408" i="1"/>
  <c r="U408" i="1" s="1"/>
  <c r="V408" i="1"/>
  <c r="W408" i="1" s="1"/>
  <c r="L408" i="1"/>
  <c r="M408" i="1" s="1"/>
  <c r="P408" i="1"/>
  <c r="Q408" i="1" s="1"/>
  <c r="N408" i="1"/>
  <c r="O408" i="1" s="1"/>
  <c r="R394" i="1"/>
  <c r="S394" i="1" s="1"/>
  <c r="V394" i="1"/>
  <c r="W394" i="1" s="1"/>
  <c r="T394" i="1"/>
  <c r="U394" i="1" s="1"/>
  <c r="P394" i="1"/>
  <c r="Q394" i="1" s="1"/>
  <c r="N394" i="1"/>
  <c r="O394" i="1" s="1"/>
  <c r="L394" i="1"/>
  <c r="M394" i="1" s="1"/>
  <c r="T415" i="1"/>
  <c r="U415" i="1" s="1"/>
  <c r="L415" i="1"/>
  <c r="M415" i="1" s="1"/>
  <c r="V415" i="1"/>
  <c r="W415" i="1" s="1"/>
  <c r="N415" i="1"/>
  <c r="O415" i="1" s="1"/>
  <c r="P415" i="1"/>
  <c r="Q415" i="1" s="1"/>
  <c r="R415" i="1"/>
  <c r="S415" i="1" s="1"/>
  <c r="P336" i="1"/>
  <c r="Q336" i="1" s="1"/>
  <c r="L336" i="1"/>
  <c r="M336" i="1" s="1"/>
  <c r="V336" i="1"/>
  <c r="W336" i="1" s="1"/>
  <c r="T336" i="1"/>
  <c r="U336" i="1" s="1"/>
  <c r="R336" i="1"/>
  <c r="S336" i="1" s="1"/>
  <c r="N336" i="1"/>
  <c r="O336" i="1" s="1"/>
  <c r="N355" i="1"/>
  <c r="O355" i="1" s="1"/>
  <c r="R355" i="1"/>
  <c r="S355" i="1" s="1"/>
  <c r="T355" i="1"/>
  <c r="U355" i="1" s="1"/>
  <c r="V355" i="1"/>
  <c r="W355" i="1" s="1"/>
  <c r="L355" i="1"/>
  <c r="M355" i="1" s="1"/>
  <c r="P355" i="1"/>
  <c r="Q355" i="1" s="1"/>
  <c r="V335" i="1"/>
  <c r="W335" i="1" s="1"/>
  <c r="R335" i="1"/>
  <c r="S335" i="1" s="1"/>
  <c r="P335" i="1"/>
  <c r="Q335" i="1" s="1"/>
  <c r="N335" i="1"/>
  <c r="O335" i="1" s="1"/>
  <c r="L335" i="1"/>
  <c r="M335" i="1" s="1"/>
  <c r="T335" i="1"/>
  <c r="U335" i="1" s="1"/>
  <c r="N334" i="1"/>
  <c r="O334" i="1" s="1"/>
  <c r="V334" i="1"/>
  <c r="T334" i="1"/>
  <c r="U334" i="1" s="1"/>
  <c r="R334" i="1"/>
  <c r="S334" i="1" s="1"/>
  <c r="P334" i="1"/>
  <c r="Q334" i="1" s="1"/>
  <c r="L334" i="1"/>
  <c r="M334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R368" i="1"/>
  <c r="S368" i="1" s="1"/>
  <c r="N368" i="1"/>
  <c r="O368" i="1" s="1"/>
  <c r="L368" i="1"/>
  <c r="M368" i="1" s="1"/>
  <c r="V368" i="1"/>
  <c r="W368" i="1" s="1"/>
  <c r="P368" i="1"/>
  <c r="Q368" i="1" s="1"/>
  <c r="T368" i="1"/>
  <c r="U368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V357" i="1"/>
  <c r="W357" i="1" s="1"/>
  <c r="L357" i="1"/>
  <c r="M357" i="1" s="1"/>
  <c r="N357" i="1"/>
  <c r="O357" i="1" s="1"/>
  <c r="P357" i="1"/>
  <c r="Q357" i="1" s="1"/>
  <c r="T357" i="1"/>
  <c r="U357" i="1" s="1"/>
  <c r="R357" i="1"/>
  <c r="S357" i="1" s="1"/>
  <c r="N346" i="1"/>
  <c r="O346" i="1" s="1"/>
  <c r="V346" i="1"/>
  <c r="W346" i="1" s="1"/>
  <c r="T346" i="1"/>
  <c r="U346" i="1" s="1"/>
  <c r="R346" i="1"/>
  <c r="S346" i="1" s="1"/>
  <c r="P346" i="1"/>
  <c r="Q346" i="1" s="1"/>
  <c r="L346" i="1"/>
  <c r="M346" i="1" s="1"/>
  <c r="P362" i="1"/>
  <c r="Q362" i="1" s="1"/>
  <c r="N362" i="1"/>
  <c r="O362" i="1" s="1"/>
  <c r="L362" i="1"/>
  <c r="M362" i="1" s="1"/>
  <c r="V362" i="1"/>
  <c r="W362" i="1" s="1"/>
  <c r="T362" i="1"/>
  <c r="U362" i="1" s="1"/>
  <c r="R362" i="1"/>
  <c r="S362" i="1" s="1"/>
  <c r="T356" i="1"/>
  <c r="U356" i="1" s="1"/>
  <c r="V356" i="1"/>
  <c r="W356" i="1" s="1"/>
  <c r="L356" i="1"/>
  <c r="M356" i="1" s="1"/>
  <c r="N356" i="1"/>
  <c r="O356" i="1" s="1"/>
  <c r="R356" i="1"/>
  <c r="S356" i="1" s="1"/>
  <c r="P356" i="1"/>
  <c r="Q356" i="1" s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L217" i="1"/>
  <c r="M217" i="1" s="1"/>
  <c r="J217" i="1"/>
  <c r="K217" i="1" s="1"/>
  <c r="V217" i="1"/>
  <c r="W217" i="1" s="1"/>
  <c r="T217" i="1"/>
  <c r="U217" i="1" s="1"/>
  <c r="N217" i="1"/>
  <c r="O217" i="1" s="1"/>
  <c r="R217" i="1"/>
  <c r="S217" i="1" s="1"/>
  <c r="P217" i="1"/>
  <c r="Q217" i="1" s="1"/>
  <c r="P340" i="1"/>
  <c r="Q340" i="1" s="1"/>
  <c r="L340" i="1"/>
  <c r="M340" i="1" s="1"/>
  <c r="V340" i="1"/>
  <c r="W340" i="1" s="1"/>
  <c r="T340" i="1"/>
  <c r="U340" i="1" s="1"/>
  <c r="N340" i="1"/>
  <c r="O340" i="1" s="1"/>
  <c r="R340" i="1"/>
  <c r="S340" i="1" s="1"/>
  <c r="L353" i="1"/>
  <c r="M353" i="1" s="1"/>
  <c r="N353" i="1"/>
  <c r="O353" i="1" s="1"/>
  <c r="P353" i="1"/>
  <c r="Q353" i="1" s="1"/>
  <c r="R353" i="1"/>
  <c r="S353" i="1" s="1"/>
  <c r="T353" i="1"/>
  <c r="U353" i="1" s="1"/>
  <c r="V353" i="1"/>
  <c r="W353" i="1" s="1"/>
  <c r="T350" i="1"/>
  <c r="U350" i="1" s="1"/>
  <c r="V350" i="1"/>
  <c r="W350" i="1" s="1"/>
  <c r="L350" i="1"/>
  <c r="M350" i="1" s="1"/>
  <c r="N350" i="1"/>
  <c r="O350" i="1" s="1"/>
  <c r="R350" i="1"/>
  <c r="S350" i="1" s="1"/>
  <c r="P350" i="1"/>
  <c r="Q350" i="1" s="1"/>
  <c r="L386" i="1"/>
  <c r="M386" i="1" s="1"/>
  <c r="V386" i="1"/>
  <c r="W386" i="1" s="1"/>
  <c r="T386" i="1"/>
  <c r="U386" i="1" s="1"/>
  <c r="R386" i="1"/>
  <c r="S386" i="1" s="1"/>
  <c r="P386" i="1"/>
  <c r="Q386" i="1" s="1"/>
  <c r="N386" i="1"/>
  <c r="O386" i="1" s="1"/>
  <c r="T387" i="1"/>
  <c r="U387" i="1" s="1"/>
  <c r="R387" i="1"/>
  <c r="S387" i="1" s="1"/>
  <c r="P387" i="1"/>
  <c r="Q387" i="1" s="1"/>
  <c r="N387" i="1"/>
  <c r="O387" i="1" s="1"/>
  <c r="L387" i="1"/>
  <c r="M387" i="1" s="1"/>
  <c r="V387" i="1"/>
  <c r="W387" i="1" s="1"/>
  <c r="V342" i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I217" i="1"/>
  <c r="W334" i="1"/>
  <c r="F300" i="1"/>
  <c r="V300" i="1" l="1"/>
  <c r="W300" i="1" s="1"/>
  <c r="R300" i="1"/>
  <c r="S300" i="1" s="1"/>
  <c r="P300" i="1"/>
  <c r="Q300" i="1" s="1"/>
  <c r="N300" i="1"/>
  <c r="O300" i="1" s="1"/>
  <c r="L300" i="1"/>
  <c r="M300" i="1" s="1"/>
  <c r="J300" i="1"/>
  <c r="K300" i="1" s="1"/>
  <c r="T300" i="1"/>
  <c r="U300" i="1" s="1"/>
  <c r="H300" i="1"/>
  <c r="I300" i="1" s="1"/>
  <c r="F247" i="1"/>
  <c r="G293" i="1"/>
  <c r="J247" i="1" l="1"/>
  <c r="K247" i="1" s="1"/>
  <c r="N247" i="1"/>
  <c r="O247" i="1" s="1"/>
  <c r="P247" i="1"/>
  <c r="Q247" i="1" s="1"/>
  <c r="R247" i="1"/>
  <c r="S247" i="1" s="1"/>
  <c r="T247" i="1"/>
  <c r="U247" i="1" s="1"/>
  <c r="H247" i="1"/>
  <c r="I247" i="1" s="1"/>
  <c r="V247" i="1"/>
  <c r="W247" i="1" s="1"/>
  <c r="L247" i="1"/>
  <c r="M247" i="1" s="1"/>
  <c r="V254" i="1"/>
  <c r="W254" i="1" s="1"/>
  <c r="J254" i="1"/>
  <c r="K254" i="1" s="1"/>
  <c r="L254" i="1"/>
  <c r="M254" i="1" s="1"/>
  <c r="N254" i="1"/>
  <c r="O254" i="1" s="1"/>
  <c r="P254" i="1"/>
  <c r="Q254" i="1" s="1"/>
  <c r="R254" i="1"/>
  <c r="S254" i="1" s="1"/>
  <c r="H254" i="1"/>
  <c r="I254" i="1" s="1"/>
  <c r="T254" i="1"/>
  <c r="U254" i="1" s="1"/>
  <c r="F388" i="1"/>
  <c r="F285" i="1"/>
  <c r="F268" i="1"/>
  <c r="F284" i="1"/>
  <c r="F275" i="1"/>
  <c r="F438" i="1"/>
  <c r="F277" i="1"/>
  <c r="F406" i="1"/>
  <c r="P438" i="1" l="1"/>
  <c r="Q438" i="1" s="1"/>
  <c r="H438" i="1"/>
  <c r="I438" i="1" s="1"/>
  <c r="L438" i="1"/>
  <c r="M438" i="1" s="1"/>
  <c r="R438" i="1"/>
  <c r="S438" i="1" s="1"/>
  <c r="V438" i="1"/>
  <c r="W438" i="1" s="1"/>
  <c r="N438" i="1"/>
  <c r="O438" i="1" s="1"/>
  <c r="T438" i="1"/>
  <c r="U438" i="1" s="1"/>
  <c r="J438" i="1"/>
  <c r="K438" i="1" s="1"/>
  <c r="V410" i="1"/>
  <c r="W410" i="1" s="1"/>
  <c r="N410" i="1"/>
  <c r="O410" i="1" s="1"/>
  <c r="L410" i="1"/>
  <c r="M410" i="1" s="1"/>
  <c r="P410" i="1"/>
  <c r="Q410" i="1" s="1"/>
  <c r="T410" i="1"/>
  <c r="U410" i="1" s="1"/>
  <c r="R410" i="1"/>
  <c r="S410" i="1" s="1"/>
  <c r="P388" i="1"/>
  <c r="Q388" i="1" s="1"/>
  <c r="N388" i="1"/>
  <c r="O388" i="1" s="1"/>
  <c r="L388" i="1"/>
  <c r="M388" i="1" s="1"/>
  <c r="V388" i="1"/>
  <c r="W388" i="1" s="1"/>
  <c r="T388" i="1"/>
  <c r="U388" i="1" s="1"/>
  <c r="R388" i="1"/>
  <c r="S388" i="1" s="1"/>
  <c r="V416" i="1"/>
  <c r="W416" i="1" s="1"/>
  <c r="N416" i="1"/>
  <c r="O416" i="1" s="1"/>
  <c r="L416" i="1"/>
  <c r="M416" i="1" s="1"/>
  <c r="P416" i="1"/>
  <c r="Q416" i="1" s="1"/>
  <c r="R416" i="1"/>
  <c r="S416" i="1" s="1"/>
  <c r="T416" i="1"/>
  <c r="U416" i="1" s="1"/>
  <c r="L406" i="1"/>
  <c r="M406" i="1" s="1"/>
  <c r="N406" i="1"/>
  <c r="O406" i="1" s="1"/>
  <c r="P406" i="1"/>
  <c r="Q406" i="1" s="1"/>
  <c r="R406" i="1"/>
  <c r="S406" i="1" s="1"/>
  <c r="T406" i="1"/>
  <c r="U406" i="1" s="1"/>
  <c r="V406" i="1"/>
  <c r="W406" i="1" s="1"/>
  <c r="T409" i="1"/>
  <c r="U409" i="1" s="1"/>
  <c r="V409" i="1"/>
  <c r="W409" i="1" s="1"/>
  <c r="L409" i="1"/>
  <c r="M409" i="1" s="1"/>
  <c r="N409" i="1"/>
  <c r="O409" i="1" s="1"/>
  <c r="R409" i="1"/>
  <c r="S409" i="1" s="1"/>
  <c r="P409" i="1"/>
  <c r="Q409" i="1" s="1"/>
  <c r="N268" i="1"/>
  <c r="O268" i="1" s="1"/>
  <c r="P268" i="1"/>
  <c r="Q268" i="1" s="1"/>
  <c r="R268" i="1"/>
  <c r="S268" i="1" s="1"/>
  <c r="T268" i="1"/>
  <c r="U268" i="1" s="1"/>
  <c r="V268" i="1"/>
  <c r="W268" i="1" s="1"/>
  <c r="H268" i="1"/>
  <c r="I268" i="1" s="1"/>
  <c r="J268" i="1"/>
  <c r="K268" i="1" s="1"/>
  <c r="L268" i="1"/>
  <c r="M268" i="1" s="1"/>
  <c r="N275" i="1"/>
  <c r="O275" i="1" s="1"/>
  <c r="J275" i="1"/>
  <c r="K275" i="1" s="1"/>
  <c r="H275" i="1"/>
  <c r="I275" i="1" s="1"/>
  <c r="V275" i="1"/>
  <c r="W275" i="1" s="1"/>
  <c r="T275" i="1"/>
  <c r="U275" i="1" s="1"/>
  <c r="R275" i="1"/>
  <c r="S275" i="1" s="1"/>
  <c r="P275" i="1"/>
  <c r="Q275" i="1" s="1"/>
  <c r="L275" i="1"/>
  <c r="M275" i="1" s="1"/>
  <c r="R285" i="1"/>
  <c r="S285" i="1" s="1"/>
  <c r="T285" i="1"/>
  <c r="U285" i="1" s="1"/>
  <c r="H285" i="1"/>
  <c r="I285" i="1" s="1"/>
  <c r="V285" i="1"/>
  <c r="W285" i="1" s="1"/>
  <c r="J285" i="1"/>
  <c r="K285" i="1" s="1"/>
  <c r="L285" i="1"/>
  <c r="M285" i="1" s="1"/>
  <c r="P285" i="1"/>
  <c r="Q285" i="1" s="1"/>
  <c r="N285" i="1"/>
  <c r="O285" i="1" s="1"/>
  <c r="P284" i="1"/>
  <c r="Q284" i="1" s="1"/>
  <c r="R284" i="1"/>
  <c r="S284" i="1" s="1"/>
  <c r="T284" i="1"/>
  <c r="U284" i="1" s="1"/>
  <c r="H284" i="1"/>
  <c r="I284" i="1" s="1"/>
  <c r="V284" i="1"/>
  <c r="W284" i="1" s="1"/>
  <c r="J284" i="1"/>
  <c r="K284" i="1" s="1"/>
  <c r="L284" i="1"/>
  <c r="M284" i="1" s="1"/>
  <c r="N284" i="1"/>
  <c r="O284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7" i="1"/>
  <c r="W277" i="1" s="1"/>
  <c r="G203" i="1"/>
  <c r="G285" i="1"/>
  <c r="G610" i="1"/>
  <c r="O219" i="1" l="1"/>
  <c r="M219" i="1"/>
  <c r="K219" i="1"/>
  <c r="R673" i="1" l="1"/>
  <c r="S673" i="1" s="1"/>
  <c r="L673" i="1"/>
  <c r="M673" i="1" s="1"/>
  <c r="V673" i="1"/>
  <c r="W673" i="1" s="1"/>
  <c r="P673" i="1"/>
  <c r="Q673" i="1" s="1"/>
  <c r="T673" i="1"/>
  <c r="U673" i="1" s="1"/>
  <c r="J673" i="1"/>
  <c r="K673" i="1" s="1"/>
  <c r="N673" i="1"/>
  <c r="O673" i="1" s="1"/>
  <c r="H673" i="1"/>
  <c r="I673" i="1" s="1"/>
  <c r="F548" i="1"/>
  <c r="F547" i="1"/>
  <c r="F546" i="1"/>
  <c r="F534" i="1"/>
  <c r="F533" i="1"/>
  <c r="F593" i="1"/>
  <c r="F595" i="1"/>
  <c r="T534" i="1" l="1"/>
  <c r="U534" i="1" s="1"/>
  <c r="L534" i="1"/>
  <c r="M534" i="1" s="1"/>
  <c r="R534" i="1"/>
  <c r="S534" i="1" s="1"/>
  <c r="J534" i="1"/>
  <c r="K534" i="1" s="1"/>
  <c r="P534" i="1"/>
  <c r="Q534" i="1" s="1"/>
  <c r="N534" i="1"/>
  <c r="O534" i="1" s="1"/>
  <c r="H534" i="1"/>
  <c r="I534" i="1" s="1"/>
  <c r="V534" i="1"/>
  <c r="W534" i="1" s="1"/>
  <c r="H595" i="1"/>
  <c r="I595" i="1" s="1"/>
  <c r="L595" i="1"/>
  <c r="M595" i="1" s="1"/>
  <c r="P595" i="1"/>
  <c r="Q595" i="1" s="1"/>
  <c r="T595" i="1"/>
  <c r="U595" i="1" s="1"/>
  <c r="N595" i="1"/>
  <c r="O595" i="1" s="1"/>
  <c r="V595" i="1"/>
  <c r="W595" i="1" s="1"/>
  <c r="R595" i="1"/>
  <c r="S595" i="1" s="1"/>
  <c r="J595" i="1"/>
  <c r="K595" i="1" s="1"/>
  <c r="T546" i="1"/>
  <c r="U546" i="1" s="1"/>
  <c r="L546" i="1"/>
  <c r="M546" i="1" s="1"/>
  <c r="R546" i="1"/>
  <c r="S546" i="1" s="1"/>
  <c r="J546" i="1"/>
  <c r="K546" i="1" s="1"/>
  <c r="P546" i="1"/>
  <c r="Q546" i="1" s="1"/>
  <c r="N546" i="1"/>
  <c r="O546" i="1" s="1"/>
  <c r="H546" i="1"/>
  <c r="I546" i="1" s="1"/>
  <c r="V546" i="1"/>
  <c r="W546" i="1" s="1"/>
  <c r="H593" i="1"/>
  <c r="I593" i="1" s="1"/>
  <c r="L593" i="1"/>
  <c r="M593" i="1" s="1"/>
  <c r="P593" i="1"/>
  <c r="Q593" i="1" s="1"/>
  <c r="T593" i="1"/>
  <c r="U593" i="1" s="1"/>
  <c r="N593" i="1"/>
  <c r="O593" i="1" s="1"/>
  <c r="V593" i="1"/>
  <c r="W593" i="1" s="1"/>
  <c r="R593" i="1"/>
  <c r="S593" i="1" s="1"/>
  <c r="J593" i="1"/>
  <c r="K593" i="1" s="1"/>
  <c r="T547" i="1"/>
  <c r="U547" i="1" s="1"/>
  <c r="L547" i="1"/>
  <c r="M547" i="1" s="1"/>
  <c r="R547" i="1"/>
  <c r="S547" i="1" s="1"/>
  <c r="J547" i="1"/>
  <c r="K547" i="1" s="1"/>
  <c r="H547" i="1"/>
  <c r="I547" i="1" s="1"/>
  <c r="V547" i="1"/>
  <c r="W547" i="1" s="1"/>
  <c r="P547" i="1"/>
  <c r="Q547" i="1" s="1"/>
  <c r="N547" i="1"/>
  <c r="O547" i="1" s="1"/>
  <c r="T533" i="1"/>
  <c r="U533" i="1" s="1"/>
  <c r="L533" i="1"/>
  <c r="M533" i="1" s="1"/>
  <c r="R533" i="1"/>
  <c r="S533" i="1" s="1"/>
  <c r="J533" i="1"/>
  <c r="K533" i="1" s="1"/>
  <c r="H533" i="1"/>
  <c r="I533" i="1" s="1"/>
  <c r="V533" i="1"/>
  <c r="W533" i="1" s="1"/>
  <c r="P533" i="1"/>
  <c r="Q533" i="1" s="1"/>
  <c r="N533" i="1"/>
  <c r="O533" i="1" s="1"/>
  <c r="V548" i="1"/>
  <c r="W548" i="1" s="1"/>
  <c r="P548" i="1"/>
  <c r="Q548" i="1" s="1"/>
  <c r="T548" i="1"/>
  <c r="U548" i="1" s="1"/>
  <c r="J548" i="1"/>
  <c r="K548" i="1" s="1"/>
  <c r="N548" i="1"/>
  <c r="O548" i="1" s="1"/>
  <c r="L548" i="1"/>
  <c r="M548" i="1" s="1"/>
  <c r="R548" i="1"/>
  <c r="S548" i="1" s="1"/>
  <c r="H548" i="1"/>
  <c r="I548" i="1" s="1"/>
  <c r="G593" i="1"/>
  <c r="G256" i="1" l="1"/>
  <c r="G251" i="1"/>
  <c r="G421" i="1"/>
  <c r="W242" i="1" l="1"/>
  <c r="U242" i="1"/>
  <c r="S242" i="1"/>
  <c r="Q242" i="1"/>
  <c r="O242" i="1"/>
  <c r="M242" i="1"/>
  <c r="K242" i="1"/>
  <c r="I242" i="1"/>
  <c r="W201" i="1" l="1"/>
  <c r="U201" i="1"/>
  <c r="S201" i="1"/>
  <c r="Q201" i="1"/>
  <c r="O201" i="1"/>
  <c r="M201" i="1"/>
  <c r="W97" i="1" l="1"/>
  <c r="U97" i="1"/>
  <c r="S97" i="1"/>
  <c r="Q97" i="1"/>
  <c r="O97" i="1"/>
  <c r="M97" i="1"/>
  <c r="K97" i="1"/>
  <c r="K378" i="1" l="1"/>
  <c r="G378" i="1"/>
  <c r="W454" i="1"/>
  <c r="U454" i="1"/>
  <c r="S454" i="1"/>
  <c r="Q454" i="1"/>
  <c r="O454" i="1"/>
  <c r="M454" i="1"/>
  <c r="K454" i="1"/>
  <c r="G454" i="1"/>
  <c r="G455" i="1"/>
  <c r="G453" i="1"/>
  <c r="G443" i="1" l="1"/>
  <c r="G376" i="1" l="1"/>
  <c r="G373" i="1"/>
  <c r="G327" i="1"/>
  <c r="F366" i="1" l="1"/>
  <c r="W486" i="1"/>
  <c r="U486" i="1"/>
  <c r="S486" i="1"/>
  <c r="Q486" i="1"/>
  <c r="O486" i="1"/>
  <c r="V366" i="1" l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K139" i="1"/>
  <c r="G366" i="1"/>
  <c r="G270" i="1"/>
  <c r="G139" i="1"/>
  <c r="G492" i="1"/>
  <c r="G372" i="1" l="1"/>
  <c r="G210" i="1"/>
  <c r="G308" i="1" l="1"/>
  <c r="U132" i="1" l="1"/>
  <c r="S132" i="1"/>
  <c r="Q132" i="1"/>
  <c r="O132" i="1"/>
  <c r="M132" i="1"/>
  <c r="W127" i="1"/>
  <c r="U127" i="1"/>
  <c r="S127" i="1"/>
  <c r="Q127" i="1"/>
  <c r="O127" i="1"/>
  <c r="M127" i="1"/>
  <c r="F309" i="1"/>
  <c r="R309" i="1" l="1"/>
  <c r="S309" i="1" s="1"/>
  <c r="N309" i="1"/>
  <c r="O309" i="1" s="1"/>
  <c r="L309" i="1"/>
  <c r="M309" i="1" s="1"/>
  <c r="J309" i="1"/>
  <c r="K309" i="1" s="1"/>
  <c r="H309" i="1"/>
  <c r="I309" i="1" s="1"/>
  <c r="V309" i="1"/>
  <c r="W309" i="1" s="1"/>
  <c r="T309" i="1"/>
  <c r="U309" i="1" s="1"/>
  <c r="P309" i="1"/>
  <c r="Q309" i="1" s="1"/>
  <c r="G309" i="1"/>
  <c r="G266" i="1"/>
  <c r="U28" i="1" l="1"/>
  <c r="S28" i="1"/>
  <c r="Q28" i="1"/>
  <c r="O28" i="1"/>
  <c r="M28" i="1"/>
  <c r="G277" i="1" l="1"/>
  <c r="G273" i="1"/>
  <c r="F588" i="1" l="1"/>
  <c r="J588" i="1" l="1"/>
  <c r="K588" i="1" s="1"/>
  <c r="T588" i="1"/>
  <c r="U588" i="1" s="1"/>
  <c r="P588" i="1"/>
  <c r="Q588" i="1" s="1"/>
  <c r="V588" i="1"/>
  <c r="W588" i="1" s="1"/>
  <c r="R588" i="1"/>
  <c r="S588" i="1" s="1"/>
  <c r="H588" i="1"/>
  <c r="I588" i="1" s="1"/>
  <c r="L588" i="1"/>
  <c r="M588" i="1" s="1"/>
  <c r="N588" i="1"/>
  <c r="O588" i="1" s="1"/>
  <c r="W125" i="1"/>
  <c r="U125" i="1"/>
  <c r="S125" i="1"/>
  <c r="Q125" i="1"/>
  <c r="O125" i="1"/>
  <c r="M125" i="1"/>
  <c r="W130" i="1"/>
  <c r="U130" i="1"/>
  <c r="S130" i="1"/>
  <c r="Q130" i="1"/>
  <c r="O130" i="1"/>
  <c r="M130" i="1"/>
  <c r="S128" i="1"/>
  <c r="F63" i="1" l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W135" i="1" l="1"/>
  <c r="U135" i="1"/>
  <c r="S135" i="1"/>
  <c r="Q135" i="1"/>
  <c r="O135" i="1"/>
  <c r="M135" i="1"/>
  <c r="G135" i="1"/>
  <c r="G490" i="1" l="1"/>
  <c r="G303" i="1"/>
  <c r="G61" i="1" l="1"/>
  <c r="G592" i="1" l="1"/>
  <c r="G539" i="1" l="1"/>
  <c r="G538" i="1"/>
  <c r="G436" i="1" l="1"/>
  <c r="I694" i="1" l="1"/>
  <c r="I695" i="1"/>
  <c r="K695" i="1" l="1"/>
  <c r="G695" i="1"/>
  <c r="G569" i="1" l="1"/>
  <c r="F645" i="1" l="1"/>
  <c r="P645" i="1" l="1"/>
  <c r="H645" i="1"/>
  <c r="T645" i="1"/>
  <c r="U645" i="1" s="1"/>
  <c r="R645" i="1"/>
  <c r="S645" i="1" s="1"/>
  <c r="J645" i="1"/>
  <c r="V645" i="1"/>
  <c r="W645" i="1" s="1"/>
  <c r="N645" i="1"/>
  <c r="O645" i="1" s="1"/>
  <c r="L645" i="1"/>
  <c r="M645" i="1" s="1"/>
  <c r="Q645" i="1"/>
  <c r="K645" i="1"/>
  <c r="G645" i="1" l="1"/>
  <c r="I645" i="1"/>
  <c r="U524" i="1" l="1"/>
  <c r="W523" i="1"/>
  <c r="O523" i="1" l="1"/>
  <c r="I523" i="1"/>
  <c r="K523" i="1"/>
  <c r="M523" i="1"/>
  <c r="Q523" i="1"/>
  <c r="S523" i="1"/>
  <c r="U523" i="1"/>
  <c r="W524" i="1"/>
  <c r="M524" i="1"/>
  <c r="O524" i="1"/>
  <c r="K524" i="1"/>
  <c r="Q524" i="1"/>
  <c r="S524" i="1"/>
  <c r="G524" i="1"/>
  <c r="I524" i="1"/>
  <c r="G523" i="1"/>
  <c r="G580" i="1" l="1"/>
  <c r="G609" i="1" l="1"/>
  <c r="G608" i="1"/>
  <c r="F612" i="1" l="1"/>
  <c r="H612" i="1" l="1"/>
  <c r="I612" i="1" s="1"/>
  <c r="N612" i="1"/>
  <c r="O612" i="1" s="1"/>
  <c r="R612" i="1"/>
  <c r="S612" i="1" s="1"/>
  <c r="L612" i="1"/>
  <c r="M612" i="1" s="1"/>
  <c r="T612" i="1"/>
  <c r="U612" i="1" s="1"/>
  <c r="P612" i="1"/>
  <c r="Q612" i="1" s="1"/>
  <c r="J612" i="1"/>
  <c r="K612" i="1" s="1"/>
  <c r="V612" i="1"/>
  <c r="W612" i="1" s="1"/>
  <c r="G612" i="1"/>
  <c r="G607" i="1"/>
  <c r="G655" i="1" l="1"/>
  <c r="G673" i="1"/>
  <c r="W671" i="1" l="1"/>
  <c r="S671" i="1"/>
  <c r="O671" i="1"/>
  <c r="K671" i="1"/>
  <c r="G671" i="1"/>
  <c r="M671" i="1" l="1"/>
  <c r="Q671" i="1"/>
  <c r="U671" i="1"/>
  <c r="F684" i="1" l="1"/>
  <c r="V684" i="1" l="1"/>
  <c r="W684" i="1" s="1"/>
  <c r="P684" i="1"/>
  <c r="Q684" i="1" s="1"/>
  <c r="T684" i="1"/>
  <c r="U684" i="1" s="1"/>
  <c r="J684" i="1"/>
  <c r="N684" i="1"/>
  <c r="O684" i="1" s="1"/>
  <c r="R684" i="1"/>
  <c r="S684" i="1" s="1"/>
  <c r="L684" i="1"/>
  <c r="M684" i="1" s="1"/>
  <c r="K684" i="1"/>
  <c r="G650" i="1"/>
  <c r="G648" i="1"/>
  <c r="F536" i="1"/>
  <c r="T536" i="1" l="1"/>
  <c r="U536" i="1" s="1"/>
  <c r="L536" i="1"/>
  <c r="M536" i="1" s="1"/>
  <c r="R536" i="1"/>
  <c r="S536" i="1" s="1"/>
  <c r="J536" i="1"/>
  <c r="K536" i="1" s="1"/>
  <c r="H536" i="1"/>
  <c r="I536" i="1" s="1"/>
  <c r="V536" i="1"/>
  <c r="W536" i="1" s="1"/>
  <c r="P536" i="1"/>
  <c r="Q536" i="1" s="1"/>
  <c r="N536" i="1"/>
  <c r="O536" i="1" s="1"/>
  <c r="F375" i="1"/>
  <c r="F255" i="1"/>
  <c r="F209" i="1"/>
  <c r="V209" i="1" l="1"/>
  <c r="W209" i="1" s="1"/>
  <c r="R209" i="1"/>
  <c r="S209" i="1" s="1"/>
  <c r="P209" i="1"/>
  <c r="Q209" i="1" s="1"/>
  <c r="N209" i="1"/>
  <c r="O209" i="1" s="1"/>
  <c r="L209" i="1"/>
  <c r="M209" i="1" s="1"/>
  <c r="T209" i="1"/>
  <c r="U209" i="1" s="1"/>
  <c r="J209" i="1"/>
  <c r="K209" i="1" s="1"/>
  <c r="V255" i="1"/>
  <c r="W255" i="1" s="1"/>
  <c r="H255" i="1"/>
  <c r="I255" i="1" s="1"/>
  <c r="J255" i="1"/>
  <c r="K255" i="1" s="1"/>
  <c r="L255" i="1"/>
  <c r="M255" i="1" s="1"/>
  <c r="N255" i="1"/>
  <c r="O255" i="1" s="1"/>
  <c r="P255" i="1"/>
  <c r="Q255" i="1" s="1"/>
  <c r="R255" i="1"/>
  <c r="S255" i="1" s="1"/>
  <c r="T255" i="1"/>
  <c r="U255" i="1" s="1"/>
  <c r="V375" i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I226" i="1"/>
  <c r="G14" i="1"/>
  <c r="U14" i="1" l="1"/>
  <c r="S14" i="1"/>
  <c r="Q14" i="1"/>
  <c r="O14" i="1"/>
  <c r="M14" i="1"/>
  <c r="K14" i="1"/>
  <c r="I14" i="1"/>
  <c r="G30" i="1" l="1"/>
  <c r="F589" i="1"/>
  <c r="F542" i="1"/>
  <c r="F530" i="1"/>
  <c r="F529" i="1"/>
  <c r="T530" i="1" l="1"/>
  <c r="U530" i="1" s="1"/>
  <c r="L530" i="1"/>
  <c r="M530" i="1" s="1"/>
  <c r="R530" i="1"/>
  <c r="S530" i="1" s="1"/>
  <c r="J530" i="1"/>
  <c r="K530" i="1" s="1"/>
  <c r="P530" i="1"/>
  <c r="Q530" i="1" s="1"/>
  <c r="N530" i="1"/>
  <c r="O530" i="1" s="1"/>
  <c r="H530" i="1"/>
  <c r="I530" i="1" s="1"/>
  <c r="V530" i="1"/>
  <c r="W530" i="1" s="1"/>
  <c r="T542" i="1"/>
  <c r="U542" i="1" s="1"/>
  <c r="L542" i="1"/>
  <c r="M542" i="1" s="1"/>
  <c r="R542" i="1"/>
  <c r="S542" i="1" s="1"/>
  <c r="J542" i="1"/>
  <c r="K542" i="1" s="1"/>
  <c r="H542" i="1"/>
  <c r="I542" i="1" s="1"/>
  <c r="V542" i="1"/>
  <c r="W542" i="1" s="1"/>
  <c r="P542" i="1"/>
  <c r="Q542" i="1" s="1"/>
  <c r="N542" i="1"/>
  <c r="O542" i="1" s="1"/>
  <c r="J589" i="1"/>
  <c r="K589" i="1" s="1"/>
  <c r="P589" i="1"/>
  <c r="Q589" i="1" s="1"/>
  <c r="T589" i="1"/>
  <c r="U589" i="1" s="1"/>
  <c r="L589" i="1"/>
  <c r="M589" i="1" s="1"/>
  <c r="N589" i="1"/>
  <c r="O589" i="1" s="1"/>
  <c r="V589" i="1"/>
  <c r="W589" i="1" s="1"/>
  <c r="H589" i="1"/>
  <c r="I589" i="1" s="1"/>
  <c r="R589" i="1"/>
  <c r="S589" i="1" s="1"/>
  <c r="V529" i="1"/>
  <c r="W529" i="1" s="1"/>
  <c r="P529" i="1"/>
  <c r="Q529" i="1" s="1"/>
  <c r="T529" i="1"/>
  <c r="U529" i="1" s="1"/>
  <c r="J529" i="1"/>
  <c r="K529" i="1" s="1"/>
  <c r="N529" i="1"/>
  <c r="O529" i="1" s="1"/>
  <c r="L529" i="1"/>
  <c r="M529" i="1" s="1"/>
  <c r="R529" i="1"/>
  <c r="S529" i="1" s="1"/>
  <c r="H529" i="1"/>
  <c r="I529" i="1" s="1"/>
  <c r="G525" i="1"/>
  <c r="F474" i="1"/>
  <c r="F422" i="1"/>
  <c r="V474" i="1" l="1"/>
  <c r="W474" i="1" s="1"/>
  <c r="N474" i="1"/>
  <c r="O474" i="1" s="1"/>
  <c r="T474" i="1"/>
  <c r="U474" i="1" s="1"/>
  <c r="L474" i="1"/>
  <c r="M474" i="1" s="1"/>
  <c r="R474" i="1"/>
  <c r="S474" i="1" s="1"/>
  <c r="J474" i="1"/>
  <c r="K474" i="1" s="1"/>
  <c r="P474" i="1"/>
  <c r="Q474" i="1" s="1"/>
  <c r="N422" i="1"/>
  <c r="O422" i="1" s="1"/>
  <c r="T422" i="1"/>
  <c r="U422" i="1" s="1"/>
  <c r="H422" i="1"/>
  <c r="I422" i="1" s="1"/>
  <c r="R422" i="1"/>
  <c r="S422" i="1" s="1"/>
  <c r="L422" i="1"/>
  <c r="M422" i="1" s="1"/>
  <c r="V422" i="1"/>
  <c r="W422" i="1" s="1"/>
  <c r="J422" i="1"/>
  <c r="K422" i="1" s="1"/>
  <c r="P422" i="1"/>
  <c r="Q422" i="1" s="1"/>
  <c r="F402" i="1"/>
  <c r="F369" i="1"/>
  <c r="F348" i="1"/>
  <c r="F347" i="1"/>
  <c r="F345" i="1"/>
  <c r="F343" i="1"/>
  <c r="F341" i="1"/>
  <c r="F283" i="1"/>
  <c r="H283" i="1" s="1"/>
  <c r="I283" i="1" s="1"/>
  <c r="F281" i="1"/>
  <c r="F279" i="1"/>
  <c r="F235" i="1"/>
  <c r="F230" i="1"/>
  <c r="F229" i="1"/>
  <c r="F161" i="1"/>
  <c r="F96" i="1"/>
  <c r="T402" i="1" l="1"/>
  <c r="U402" i="1" s="1"/>
  <c r="R402" i="1"/>
  <c r="S402" i="1" s="1"/>
  <c r="P402" i="1"/>
  <c r="Q402" i="1" s="1"/>
  <c r="N402" i="1"/>
  <c r="O402" i="1" s="1"/>
  <c r="L402" i="1"/>
  <c r="M402" i="1" s="1"/>
  <c r="V402" i="1"/>
  <c r="W402" i="1" s="1"/>
  <c r="N341" i="1"/>
  <c r="O341" i="1" s="1"/>
  <c r="L341" i="1"/>
  <c r="M341" i="1" s="1"/>
  <c r="V345" i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N281" i="1"/>
  <c r="O281" i="1" s="1"/>
  <c r="P281" i="1"/>
  <c r="Q281" i="1" s="1"/>
  <c r="R281" i="1"/>
  <c r="S281" i="1" s="1"/>
  <c r="T281" i="1"/>
  <c r="U281" i="1" s="1"/>
  <c r="H281" i="1"/>
  <c r="I281" i="1" s="1"/>
  <c r="V281" i="1"/>
  <c r="W281" i="1" s="1"/>
  <c r="L281" i="1"/>
  <c r="M281" i="1" s="1"/>
  <c r="J281" i="1"/>
  <c r="K281" i="1" s="1"/>
  <c r="P343" i="1"/>
  <c r="Q343" i="1" s="1"/>
  <c r="L343" i="1"/>
  <c r="M343" i="1" s="1"/>
  <c r="V343" i="1"/>
  <c r="W343" i="1" s="1"/>
  <c r="T343" i="1"/>
  <c r="U343" i="1" s="1"/>
  <c r="R343" i="1"/>
  <c r="S343" i="1" s="1"/>
  <c r="N343" i="1"/>
  <c r="O343" i="1" s="1"/>
  <c r="V347" i="1"/>
  <c r="W347" i="1" s="1"/>
  <c r="R347" i="1"/>
  <c r="S347" i="1" s="1"/>
  <c r="P347" i="1"/>
  <c r="Q347" i="1" s="1"/>
  <c r="N347" i="1"/>
  <c r="O347" i="1" s="1"/>
  <c r="L347" i="1"/>
  <c r="M347" i="1" s="1"/>
  <c r="T347" i="1"/>
  <c r="U347" i="1" s="1"/>
  <c r="P348" i="1"/>
  <c r="Q348" i="1" s="1"/>
  <c r="N348" i="1"/>
  <c r="O348" i="1" s="1"/>
  <c r="L348" i="1"/>
  <c r="M348" i="1" s="1"/>
  <c r="V369" i="1"/>
  <c r="W369" i="1" s="1"/>
  <c r="T369" i="1"/>
  <c r="U369" i="1" s="1"/>
  <c r="R369" i="1"/>
  <c r="S369" i="1" s="1"/>
  <c r="P369" i="1"/>
  <c r="Q369" i="1" s="1"/>
  <c r="N369" i="1"/>
  <c r="O369" i="1" s="1"/>
  <c r="L369" i="1"/>
  <c r="M369" i="1" s="1"/>
  <c r="V229" i="1"/>
  <c r="W229" i="1" s="1"/>
  <c r="T229" i="1"/>
  <c r="U229" i="1" s="1"/>
  <c r="R229" i="1"/>
  <c r="S229" i="1" s="1"/>
  <c r="P229" i="1"/>
  <c r="Q229" i="1" s="1"/>
  <c r="L229" i="1"/>
  <c r="M229" i="1" s="1"/>
  <c r="N229" i="1"/>
  <c r="O229" i="1" s="1"/>
  <c r="J229" i="1"/>
  <c r="K229" i="1" s="1"/>
  <c r="P235" i="1"/>
  <c r="Q235" i="1" s="1"/>
  <c r="N235" i="1"/>
  <c r="O235" i="1" s="1"/>
  <c r="L235" i="1"/>
  <c r="M235" i="1" s="1"/>
  <c r="J235" i="1"/>
  <c r="K235" i="1" s="1"/>
  <c r="V235" i="1"/>
  <c r="W235" i="1" s="1"/>
  <c r="T235" i="1"/>
  <c r="U235" i="1" s="1"/>
  <c r="R235" i="1"/>
  <c r="S235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61" i="1"/>
  <c r="W161" i="1" s="1"/>
  <c r="T161" i="1"/>
  <c r="U161" i="1" s="1"/>
  <c r="R161" i="1"/>
  <c r="S161" i="1" s="1"/>
  <c r="P161" i="1"/>
  <c r="Q161" i="1" s="1"/>
  <c r="N161" i="1"/>
  <c r="O161" i="1" s="1"/>
  <c r="H161" i="1"/>
  <c r="I161" i="1" s="1"/>
  <c r="L161" i="1"/>
  <c r="M161" i="1" s="1"/>
  <c r="J161" i="1"/>
  <c r="K161" i="1" s="1"/>
  <c r="L230" i="1"/>
  <c r="M230" i="1" s="1"/>
  <c r="J230" i="1"/>
  <c r="K230" i="1" s="1"/>
  <c r="V230" i="1"/>
  <c r="W230" i="1" s="1"/>
  <c r="T230" i="1"/>
  <c r="U230" i="1" s="1"/>
  <c r="R230" i="1"/>
  <c r="S230" i="1" s="1"/>
  <c r="P230" i="1"/>
  <c r="Q230" i="1" s="1"/>
  <c r="N230" i="1"/>
  <c r="O230" i="1" s="1"/>
  <c r="P279" i="1"/>
  <c r="Q279" i="1" s="1"/>
  <c r="T279" i="1"/>
  <c r="U279" i="1" s="1"/>
  <c r="H279" i="1"/>
  <c r="I279" i="1" s="1"/>
  <c r="V279" i="1"/>
  <c r="W279" i="1" s="1"/>
  <c r="J279" i="1"/>
  <c r="K279" i="1" s="1"/>
  <c r="L279" i="1"/>
  <c r="M279" i="1" s="1"/>
  <c r="N279" i="1"/>
  <c r="O279" i="1" s="1"/>
  <c r="R279" i="1"/>
  <c r="S279" i="1" s="1"/>
  <c r="I104" i="1"/>
  <c r="I102" i="1"/>
  <c r="I99" i="1"/>
  <c r="I100" i="1"/>
  <c r="G617" i="1" l="1"/>
  <c r="G363" i="1"/>
  <c r="G362" i="1" l="1"/>
  <c r="G434" i="1" l="1"/>
  <c r="G435" i="1"/>
  <c r="G431" i="1"/>
  <c r="G432" i="1"/>
  <c r="G247" i="1"/>
  <c r="J11" i="1" l="1"/>
  <c r="G11" i="1"/>
  <c r="I448" i="1" l="1"/>
  <c r="G252" i="1" l="1"/>
  <c r="G254" i="1" l="1"/>
  <c r="G361" i="1" l="1"/>
  <c r="G410" i="1"/>
  <c r="G518" i="1" l="1"/>
  <c r="W226" i="1" l="1"/>
  <c r="U226" i="1"/>
  <c r="S226" i="1"/>
  <c r="Q226" i="1"/>
  <c r="O226" i="1"/>
  <c r="M226" i="1"/>
  <c r="K226" i="1"/>
  <c r="U196" i="1"/>
  <c r="S196" i="1"/>
  <c r="Q196" i="1"/>
  <c r="O196" i="1"/>
  <c r="M196" i="1"/>
  <c r="J10" i="1"/>
  <c r="I69" i="1"/>
  <c r="G438" i="1" l="1"/>
  <c r="U448" i="1" l="1"/>
  <c r="S448" i="1"/>
  <c r="Q448" i="1"/>
  <c r="O448" i="1"/>
  <c r="M448" i="1"/>
  <c r="K448" i="1"/>
  <c r="G448" i="1"/>
  <c r="G527" i="1" l="1"/>
  <c r="G526" i="1"/>
  <c r="U151" i="1"/>
  <c r="W151" i="1"/>
  <c r="S151" i="1"/>
  <c r="Q151" i="1"/>
  <c r="O151" i="1"/>
  <c r="M151" i="1"/>
  <c r="K151" i="1"/>
  <c r="W150" i="1"/>
  <c r="U150" i="1"/>
  <c r="S150" i="1"/>
  <c r="Q150" i="1"/>
  <c r="O150" i="1"/>
  <c r="M150" i="1"/>
  <c r="K150" i="1"/>
  <c r="G413" i="1" l="1"/>
  <c r="G541" i="1" l="1"/>
  <c r="I507" i="1" l="1"/>
  <c r="I506" i="1"/>
  <c r="G500" i="1" l="1"/>
  <c r="Q500" i="1" l="1"/>
  <c r="O500" i="1"/>
  <c r="M500" i="1"/>
  <c r="W500" i="1"/>
  <c r="K500" i="1"/>
  <c r="U500" i="1"/>
  <c r="S500" i="1"/>
  <c r="I500" i="1"/>
  <c r="G426" i="1" l="1"/>
  <c r="F17" i="1" l="1"/>
  <c r="H17" i="1" s="1"/>
  <c r="F18" i="1"/>
  <c r="H18" i="1" s="1"/>
  <c r="I171" i="1" l="1"/>
  <c r="G591" i="1"/>
  <c r="G419" i="1" l="1"/>
  <c r="G528" i="1" l="1"/>
  <c r="G387" i="1" l="1"/>
  <c r="F550" i="1" l="1"/>
  <c r="T550" i="1" l="1"/>
  <c r="U550" i="1" s="1"/>
  <c r="L550" i="1"/>
  <c r="M550" i="1" s="1"/>
  <c r="R550" i="1"/>
  <c r="S550" i="1" s="1"/>
  <c r="J550" i="1"/>
  <c r="K550" i="1" s="1"/>
  <c r="H550" i="1"/>
  <c r="I550" i="1" s="1"/>
  <c r="V550" i="1"/>
  <c r="W550" i="1" s="1"/>
  <c r="P550" i="1"/>
  <c r="Q550" i="1" s="1"/>
  <c r="N550" i="1"/>
  <c r="O550" i="1" s="1"/>
  <c r="G550" i="1"/>
  <c r="G388" i="1" l="1"/>
  <c r="G385" i="1" l="1"/>
  <c r="G684" i="1" l="1"/>
  <c r="G573" i="1"/>
  <c r="G611" i="1"/>
  <c r="G100" i="1"/>
  <c r="G460" i="1" l="1"/>
  <c r="G683" i="1"/>
  <c r="N461" i="1" l="1"/>
  <c r="O461" i="1" s="1"/>
  <c r="H461" i="1"/>
  <c r="I461" i="1" s="1"/>
  <c r="L461" i="1"/>
  <c r="M461" i="1" s="1"/>
  <c r="J461" i="1"/>
  <c r="K461" i="1" s="1"/>
  <c r="G461" i="1"/>
  <c r="G462" i="1"/>
  <c r="G463" i="1"/>
  <c r="G386" i="1" l="1"/>
  <c r="W162" i="1" l="1"/>
  <c r="U162" i="1"/>
  <c r="S162" i="1"/>
  <c r="Q162" i="1"/>
  <c r="O162" i="1"/>
  <c r="M162" i="1"/>
  <c r="K162" i="1"/>
  <c r="W487" i="1"/>
  <c r="W483" i="1"/>
  <c r="W482" i="1"/>
  <c r="U487" i="1"/>
  <c r="U483" i="1"/>
  <c r="U482" i="1"/>
  <c r="S487" i="1"/>
  <c r="S483" i="1"/>
  <c r="S482" i="1"/>
  <c r="Q487" i="1"/>
  <c r="Q483" i="1"/>
  <c r="Q482" i="1"/>
  <c r="O487" i="1"/>
  <c r="O483" i="1"/>
  <c r="O482" i="1"/>
  <c r="G485" i="1"/>
  <c r="G486" i="1"/>
  <c r="G487" i="1"/>
  <c r="G484" i="1"/>
  <c r="G483" i="1"/>
  <c r="G482" i="1"/>
  <c r="G353" i="1" l="1"/>
  <c r="F517" i="1" l="1"/>
  <c r="T517" i="1" l="1"/>
  <c r="U517" i="1" s="1"/>
  <c r="L517" i="1"/>
  <c r="M517" i="1" s="1"/>
  <c r="R517" i="1"/>
  <c r="S517" i="1" s="1"/>
  <c r="J517" i="1"/>
  <c r="K517" i="1" s="1"/>
  <c r="H517" i="1"/>
  <c r="I517" i="1" s="1"/>
  <c r="P517" i="1"/>
  <c r="Q517" i="1" s="1"/>
  <c r="V517" i="1"/>
  <c r="W517" i="1" s="1"/>
  <c r="N517" i="1"/>
  <c r="O517" i="1" s="1"/>
  <c r="F551" i="1" l="1"/>
  <c r="T551" i="1" l="1"/>
  <c r="U551" i="1" s="1"/>
  <c r="L551" i="1"/>
  <c r="M551" i="1" s="1"/>
  <c r="R551" i="1"/>
  <c r="S551" i="1" s="1"/>
  <c r="J551" i="1"/>
  <c r="K551" i="1" s="1"/>
  <c r="H551" i="1"/>
  <c r="I551" i="1" s="1"/>
  <c r="V551" i="1"/>
  <c r="W551" i="1" s="1"/>
  <c r="P551" i="1"/>
  <c r="Q551" i="1" s="1"/>
  <c r="N551" i="1"/>
  <c r="O551" i="1" s="1"/>
  <c r="G292" i="1"/>
  <c r="G375" i="1" l="1"/>
  <c r="F364" i="1" l="1"/>
  <c r="F190" i="1"/>
  <c r="F189" i="1"/>
  <c r="F188" i="1"/>
  <c r="F187" i="1"/>
  <c r="F186" i="1"/>
  <c r="F185" i="1"/>
  <c r="L364" i="1" l="1"/>
  <c r="M364" i="1" s="1"/>
  <c r="T364" i="1"/>
  <c r="U364" i="1" s="1"/>
  <c r="R364" i="1"/>
  <c r="S364" i="1" s="1"/>
  <c r="P364" i="1"/>
  <c r="Q364" i="1" s="1"/>
  <c r="N364" i="1"/>
  <c r="O364" i="1" s="1"/>
  <c r="N185" i="1"/>
  <c r="O185" i="1" s="1"/>
  <c r="L185" i="1"/>
  <c r="M185" i="1" s="1"/>
  <c r="J185" i="1"/>
  <c r="K185" i="1" s="1"/>
  <c r="H185" i="1"/>
  <c r="I185" i="1" s="1"/>
  <c r="P185" i="1"/>
  <c r="Q185" i="1" s="1"/>
  <c r="V185" i="1"/>
  <c r="W185" i="1" s="1"/>
  <c r="R185" i="1"/>
  <c r="S185" i="1" s="1"/>
  <c r="T185" i="1"/>
  <c r="U185" i="1" s="1"/>
  <c r="R187" i="1"/>
  <c r="S187" i="1" s="1"/>
  <c r="V187" i="1"/>
  <c r="W187" i="1" s="1"/>
  <c r="T187" i="1"/>
  <c r="U187" i="1" s="1"/>
  <c r="P187" i="1"/>
  <c r="Q187" i="1" s="1"/>
  <c r="L187" i="1"/>
  <c r="M187" i="1" s="1"/>
  <c r="J187" i="1"/>
  <c r="K187" i="1" s="1"/>
  <c r="N187" i="1"/>
  <c r="O187" i="1" s="1"/>
  <c r="H187" i="1"/>
  <c r="I187" i="1" s="1"/>
  <c r="P190" i="1"/>
  <c r="Q190" i="1" s="1"/>
  <c r="N190" i="1"/>
  <c r="O190" i="1" s="1"/>
  <c r="L190" i="1"/>
  <c r="M190" i="1" s="1"/>
  <c r="J190" i="1"/>
  <c r="K190" i="1" s="1"/>
  <c r="H190" i="1"/>
  <c r="I190" i="1" s="1"/>
  <c r="T190" i="1"/>
  <c r="U190" i="1" s="1"/>
  <c r="V190" i="1"/>
  <c r="W190" i="1" s="1"/>
  <c r="R190" i="1"/>
  <c r="S190" i="1" s="1"/>
  <c r="H186" i="1"/>
  <c r="I186" i="1" s="1"/>
  <c r="V186" i="1"/>
  <c r="W186" i="1" s="1"/>
  <c r="J186" i="1"/>
  <c r="K186" i="1" s="1"/>
  <c r="T186" i="1"/>
  <c r="U186" i="1" s="1"/>
  <c r="R186" i="1"/>
  <c r="S186" i="1" s="1"/>
  <c r="P186" i="1"/>
  <c r="Q186" i="1" s="1"/>
  <c r="N186" i="1"/>
  <c r="O186" i="1" s="1"/>
  <c r="L186" i="1"/>
  <c r="M186" i="1" s="1"/>
  <c r="T188" i="1"/>
  <c r="U188" i="1" s="1"/>
  <c r="R188" i="1"/>
  <c r="S188" i="1" s="1"/>
  <c r="P188" i="1"/>
  <c r="Q188" i="1" s="1"/>
  <c r="N188" i="1"/>
  <c r="O188" i="1" s="1"/>
  <c r="L188" i="1"/>
  <c r="M188" i="1" s="1"/>
  <c r="J188" i="1"/>
  <c r="K188" i="1" s="1"/>
  <c r="P189" i="1"/>
  <c r="Q189" i="1" s="1"/>
  <c r="N189" i="1"/>
  <c r="O189" i="1" s="1"/>
  <c r="L189" i="1"/>
  <c r="M189" i="1" s="1"/>
  <c r="H189" i="1"/>
  <c r="I189" i="1" s="1"/>
  <c r="J189" i="1"/>
  <c r="K189" i="1" s="1"/>
  <c r="R189" i="1"/>
  <c r="S189" i="1" s="1"/>
  <c r="V189" i="1"/>
  <c r="W189" i="1" s="1"/>
  <c r="T189" i="1"/>
  <c r="U189" i="1" s="1"/>
  <c r="K140" i="1" l="1"/>
  <c r="G409" i="1"/>
  <c r="O711" i="1" l="1"/>
  <c r="G325" i="1" l="1"/>
  <c r="L358" i="1" l="1"/>
  <c r="M358" i="1" s="1"/>
  <c r="N358" i="1"/>
  <c r="O358" i="1" s="1"/>
  <c r="P358" i="1"/>
  <c r="Q358" i="1" s="1"/>
  <c r="R358" i="1"/>
  <c r="S358" i="1" s="1"/>
  <c r="T358" i="1"/>
  <c r="U358" i="1" s="1"/>
  <c r="V358" i="1"/>
  <c r="W358" i="1" s="1"/>
  <c r="G699" i="1"/>
  <c r="G547" i="1" l="1"/>
  <c r="G546" i="1" l="1"/>
  <c r="G535" i="1" l="1"/>
  <c r="G530" i="1"/>
  <c r="G529" i="1" l="1"/>
  <c r="G279" i="1" l="1"/>
  <c r="G276" i="1"/>
  <c r="G260" i="1" l="1"/>
  <c r="G255" i="1"/>
  <c r="G615" i="1" l="1"/>
  <c r="G616" i="1"/>
  <c r="G516" i="1" l="1"/>
  <c r="G212" i="1" l="1"/>
  <c r="G211" i="1" l="1"/>
  <c r="G226" i="1"/>
  <c r="G586" i="1" l="1"/>
  <c r="G585" i="1"/>
  <c r="G374" i="1" l="1"/>
  <c r="G259" i="1" l="1"/>
  <c r="G189" i="1" l="1"/>
  <c r="G190" i="1"/>
  <c r="G186" i="1" l="1"/>
  <c r="G188" i="1"/>
  <c r="G187" i="1"/>
  <c r="G185" i="1"/>
  <c r="G182" i="1"/>
  <c r="G179" i="1"/>
  <c r="G312" i="1" l="1"/>
  <c r="W621" i="1" l="1"/>
  <c r="U621" i="1"/>
  <c r="S621" i="1"/>
  <c r="Q621" i="1"/>
  <c r="O621" i="1"/>
  <c r="M621" i="1"/>
  <c r="K621" i="1"/>
  <c r="I621" i="1"/>
  <c r="W555" i="1" l="1"/>
  <c r="U555" i="1"/>
  <c r="S555" i="1"/>
  <c r="Q555" i="1"/>
  <c r="O555" i="1"/>
  <c r="M555" i="1"/>
  <c r="K555" i="1"/>
  <c r="I555" i="1"/>
  <c r="W37" i="1" l="1"/>
  <c r="U37" i="1"/>
  <c r="S37" i="1"/>
  <c r="Q37" i="1"/>
  <c r="O37" i="1"/>
  <c r="G60" i="1"/>
  <c r="U13" i="1"/>
  <c r="G437" i="1" l="1"/>
  <c r="G284" i="1"/>
  <c r="G278" i="1" l="1"/>
  <c r="G534" i="1" l="1"/>
  <c r="G533" i="1" l="1"/>
  <c r="G200" i="1"/>
  <c r="G199" i="1"/>
  <c r="G196" i="1"/>
  <c r="W191" i="1"/>
  <c r="U191" i="1"/>
  <c r="S191" i="1"/>
  <c r="Q191" i="1"/>
  <c r="O191" i="1"/>
  <c r="G198" i="1" l="1"/>
  <c r="G197" i="1"/>
  <c r="W196" i="1"/>
  <c r="G201" i="1"/>
  <c r="G595" i="1"/>
  <c r="I714" i="1" l="1"/>
  <c r="I713" i="1"/>
  <c r="I711" i="1"/>
  <c r="I712" i="1"/>
  <c r="W711" i="1"/>
  <c r="U711" i="1"/>
  <c r="S711" i="1"/>
  <c r="Q711" i="1"/>
  <c r="M711" i="1"/>
  <c r="K711" i="1"/>
  <c r="W554" i="1" l="1"/>
  <c r="U554" i="1" l="1"/>
  <c r="I554" i="1"/>
  <c r="M554" i="1"/>
  <c r="Q554" i="1"/>
  <c r="K554" i="1"/>
  <c r="O554" i="1"/>
  <c r="S554" i="1"/>
  <c r="G532" i="1" l="1"/>
  <c r="G531" i="1"/>
  <c r="K331" i="1" l="1"/>
  <c r="I515" i="1" l="1"/>
  <c r="G258" i="1" l="1"/>
  <c r="G606" i="1" l="1"/>
  <c r="G599" i="1"/>
  <c r="G605" i="1"/>
  <c r="G579" i="1" l="1"/>
  <c r="G571" i="1" l="1"/>
  <c r="G584" i="1"/>
  <c r="G572" i="1" l="1"/>
  <c r="G583" i="1"/>
  <c r="G575" i="1"/>
  <c r="I567" i="1"/>
  <c r="G604" i="1"/>
  <c r="G597" i="1"/>
  <c r="G596" i="1"/>
  <c r="G590" i="1"/>
  <c r="G589" i="1"/>
  <c r="G588" i="1"/>
  <c r="G587" i="1"/>
  <c r="G574" i="1"/>
  <c r="G567" i="1"/>
  <c r="G295" i="1" l="1"/>
  <c r="G414" i="1" l="1"/>
  <c r="G294" i="1" l="1"/>
  <c r="G326" i="1"/>
  <c r="G306" i="1"/>
  <c r="G304" i="1"/>
  <c r="G305" i="1"/>
  <c r="I17" i="1"/>
  <c r="I18" i="1"/>
  <c r="G18" i="1"/>
  <c r="G17" i="1"/>
  <c r="N18" i="1"/>
  <c r="G47" i="1"/>
  <c r="G46" i="1"/>
  <c r="W45" i="1"/>
  <c r="U45" i="1"/>
  <c r="S45" i="1"/>
  <c r="Q45" i="1"/>
  <c r="O45" i="1"/>
  <c r="G45" i="1"/>
  <c r="G137" i="1"/>
  <c r="G233" i="1" l="1"/>
  <c r="G417" i="1" l="1"/>
  <c r="G697" i="1" l="1"/>
  <c r="G692" i="1" l="1"/>
  <c r="K694" i="1"/>
  <c r="G694" i="1"/>
  <c r="G452" i="1" l="1"/>
  <c r="G451" i="1"/>
  <c r="Q57" i="1" l="1"/>
  <c r="M57" i="1"/>
  <c r="K57" i="1"/>
  <c r="W57" i="1"/>
  <c r="U57" i="1"/>
  <c r="S57" i="1"/>
  <c r="O57" i="1"/>
  <c r="G57" i="1"/>
  <c r="G354" i="1" l="1"/>
  <c r="G377" i="1" l="1"/>
  <c r="G302" i="1"/>
  <c r="G242" i="1" l="1"/>
  <c r="G246" i="1"/>
  <c r="G249" i="1" l="1"/>
  <c r="I707" i="1" l="1"/>
  <c r="K707" i="1"/>
  <c r="W707" i="1"/>
  <c r="U707" i="1"/>
  <c r="S707" i="1"/>
  <c r="Q707" i="1"/>
  <c r="O707" i="1"/>
  <c r="M707" i="1"/>
  <c r="W706" i="1"/>
  <c r="U706" i="1"/>
  <c r="S706" i="1"/>
  <c r="Q706" i="1"/>
  <c r="O706" i="1"/>
  <c r="M706" i="1"/>
  <c r="S712" i="1"/>
  <c r="U712" i="1"/>
  <c r="W712" i="1"/>
  <c r="S713" i="1"/>
  <c r="U713" i="1"/>
  <c r="W713" i="1"/>
  <c r="S714" i="1"/>
  <c r="U714" i="1"/>
  <c r="W714" i="1"/>
  <c r="Q714" i="1"/>
  <c r="O714" i="1"/>
  <c r="M714" i="1"/>
  <c r="K714" i="1"/>
  <c r="M133" i="1" l="1"/>
  <c r="M129" i="1"/>
  <c r="M128" i="1"/>
  <c r="M124" i="1"/>
  <c r="M123" i="1"/>
  <c r="O109" i="1"/>
  <c r="O108" i="1"/>
  <c r="Q75" i="1" l="1"/>
  <c r="Q74" i="1"/>
  <c r="Q72" i="1"/>
  <c r="Q70" i="1"/>
  <c r="Q71" i="1"/>
  <c r="W685" i="1" l="1"/>
  <c r="U685" i="1"/>
  <c r="S685" i="1"/>
  <c r="Q685" i="1"/>
  <c r="O685" i="1"/>
  <c r="M685" i="1"/>
  <c r="W515" i="1"/>
  <c r="U515" i="1"/>
  <c r="S515" i="1"/>
  <c r="Q515" i="1"/>
  <c r="O515" i="1"/>
  <c r="M515" i="1"/>
  <c r="K515" i="1"/>
  <c r="Q471" i="1"/>
  <c r="Q449" i="1"/>
  <c r="Q447" i="1"/>
  <c r="G681" i="1" l="1"/>
  <c r="G680" i="1"/>
  <c r="Q133" i="1" l="1"/>
  <c r="Q129" i="1"/>
  <c r="Q128" i="1"/>
  <c r="Q124" i="1"/>
  <c r="Q123" i="1"/>
  <c r="Q109" i="1"/>
  <c r="Q108" i="1"/>
  <c r="Q107" i="1"/>
  <c r="Q106" i="1"/>
  <c r="K53" i="1"/>
  <c r="Q53" i="1"/>
  <c r="Q136" i="1" l="1"/>
  <c r="Q48" i="1" l="1"/>
  <c r="Q42" i="1"/>
  <c r="Q40" i="1"/>
  <c r="Q39" i="1"/>
  <c r="Q36" i="1"/>
  <c r="Q31" i="1"/>
  <c r="G551" i="1" l="1"/>
  <c r="G235" i="1"/>
  <c r="G265" i="1" l="1"/>
  <c r="G221" i="1"/>
  <c r="G458" i="1" l="1"/>
  <c r="G412" i="1" l="1"/>
  <c r="G446" i="1"/>
  <c r="G299" i="1"/>
  <c r="G382" i="1"/>
  <c r="Q153" i="1"/>
  <c r="Q152" i="1"/>
  <c r="W40" i="1"/>
  <c r="G140" i="1" l="1"/>
  <c r="G282" i="1" l="1"/>
  <c r="G205" i="1"/>
  <c r="G411" i="1" l="1"/>
  <c r="O72" i="1" l="1"/>
  <c r="G216" i="1"/>
  <c r="G300" i="1" l="1"/>
  <c r="W70" i="1" l="1"/>
  <c r="U70" i="1"/>
  <c r="S70" i="1"/>
  <c r="O70" i="1"/>
  <c r="G297" i="1"/>
  <c r="G395" i="1" l="1"/>
  <c r="G172" i="1" l="1"/>
  <c r="G358" i="1" l="1"/>
  <c r="G698" i="1"/>
  <c r="G700" i="1"/>
  <c r="G456" i="1" l="1"/>
  <c r="G536" i="1" l="1"/>
  <c r="G41" i="1" l="1"/>
  <c r="U40" i="1"/>
  <c r="S40" i="1"/>
  <c r="O40" i="1"/>
  <c r="G40" i="1"/>
  <c r="I629" i="1" l="1"/>
  <c r="G268" i="1" l="1"/>
  <c r="G275" i="1" l="1"/>
  <c r="G269" i="1"/>
  <c r="G174" i="1" l="1"/>
  <c r="V98" i="1" l="1"/>
  <c r="T98" i="1"/>
  <c r="R98" i="1"/>
  <c r="N98" i="1"/>
  <c r="K98" i="1"/>
  <c r="G425" i="1" l="1"/>
  <c r="G544" i="1" l="1"/>
  <c r="G217" i="1" l="1"/>
  <c r="G501" i="1" l="1"/>
  <c r="G428" i="1"/>
  <c r="I741" i="1" l="1"/>
  <c r="M136" i="1"/>
  <c r="W133" i="1"/>
  <c r="W129" i="1"/>
  <c r="W128" i="1"/>
  <c r="W124" i="1"/>
  <c r="W123" i="1"/>
  <c r="U129" i="1"/>
  <c r="U128" i="1"/>
  <c r="U124" i="1"/>
  <c r="U123" i="1"/>
  <c r="S133" i="1"/>
  <c r="S129" i="1"/>
  <c r="S124" i="1"/>
  <c r="S123" i="1"/>
  <c r="O124" i="1"/>
  <c r="O128" i="1"/>
  <c r="O129" i="1"/>
  <c r="O133" i="1"/>
  <c r="O123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36" i="1" l="1"/>
  <c r="G553" i="1" l="1"/>
  <c r="G552" i="1"/>
  <c r="G540" i="1"/>
  <c r="G542" i="1"/>
  <c r="G549" i="1"/>
  <c r="G493" i="1" l="1"/>
  <c r="G298" i="1" l="1"/>
  <c r="G324" i="1"/>
  <c r="G301" i="1"/>
  <c r="G323" i="1" l="1"/>
  <c r="G232" i="1" l="1"/>
  <c r="G10" i="1"/>
  <c r="G223" i="1" l="1"/>
  <c r="G685" i="1" l="1"/>
  <c r="G224" i="1" l="1"/>
  <c r="O36" i="1"/>
  <c r="G204" i="1" l="1"/>
  <c r="G674" i="1" l="1"/>
  <c r="G676" i="1"/>
  <c r="G675" i="1"/>
  <c r="G415" i="1" l="1"/>
  <c r="G416" i="1"/>
  <c r="S42" i="1" l="1"/>
  <c r="G491" i="1" l="1"/>
  <c r="G696" i="1" l="1"/>
  <c r="G693" i="1"/>
  <c r="G287" i="1"/>
  <c r="G225" i="1"/>
  <c r="G222" i="1"/>
  <c r="G220" i="1"/>
  <c r="G214" i="1"/>
  <c r="G215" i="1"/>
  <c r="G213" i="1"/>
  <c r="G105" i="1"/>
  <c r="G65" i="1"/>
  <c r="G24" i="1"/>
  <c r="G22" i="1"/>
  <c r="G23" i="1"/>
  <c r="G408" i="1" l="1"/>
  <c r="U447" i="1" l="1"/>
  <c r="S447" i="1"/>
  <c r="M447" i="1"/>
  <c r="O447" i="1"/>
  <c r="G447" i="1"/>
  <c r="J499" i="1" l="1"/>
  <c r="J496" i="1"/>
  <c r="J495" i="1"/>
  <c r="J494" i="1"/>
  <c r="J498" i="1"/>
  <c r="J493" i="1"/>
  <c r="G21" i="1" l="1"/>
  <c r="G449" i="1"/>
  <c r="M449" i="1"/>
  <c r="O449" i="1"/>
  <c r="S449" i="1"/>
  <c r="U449" i="1"/>
  <c r="G168" i="1"/>
  <c r="G26" i="1" l="1"/>
  <c r="G543" i="1" l="1"/>
  <c r="G54" i="1" l="1"/>
  <c r="G56" i="1"/>
  <c r="O31" i="1"/>
  <c r="G58" i="1"/>
  <c r="U31" i="1" l="1"/>
  <c r="G209" i="1"/>
  <c r="G29" i="1" l="1"/>
  <c r="G328" i="1"/>
  <c r="O136" i="1"/>
  <c r="S136" i="1"/>
  <c r="U136" i="1"/>
  <c r="G321" i="1" l="1"/>
  <c r="G13" i="1" l="1"/>
  <c r="G517" i="1" l="1"/>
  <c r="G161" i="1" l="1"/>
  <c r="G12" i="1"/>
  <c r="G20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6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4" i="1"/>
  <c r="G136" i="1"/>
  <c r="G148" i="1"/>
  <c r="Q148" i="1"/>
  <c r="G149" i="1"/>
  <c r="Q149" i="1"/>
  <c r="G152" i="1"/>
  <c r="G153" i="1"/>
  <c r="G170" i="1"/>
  <c r="G171" i="1"/>
  <c r="G195" i="1"/>
  <c r="G202" i="1"/>
  <c r="G208" i="1"/>
  <c r="G219" i="1"/>
  <c r="G227" i="1"/>
  <c r="G228" i="1"/>
  <c r="M228" i="1"/>
  <c r="P228" i="1"/>
  <c r="G229" i="1"/>
  <c r="G230" i="1"/>
  <c r="G231" i="1"/>
  <c r="G241" i="1"/>
  <c r="G267" i="1"/>
  <c r="G281" i="1"/>
  <c r="G283" i="1"/>
  <c r="G677" i="1"/>
  <c r="G678" i="1"/>
  <c r="G329" i="1"/>
  <c r="G331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5" i="1"/>
  <c r="G356" i="1"/>
  <c r="G357" i="1"/>
  <c r="G359" i="1"/>
  <c r="G360" i="1"/>
  <c r="G364" i="1"/>
  <c r="G365" i="1"/>
  <c r="G368" i="1"/>
  <c r="G369" i="1"/>
  <c r="G379" i="1"/>
  <c r="G380" i="1"/>
  <c r="G381" i="1"/>
  <c r="G383" i="1"/>
  <c r="G389" i="1"/>
  <c r="G391" i="1"/>
  <c r="G394" i="1"/>
  <c r="G402" i="1"/>
  <c r="G403" i="1"/>
  <c r="G406" i="1"/>
  <c r="G407" i="1"/>
  <c r="G422" i="1"/>
  <c r="G427" i="1"/>
  <c r="G429" i="1"/>
  <c r="G450" i="1"/>
  <c r="G457" i="1"/>
  <c r="G471" i="1"/>
  <c r="O471" i="1"/>
  <c r="S471" i="1"/>
  <c r="U471" i="1"/>
  <c r="W471" i="1"/>
  <c r="G472" i="1"/>
  <c r="G473" i="1"/>
  <c r="G474" i="1"/>
  <c r="G475" i="1"/>
  <c r="G488" i="1"/>
  <c r="G489" i="1"/>
  <c r="G494" i="1"/>
  <c r="G495" i="1"/>
  <c r="G496" i="1"/>
  <c r="G498" i="1"/>
  <c r="G499" i="1"/>
  <c r="G502" i="1"/>
  <c r="G503" i="1"/>
  <c r="G504" i="1"/>
  <c r="G506" i="1"/>
  <c r="G507" i="1"/>
  <c r="G510" i="1"/>
  <c r="G511" i="1"/>
  <c r="G515" i="1"/>
  <c r="G548" i="1"/>
  <c r="G688" i="1"/>
  <c r="M688" i="1"/>
  <c r="O688" i="1"/>
  <c r="Q688" i="1"/>
  <c r="S688" i="1"/>
  <c r="U688" i="1"/>
  <c r="M704" i="1"/>
  <c r="O704" i="1"/>
  <c r="S704" i="1"/>
  <c r="U704" i="1"/>
  <c r="W704" i="1"/>
  <c r="K705" i="1"/>
  <c r="M705" i="1"/>
  <c r="O705" i="1"/>
  <c r="Q705" i="1"/>
  <c r="S705" i="1"/>
  <c r="U705" i="1"/>
  <c r="W705" i="1"/>
  <c r="K712" i="1"/>
  <c r="M712" i="1"/>
  <c r="O712" i="1"/>
  <c r="Q712" i="1"/>
  <c r="K713" i="1"/>
  <c r="M713" i="1"/>
  <c r="O713" i="1"/>
  <c r="Q713" i="1"/>
  <c r="M716" i="1"/>
  <c r="Q716" i="1"/>
  <c r="I740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7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<sst xmlns="http://schemas.openxmlformats.org/spreadsheetml/2006/main" count="1217" uniqueCount="999">
  <si>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</si>
  <si>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</si>
  <si>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</si>
  <si>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</si>
  <si>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</si>
  <si>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</si>
  <si>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</si>
  <si>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</si>
  <si>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</si>
  <si>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</si>
  <si>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</si>
  <si>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</si>
  <si>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</si>
  <si>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</si>
  <si>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</si>
  <si>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</si>
  <si>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</si>
  <si>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</si>
  <si>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</si>
  <si>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</si>
  <si>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</si>
  <si>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</si>
  <si>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</si>
  <si>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</si>
  <si>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</si>
  <si>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</si>
  <si>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</si>
  <si>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</si>
  <si>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</si>
  <si>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</si>
  <si>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</si>
  <si>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</si>
  <si>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</si>
  <si>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</si>
  <si>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</si>
  <si>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</si>
  <si>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</si>
  <si>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</si>
  <si>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</si>
  <si>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</si>
  <si>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</si>
  <si>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</si>
  <si>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</si>
  <si>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</si>
  <si>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</si>
  <si>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</si>
  <si>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</si>
  <si>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</si>
  <si>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</si>
  <si>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</si>
  <si>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</si>
  <si>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</si>
  <si>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</si>
  <si>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</si>
  <si>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</si>
  <si>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</si>
  <si>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</si>
  <si>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</si>
  <si>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</si>
  <si>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</si>
  <si>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</si>
  <si>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</si>
  <si>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</si>
  <si>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</si>
  <si>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</si>
  <si>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</si>
  <si>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</si>
  <si>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</si>
  <si>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</si>
  <si>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</si>
  <si>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</si>
  <si>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</si>
  <si>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</si>
  <si>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</si>
  <si>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</si>
  <si>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</si>
  <si>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</si>
  <si>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</si>
  <si>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</si>
  <si>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</si>
  <si>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</si>
  <si>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</si>
  <si>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</si>
  <si>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</si>
  <si>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</si>
  <si>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</si>
  <si>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</si>
  <si>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</si>
  <si>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</si>
  <si>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</si>
  <si>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</si>
  <si>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</si>
  <si>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</si>
  <si>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</si>
  <si>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</si>
  <si>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</si>
  <si>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</si>
  <si>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</si>
  <si>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</si>
  <si>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</si>
  <si>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</si>
  <si>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</si>
  <si>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</si>
  <si>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</si>
  <si>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</si>
  <si>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</si>
  <si>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</si>
  <si>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</si>
  <si>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</si>
  <si>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</si>
  <si>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</si>
  <si>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</si>
  <si>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</si>
  <si>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</si>
  <si>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</si>
  <si>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</si>
  <si>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</si>
  <si>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</si>
  <si>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</si>
  <si>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</si>
  <si>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</si>
  <si>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</si>
  <si>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</si>
  <si>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</si>
  <si>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</si>
  <si>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</si>
  <si>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</si>
  <si>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</si>
  <si>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</si>
  <si>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</si>
  <si>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</si>
  <si>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</si>
  <si>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</si>
  <si>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</si>
  <si>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</si>
  <si>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</si>
  <si>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</si>
  <si>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</si>
  <si>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</si>
  <si>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</si>
  <si>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</si>
  <si>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</si>
  <si>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</si>
  <si>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</si>
  <si>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</si>
  <si>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</si>
  <si>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</si>
  <si>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</si>
  <si>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</si>
  <si>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</si>
  <si>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</si>
  <si>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</si>
  <si>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</si>
  <si>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</si>
  <si>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</si>
  <si>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</si>
  <si>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</si>
  <si>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</si>
  <si>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</si>
  <si>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</si>
  <si>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</si>
  <si>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</si>
  <si>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</si>
  <si>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</si>
  <si>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</si>
  <si>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</si>
  <si>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</si>
  <si>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</si>
  <si>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</si>
  <si>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</si>
  <si>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</si>
  <si>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</si>
  <si>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</si>
  <si>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</si>
  <si>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</si>
  <si>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</si>
  <si>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</si>
  <si>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</si>
  <si>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</si>
  <si>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</si>
  <si>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</si>
  <si>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</si>
  <si>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</si>
  <si>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</si>
  <si>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</si>
  <si>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</si>
  <si>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</si>
  <si>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</si>
  <si>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</si>
  <si>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</si>
  <si>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</si>
  <si>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</si>
  <si>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</si>
  <si>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</si>
  <si>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</si>
  <si>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</si>
  <si>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</si>
  <si>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</si>
  <si>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</si>
  <si>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</si>
  <si>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</si>
  <si>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</si>
  <si>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</si>
  <si>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</si>
  <si>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</si>
  <si>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</si>
  <si>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</si>
  <si>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</si>
  <si>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</si>
  <si>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</si>
  <si>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</si>
  <si>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</si>
  <si>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</si>
  <si>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</si>
  <si>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</si>
  <si>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</si>
  <si>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</si>
  <si>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</si>
  <si>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</si>
  <si>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</si>
  <si>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</si>
  <si>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</si>
  <si>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</si>
  <si>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</si>
  <si>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</si>
  <si>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</si>
  <si>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</si>
  <si>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</si>
  <si>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</si>
  <si>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</si>
  <si>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</si>
  <si>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</si>
  <si>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</si>
  <si>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</si>
  <si>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</si>
  <si>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</si>
  <si>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</si>
  <si>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</si>
  <si>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</si>
  <si>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</si>
  <si>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</si>
  <si>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</si>
  <si>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</si>
  <si>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</si>
  <si>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</si>
  <si>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</si>
  <si>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</si>
  <si>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</si>
  <si>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</si>
  <si>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</si>
  <si>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</si>
  <si>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</si>
  <si>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</si>
  <si>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</si>
  <si>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</si>
  <si>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</si>
  <si>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</si>
  <si>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</si>
  <si>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</si>
  <si>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</si>
  <si>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</si>
  <si>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</si>
  <si>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</si>
  <si>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</si>
  <si>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</si>
  <si>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</si>
  <si>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</si>
  <si>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</si>
  <si>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</si>
  <si>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</si>
  <si>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</si>
  <si>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</si>
  <si>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</si>
  <si>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</si>
  <si>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</si>
  <si>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</si>
  <si>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</si>
  <si>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</si>
  <si>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</si>
  <si>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</si>
  <si>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</si>
  <si>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</si>
  <si>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</si>
  <si>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</si>
  <si>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</si>
  <si>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</si>
  <si>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</si>
  <si>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</si>
  <si>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</si>
  <si>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</si>
  <si>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</si>
  <si>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</si>
  <si>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</si>
  <si>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</si>
  <si>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</si>
  <si>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</si>
  <si>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</si>
  <si>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</si>
  <si>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</si>
  <si>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</si>
  <si>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</si>
  <si>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</si>
  <si>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</si>
  <si>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</si>
  <si>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</si>
  <si>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</si>
  <si>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</si>
  <si>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</si>
  <si>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</si>
  <si>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</si>
  <si>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</si>
  <si>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</si>
  <si>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</si>
  <si>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</si>
  <si>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</si>
  <si>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</si>
  <si>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</si>
  <si>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</si>
  <si>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</si>
  <si>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</si>
  <si>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</si>
  <si>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</si>
  <si>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</si>
  <si>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</si>
  <si>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</si>
  <si>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</si>
  <si>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</si>
  <si>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</si>
  <si>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</si>
  <si>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</si>
  <si>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</si>
  <si>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</si>
  <si>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</si>
  <si>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</si>
  <si>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</si>
  <si>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</si>
  <si>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</si>
  <si>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</si>
  <si>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</si>
  <si>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</si>
  <si>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</si>
  <si>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</si>
  <si>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</si>
  <si>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</si>
  <si>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</si>
  <si>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</si>
  <si>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</si>
  <si>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</si>
  <si>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</si>
  <si>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</si>
  <si>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</si>
  <si>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</si>
  <si>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</si>
  <si>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</si>
  <si>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</si>
  <si>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</si>
  <si>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</si>
  <si>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</si>
  <si>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</si>
  <si>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</si>
  <si>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</si>
  <si>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</si>
  <si>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</si>
  <si>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</si>
  <si>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</si>
  <si>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</si>
  <si>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</si>
  <si>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</si>
  <si>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</si>
  <si>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</si>
  <si>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</si>
  <si>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</si>
  <si>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</si>
  <si>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</si>
  <si>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</si>
  <si>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</si>
  <si>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</si>
  <si>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</si>
  <si>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</si>
  <si>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</si>
  <si>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</si>
  <si>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</si>
  <si>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</si>
  <si>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</si>
  <si>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</si>
  <si>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</si>
  <si>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</si>
  <si>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</si>
  <si>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</si>
  <si>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</si>
  <si>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</si>
  <si>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</si>
  <si>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</si>
  <si>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</si>
  <si>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</si>
  <si>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</si>
  <si>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</si>
  <si>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</si>
  <si>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</si>
  <si>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</si>
  <si>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</si>
  <si>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</si>
  <si>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</si>
  <si>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</si>
  <si>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</si>
  <si>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</si>
  <si>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</si>
  <si>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</si>
  <si>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</si>
  <si>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</si>
  <si>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</si>
  <si>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</si>
  <si>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</si>
  <si>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</si>
  <si>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</si>
  <si>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</si>
  <si>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</si>
  <si>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</si>
  <si>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</si>
  <si>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</si>
  <si>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</si>
  <si>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</si>
  <si>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</si>
  <si>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</si>
  <si>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</si>
  <si>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</si>
  <si>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</si>
  <si>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</si>
  <si>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</si>
  <si>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</si>
  <si>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</si>
  <si>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</si>
  <si>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</si>
  <si>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</si>
  <si>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</si>
  <si>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</si>
  <si>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</si>
  <si>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</si>
  <si>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</si>
  <si>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</si>
  <si>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</si>
  <si>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</si>
  <si>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</si>
  <si>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</si>
  <si>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</si>
  <si>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</si>
  <si>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</si>
  <si>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</si>
  <si>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</si>
  <si>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</si>
  <si>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</si>
  <si>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</si>
  <si>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</si>
  <si>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</si>
  <si>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</si>
  <si>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</si>
  <si>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</si>
  <si>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</si>
  <si>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</si>
  <si>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</si>
  <si>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</si>
  <si>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</si>
  <si>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</si>
  <si>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</si>
  <si>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</si>
  <si>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</si>
  <si>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</si>
  <si>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</si>
  <si>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</si>
  <si>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</si>
  <si>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</si>
  <si>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</si>
  <si>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</si>
  <si>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</si>
  <si>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</si>
  <si>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</si>
  <si>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</si>
  <si>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</si>
  <si>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</si>
  <si>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</si>
  <si>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</si>
  <si>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</si>
  <si>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</si>
  <si>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</si>
  <si>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</si>
  <si>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</si>
  <si>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</si>
  <si>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</si>
  <si>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</si>
  <si>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</si>
  <si>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</si>
  <si>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</si>
  <si>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</si>
  <si>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</si>
  <si>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</si>
  <si>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</si>
  <si>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</si>
  <si>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</si>
  <si>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</si>
  <si>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</si>
  <si>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</si>
  <si>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</si>
  <si>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</si>
  <si>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</si>
  <si>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</si>
  <si>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</si>
  <si>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</si>
  <si>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</si>
  <si>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</si>
  <si>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</si>
  <si>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</si>
  <si>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</si>
  <si>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</si>
  <si>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</si>
  <si>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</si>
  <si>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</si>
  <si>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</si>
  <si>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</si>
  <si>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</si>
  <si>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</si>
  <si>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</si>
  <si>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</si>
  <si>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</si>
  <si>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</si>
  <si>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</si>
  <si>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</si>
  <si>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</si>
  <si>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</si>
  <si>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</si>
  <si>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</si>
  <si>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</si>
  <si>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</si>
  <si>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</si>
  <si>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</si>
  <si>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</si>
  <si>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</si>
  <si>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</si>
  <si>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</si>
  <si>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</si>
  <si>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</si>
  <si>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</si>
  <si>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</si>
  <si>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</si>
  <si>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</si>
  <si>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</si>
  <si>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</si>
  <si>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</si>
  <si>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</si>
  <si>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</si>
  <si>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</si>
  <si>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</si>
  <si>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</si>
  <si>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</si>
  <si>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</si>
  <si>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</si>
  <si>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</si>
  <si>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</si>
  <si>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</si>
  <si>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</si>
  <si>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</si>
  <si>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</si>
  <si>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</si>
  <si>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</si>
  <si>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</si>
  <si>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</si>
  <si>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</si>
  <si>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</si>
  <si>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</si>
  <si>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</si>
  <si>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</si>
  <si>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</si>
  <si>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</si>
  <si>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</si>
  <si>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</si>
  <si>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</si>
  <si>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</si>
  <si>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</si>
  <si>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</si>
  <si>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</si>
  <si>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</si>
  <si>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</si>
  <si>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</si>
  <si>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</si>
  <si>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</si>
  <si>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</si>
  <si>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</si>
  <si>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</si>
  <si>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</si>
  <si>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</si>
  <si>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</si>
  <si>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</si>
  <si>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</si>
  <si>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</si>
  <si>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</si>
  <si>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</si>
  <si>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</si>
  <si>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</si>
  <si>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</si>
  <si>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</si>
  <si>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</si>
  <si>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</si>
  <si>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</si>
  <si>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</si>
  <si>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</si>
  <si>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</si>
  <si>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</si>
  <si>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</si>
  <si>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</si>
  <si>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</si>
  <si>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</si>
  <si>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</si>
  <si>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</si>
  <si>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</si>
  <si>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</si>
  <si>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</si>
  <si>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</si>
  <si>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</si>
  <si>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</si>
  <si>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</si>
  <si>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</si>
  <si>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</si>
  <si>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</si>
  <si>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</si>
  <si>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</si>
  <si>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</si>
  <si>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</si>
  <si>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</si>
  <si>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</si>
  <si>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</si>
  <si>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</si>
  <si>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</si>
  <si>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</si>
  <si>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</si>
  <si>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</si>
  <si>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</si>
  <si>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</si>
  <si>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</si>
  <si>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</si>
  <si>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</si>
  <si>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</si>
  <si>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</si>
  <si>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</si>
  <si>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</si>
  <si>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</si>
  <si>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</si>
  <si>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</si>
  <si>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</si>
  <si>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</si>
  <si>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</si>
  <si>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</si>
  <si>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</si>
  <si>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</si>
  <si>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</si>
  <si>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</si>
  <si>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</si>
  <si>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</si>
  <si>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</si>
  <si>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</si>
  <si>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</si>
  <si>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</si>
  <si>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</si>
  <si>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</si>
  <si>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</si>
  <si>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</si>
  <si>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</si>
  <si>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</si>
  <si>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</si>
  <si>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</si>
  <si>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</si>
  <si>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</si>
  <si>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</si>
  <si>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</si>
  <si>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</si>
  <si>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</si>
  <si>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</si>
  <si>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</si>
  <si>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</si>
  <si>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</si>
  <si>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</si>
  <si>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</si>
  <si>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</si>
  <si>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</si>
  <si>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</si>
  <si>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</si>
  <si>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</si>
  <si>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</si>
  <si>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</si>
  <si>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</si>
  <si>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</si>
  <si>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</si>
  <si>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</si>
  <si>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</si>
  <si>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</si>
  <si>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</si>
  <si>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</si>
  <si>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</si>
  <si>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</si>
  <si>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</si>
  <si>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</si>
  <si>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</si>
  <si>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</si>
  <si>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</si>
  <si>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</si>
  <si>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</si>
  <si>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</si>
  <si>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</si>
  <si>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</si>
  <si>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</si>
  <si>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</si>
  <si>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</si>
  <si>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</si>
  <si>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</si>
  <si>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</si>
  <si>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</si>
  <si>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</si>
  <si>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</si>
  <si>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</si>
  <si>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</si>
  <si>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</si>
  <si>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</si>
  <si>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</si>
  <si>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</si>
  <si>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</si>
  <si>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</si>
  <si>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</si>
  <si>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</si>
  <si>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</si>
  <si>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</si>
  <si>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</si>
  <si>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</si>
  <si>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</si>
  <si>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</si>
  <si>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</si>
  <si>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</si>
  <si>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</si>
  <si>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</si>
  <si>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</si>
  <si>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</si>
  <si>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</si>
  <si>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</si>
  <si>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</si>
  <si>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</si>
  <si>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</si>
  <si>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</si>
  <si>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</si>
  <si>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</si>
  <si>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</si>
  <si>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</si>
  <si>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</si>
  <si>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</si>
  <si>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</si>
  <si>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</si>
  <si>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</si>
  <si>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</si>
  <si>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</si>
  <si>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</si>
  <si>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</si>
  <si>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</si>
  <si>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</si>
  <si>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</si>
  <si>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</si>
  <si>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</si>
  <si>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</si>
  <si>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</si>
  <si>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</si>
  <si>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</si>
  <si>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</si>
  <si>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</si>
  <si>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</si>
  <si>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</si>
  <si>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</si>
  <si>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</si>
  <si>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</si>
  <si>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</si>
  <si>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</si>
  <si>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</si>
  <si>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</si>
  <si>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</si>
  <si>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</si>
  <si>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</si>
  <si>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</si>
  <si>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</si>
  <si>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</si>
  <si>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</si>
  <si>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</si>
  <si>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</si>
  <si>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</si>
  <si>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</si>
  <si>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</si>
  <si>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</si>
  <si>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</si>
  <si>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</si>
  <si>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</si>
  <si>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</si>
  <si>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</si>
  <si>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</si>
  <si>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</si>
  <si>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</si>
  <si>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</si>
  <si>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</si>
  <si>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</si>
  <si>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</si>
  <si>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</si>
  <si>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</si>
  <si>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</si>
  <si>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</si>
  <si>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</si>
  <si>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</si>
  <si>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</si>
  <si>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</si>
  <si>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</si>
  <si>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</si>
  <si>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</si>
  <si>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</si>
  <si>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</si>
  <si>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</si>
  <si>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</si>
  <si>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</si>
  <si>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</si>
  <si>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</si>
  <si>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</si>
  <si>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</si>
  <si>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</si>
  <si>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</si>
  <si>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</si>
  <si>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</si>
  <si>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</si>
  <si>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</si>
  <si>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</si>
  <si>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</si>
  <si>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</si>
  <si>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</si>
  <si>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</si>
  <si>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</si>
  <si>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</si>
  <si>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</si>
  <si>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</si>
  <si>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</si>
  <si>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</si>
  <si>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</si>
  <si>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</si>
  <si>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</si>
  <si>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</si>
  <si>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</si>
  <si>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</si>
  <si>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</si>
  <si>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</si>
  <si>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</si>
  <si>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</si>
  <si>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</si>
  <si>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</si>
  <si>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</si>
  <si>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</si>
  <si>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</si>
  <si>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</si>
  <si>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</si>
  <si>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</si>
  <si>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</si>
  <si>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</si>
  <si>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</si>
  <si>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</si>
  <si>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</si>
  <si>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</si>
  <si>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</si>
  <si>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</si>
  <si>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</si>
  <si>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</si>
  <si>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</si>
  <si>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</si>
  <si>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</si>
  <si>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</si>
  <si>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</si>
  <si>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</si>
  <si>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</si>
  <si>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</si>
  <si>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</si>
  <si>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</si>
  <si>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</si>
  <si>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</si>
  <si>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</si>
  <si>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</si>
  <si>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</si>
  <si>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</si>
  <si>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</si>
  <si>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</si>
  <si>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</si>
  <si>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</si>
  <si>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</si>
  <si>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</si>
  <si>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</si>
  <si>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</si>
  <si>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</si>
  <si>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</si>
  <si>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</si>
  <si>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</si>
  <si>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</si>
  <si>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</si>
  <si>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</si>
  <si>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</si>
  <si>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</si>
  <si>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</si>
  <si>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</si>
  <si>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</si>
  <si>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</si>
  <si>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</si>
  <si>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</si>
  <si>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</si>
  <si>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</si>
  <si>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</si>
  <si>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</si>
  <si>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</si>
  <si>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</si>
  <si>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</si>
  <si>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</si>
  <si>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</si>
  <si>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</si>
  <si>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</si>
  <si>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</si>
  <si>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</si>
  <si>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</si>
  <si>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</si>
  <si>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</si>
  <si>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</si>
  <si>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</si>
  <si>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</si>
  <si>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</si>
  <si>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</si>
  <si>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</si>
  <si>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</si>
  <si>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</si>
  <si>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</si>
  <si>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</si>
  <si>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</si>
  <si>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</si>
  <si>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</si>
  <si>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</si>
  <si>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</si>
  <si>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</si>
  <si>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</si>
  <si>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</si>
  <si>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</si>
  <si>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</si>
  <si>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</si>
  <si>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</si>
  <si>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00019 - Mate de acero inoxidable sin bombilla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</si>
  <si>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</si>
  <si>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</si>
  <si>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</si>
  <si>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</si>
  <si>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</si>
  <si>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</si>
  <si>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</si>
  <si>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</si>
  <si>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</si>
  <si>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</si>
  <si>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</si>
  <si>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</si>
  <si>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01022 - Botella vidrio borosilicato con funda de neopreno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</si>
  <si>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</si>
  <si>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</si>
  <si>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</si>
  <si>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</si>
  <si>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</si>
  <si>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</si>
  <si>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</si>
  <si>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</si>
  <si>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</si>
  <si>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</si>
  <si>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</si>
  <si>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</si>
  <si>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</si>
  <si>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00089 - Billetera Gastronómica (logo de un lado)</t>
  </si>
  <si>
    <t>LISTA DE PRECIOS Nº 5 / 2025 (En Pesos) - NO INCLUYE I.V.A. - MAYO - 2025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</si>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</sst>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95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2" fontId="67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59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59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59" fillId="7" borderId="10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59" fillId="7" borderId="33" xfId="0" applyNumberFormat="1" applyFont="1" applyFill="1" applyBorder="1" applyAlignment="1">
      <alignment horizontal="center" vertical="center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2" fontId="40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6" xfId="0" applyNumberFormat="1" applyFont="1" applyFill="1" applyBorder="1" applyAlignment="1">
      <alignment horizontal="center" vertical="center"/>
    </xf>
    <xf numFmtId="168" fontId="59" fillId="4" borderId="38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5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5" fillId="4" borderId="11" xfId="0" applyFont="1" applyFill="1" applyBorder="1"/>
    <xf numFmtId="2" fontId="59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59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0" borderId="3" xfId="0" applyFont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12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6" xfId="0" applyNumberFormat="1" applyFont="1" applyFill="1" applyBorder="1" applyAlignment="1">
      <alignment horizontal="center" vertical="center"/>
    </xf>
    <xf numFmtId="1" fontId="59" fillId="7" borderId="21" xfId="0" applyNumberFormat="1" applyFont="1" applyFill="1" applyBorder="1" applyAlignment="1">
      <alignment horizontal="center" vertical="center"/>
    </xf>
    <xf numFmtId="2" fontId="59" fillId="7" borderId="2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1" fontId="59" fillId="7" borderId="34" xfId="0" applyNumberFormat="1" applyFont="1" applyFill="1" applyBorder="1" applyAlignment="1">
      <alignment horizontal="center" vertical="center"/>
    </xf>
    <xf numFmtId="1" fontId="59" fillId="4" borderId="34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 wrapText="1"/>
    </xf>
    <xf numFmtId="2" fontId="59" fillId="7" borderId="36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2" fontId="5" fillId="7" borderId="3" xfId="0" applyNumberFormat="1" applyFont="1" applyFill="1" applyBorder="1" applyAlignment="1"/>
    <xf numFmtId="0" fontId="18" fillId="7" borderId="3" xfId="0" applyFont="1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0" fillId="7" borderId="3" xfId="0" applyFill="1" applyBorder="1" applyAlignment="1"/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0" fontId="52" fillId="4" borderId="0" xfId="2" applyFont="1" applyFill="1" applyAlignment="1" applyProtection="1"/>
    <xf numFmtId="0" fontId="2" fillId="0" borderId="3" xfId="0" applyFont="1" applyBorder="1" applyAlignment="1">
      <alignment horizontal="left" vertical="center" wrapText="1"/>
    </xf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5" fillId="6" borderId="3" xfId="0" applyNumberFormat="1" applyFont="1" applyFill="1" applyBorder="1" applyAlignment="1">
      <alignment wrapText="1"/>
    </xf>
    <xf numFmtId="0" fontId="18" fillId="4" borderId="5" xfId="0" applyFont="1" applyFill="1" applyBorder="1" applyAlignment="1"/>
    <xf numFmtId="0" fontId="18" fillId="7" borderId="5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5" fillId="7" borderId="3" xfId="0" applyFont="1" applyFill="1" applyBorder="1" applyAlignment="1"/>
    <xf numFmtId="0" fontId="1" fillId="7" borderId="3" xfId="0" applyFont="1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2" fillId="9" borderId="0" xfId="0" applyFont="1" applyFill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/>
    <xf numFmtId="0" fontId="1" fillId="6" borderId="3" xfId="0" applyFont="1" applyFill="1" applyBorder="1" applyAlignment="1"/>
    <xf numFmtId="2" fontId="5" fillId="21" borderId="5" xfId="0" applyNumberFormat="1" applyFont="1" applyFill="1" applyBorder="1" applyAlignment="1"/>
    <xf numFmtId="0" fontId="0" fillId="21" borderId="5" xfId="0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2" fontId="0" fillId="7" borderId="3" xfId="0" applyNumberFormat="1" applyFill="1" applyBorder="1" applyAlignment="1"/>
    <xf numFmtId="2" fontId="0" fillId="6" borderId="3" xfId="0" applyNumberForma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18" fillId="4" borderId="3" xfId="0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0" fillId="6" borderId="3" xfId="0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1" fillId="21" borderId="5" xfId="0" applyNumberFormat="1" applyFont="1" applyFill="1" applyBorder="1" applyAlignment="1"/>
    <xf numFmtId="0" fontId="5" fillId="4" borderId="3" xfId="0" applyFont="1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66" fillId="9" borderId="0" xfId="0" applyFont="1" applyFill="1" applyAlignment="1">
      <alignment vertical="center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0" fontId="5" fillId="7" borderId="5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36" fillId="9" borderId="0" xfId="0" applyFont="1" applyFill="1" applyBorder="1" applyAlignment="1"/>
    <xf numFmtId="0" fontId="0" fillId="7" borderId="11" xfId="0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4" borderId="11" xfId="0" applyFill="1" applyBorder="1" applyAlignment="1"/>
    <xf numFmtId="0" fontId="1" fillId="4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66" fillId="9" borderId="0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0" fillId="0" borderId="0" xfId="0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52" fillId="0" borderId="0" xfId="2" applyFont="1" applyAlignment="1" applyProtection="1"/>
    <xf numFmtId="0" fontId="5" fillId="7" borderId="11" xfId="0" applyFont="1" applyFill="1" applyBorder="1" applyAlignment="1"/>
    <xf numFmtId="0" fontId="5" fillId="21" borderId="5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0" fontId="52" fillId="2" borderId="0" xfId="2" applyFont="1" applyFill="1" applyAlignment="1" applyProtection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5" fillId="19" borderId="18" xfId="2" applyFont="1" applyFill="1" applyBorder="1" applyAlignment="1" applyProtection="1">
      <alignment horizontal="left" vertical="center"/>
    </xf>
    <xf numFmtId="0" fontId="115" fillId="19" borderId="12" xfId="2" applyFont="1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4" borderId="18" xfId="0" applyNumberFormat="1" applyFont="1" applyFill="1" applyBorder="1" applyAlignment="1"/>
    <xf numFmtId="0" fontId="0" fillId="4" borderId="12" xfId="0" applyNumberFormat="1" applyFill="1" applyBorder="1" applyAlignment="1"/>
    <xf numFmtId="0" fontId="0" fillId="4" borderId="9" xfId="0" applyNumberForma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66" fillId="9" borderId="22" xfId="0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1" fillId="4" borderId="3" xfId="0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65" fillId="0" borderId="0" xfId="0" applyFont="1" applyAlignment="1"/>
    <xf numFmtId="0" fontId="65" fillId="0" borderId="22" xfId="0" applyFont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" fillId="6" borderId="3" xfId="0" applyFont="1" applyFill="1" applyBorder="1" applyAlignment="1">
      <alignment wrapText="1"/>
    </xf>
    <xf numFmtId="2" fontId="17" fillId="7" borderId="11" xfId="0" applyNumberFormat="1" applyFont="1" applyFill="1" applyBorder="1" applyAlignment="1"/>
    <xf numFmtId="0" fontId="36" fillId="9" borderId="0" xfId="0" applyFont="1" applyFill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21" borderId="3" xfId="0" applyNumberFormat="1" applyFont="1" applyFill="1" applyBorder="1" applyAlignment="1">
      <alignment wrapText="1"/>
    </xf>
    <xf numFmtId="2" fontId="84" fillId="4" borderId="11" xfId="0" applyNumberFormat="1" applyFont="1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18" fillId="4" borderId="3" xfId="0" applyFont="1" applyFill="1" applyBorder="1" applyAlignment="1">
      <alignment wrapText="1"/>
    </xf>
    <xf numFmtId="0" fontId="1" fillId="4" borderId="5" xfId="0" applyFont="1" applyFill="1" applyBorder="1" applyAlignment="1"/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7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0" fontId="84" fillId="7" borderId="3" xfId="0" applyFont="1" applyFill="1" applyBorder="1" applyAlignment="1">
      <alignment horizontal="left" wrapText="1"/>
    </xf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0" fontId="18" fillId="4" borderId="7" xfId="0" applyFont="1" applyFill="1" applyBorder="1" applyAlignment="1"/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66" fillId="9" borderId="0" xfId="0" applyFont="1" applyFill="1" applyAlignment="1"/>
    <xf numFmtId="0" fontId="104" fillId="15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18" fillId="21" borderId="5" xfId="0" applyFon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0" fillId="4" borderId="3" xfId="0" applyNumberFormat="1" applyFill="1" applyBorder="1" applyAlignment="1"/>
    <xf numFmtId="0" fontId="11" fillId="7" borderId="3" xfId="0" applyFon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8" fillId="21" borderId="3" xfId="0" applyFont="1" applyFill="1" applyBorder="1" applyAlignment="1"/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1" fillId="21" borderId="3" xfId="0" applyFont="1" applyFill="1" applyBorder="1" applyAlignment="1"/>
    <xf numFmtId="0" fontId="1" fillId="4" borderId="3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17" fillId="4" borderId="11" xfId="0" applyNumberFormat="1" applyFont="1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2" fontId="40" fillId="4" borderId="3" xfId="0" applyNumberFormat="1" applyFont="1" applyFill="1" applyBorder="1" applyAlignment="1">
      <alignment horizontal="center" vertical="center" wrapText="1"/>
    </xf>
    <xf numFmtId="2" fontId="45" fillId="4" borderId="3" xfId="0" applyNumberFormat="1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/>
    <xf numFmtId="0" fontId="1" fillId="4" borderId="4" xfId="0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jpe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744</xdr:row>
      <xdr:rowOff>28575</xdr:rowOff>
    </xdr:from>
    <xdr:to>
      <xdr:col>1</xdr:col>
      <xdr:colOff>295275</xdr:colOff>
      <xdr:row>744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742</xdr:row>
      <xdr:rowOff>19050</xdr:rowOff>
    </xdr:from>
    <xdr:to>
      <xdr:col>1</xdr:col>
      <xdr:colOff>180975</xdr:colOff>
      <xdr:row>742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127</xdr:row>
      <xdr:rowOff>0</xdr:rowOff>
    </xdr:from>
    <xdr:to>
      <xdr:col>38</xdr:col>
      <xdr:colOff>371475</xdr:colOff>
      <xdr:row>130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732</xdr:row>
      <xdr:rowOff>76200</xdr:rowOff>
    </xdr:from>
    <xdr:to>
      <xdr:col>8</xdr:col>
      <xdr:colOff>353861</xdr:colOff>
      <xdr:row>738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746</xdr:row>
      <xdr:rowOff>38100</xdr:rowOff>
    </xdr:from>
    <xdr:to>
      <xdr:col>1</xdr:col>
      <xdr:colOff>295275</xdr:colOff>
      <xdr:row>746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122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745</xdr:row>
      <xdr:rowOff>38100</xdr:rowOff>
    </xdr:from>
    <xdr:to>
      <xdr:col>1</xdr:col>
      <xdr:colOff>295275</xdr:colOff>
      <xdr:row>745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19050</xdr:rowOff>
    </xdr:from>
    <xdr:to>
      <xdr:col>1</xdr:col>
      <xdr:colOff>0</xdr:colOff>
      <xdr:row>651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19050</xdr:rowOff>
    </xdr:from>
    <xdr:to>
      <xdr:col>1</xdr:col>
      <xdr:colOff>0</xdr:colOff>
      <xdr:row>653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28575</xdr:rowOff>
    </xdr:from>
    <xdr:to>
      <xdr:col>1</xdr:col>
      <xdr:colOff>0</xdr:colOff>
      <xdr:row>359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28575</xdr:rowOff>
    </xdr:from>
    <xdr:to>
      <xdr:col>1</xdr:col>
      <xdr:colOff>0</xdr:colOff>
      <xdr:row>227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28575</xdr:rowOff>
    </xdr:from>
    <xdr:to>
      <xdr:col>1</xdr:col>
      <xdr:colOff>0</xdr:colOff>
      <xdr:row>456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455</xdr:row>
      <xdr:rowOff>19050</xdr:rowOff>
    </xdr:from>
    <xdr:to>
      <xdr:col>24</xdr:col>
      <xdr:colOff>47625</xdr:colOff>
      <xdr:row>455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452</xdr:row>
      <xdr:rowOff>19050</xdr:rowOff>
    </xdr:from>
    <xdr:to>
      <xdr:col>24</xdr:col>
      <xdr:colOff>47625</xdr:colOff>
      <xdr:row>452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47625</xdr:colOff>
      <xdr:row>449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481</xdr:row>
      <xdr:rowOff>19050</xdr:rowOff>
    </xdr:from>
    <xdr:to>
      <xdr:col>24</xdr:col>
      <xdr:colOff>47625</xdr:colOff>
      <xdr:row>481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482</xdr:row>
      <xdr:rowOff>19050</xdr:rowOff>
    </xdr:from>
    <xdr:to>
      <xdr:col>24</xdr:col>
      <xdr:colOff>47625</xdr:colOff>
      <xdr:row>482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637</xdr:row>
      <xdr:rowOff>19050</xdr:rowOff>
    </xdr:from>
    <xdr:to>
      <xdr:col>24</xdr:col>
      <xdr:colOff>47625</xdr:colOff>
      <xdr:row>637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638</xdr:row>
      <xdr:rowOff>19050</xdr:rowOff>
    </xdr:from>
    <xdr:to>
      <xdr:col>24</xdr:col>
      <xdr:colOff>47625</xdr:colOff>
      <xdr:row>638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673</xdr:row>
      <xdr:rowOff>19050</xdr:rowOff>
    </xdr:from>
    <xdr:to>
      <xdr:col>24</xdr:col>
      <xdr:colOff>47625</xdr:colOff>
      <xdr:row>673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674</xdr:row>
      <xdr:rowOff>19050</xdr:rowOff>
    </xdr:from>
    <xdr:to>
      <xdr:col>24</xdr:col>
      <xdr:colOff>47625</xdr:colOff>
      <xdr:row>674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665</xdr:row>
      <xdr:rowOff>19050</xdr:rowOff>
    </xdr:from>
    <xdr:to>
      <xdr:col>24</xdr:col>
      <xdr:colOff>47625</xdr:colOff>
      <xdr:row>665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661</xdr:row>
      <xdr:rowOff>19050</xdr:rowOff>
    </xdr:from>
    <xdr:to>
      <xdr:col>24</xdr:col>
      <xdr:colOff>47625</xdr:colOff>
      <xdr:row>661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282</xdr:row>
      <xdr:rowOff>19050</xdr:rowOff>
    </xdr:from>
    <xdr:to>
      <xdr:col>26</xdr:col>
      <xdr:colOff>9524</xdr:colOff>
      <xdr:row>282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47625</xdr:colOff>
      <xdr:row>230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47625</xdr:colOff>
      <xdr:row>229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194</xdr:row>
      <xdr:rowOff>19050</xdr:rowOff>
    </xdr:from>
    <xdr:to>
      <xdr:col>26</xdr:col>
      <xdr:colOff>9524</xdr:colOff>
      <xdr:row>194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166</xdr:row>
      <xdr:rowOff>19050</xdr:rowOff>
    </xdr:from>
    <xdr:to>
      <xdr:col>26</xdr:col>
      <xdr:colOff>9524</xdr:colOff>
      <xdr:row>166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163</xdr:row>
      <xdr:rowOff>19050</xdr:rowOff>
    </xdr:from>
    <xdr:to>
      <xdr:col>9</xdr:col>
      <xdr:colOff>9526</xdr:colOff>
      <xdr:row>163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164</xdr:row>
      <xdr:rowOff>19050</xdr:rowOff>
    </xdr:from>
    <xdr:to>
      <xdr:col>9</xdr:col>
      <xdr:colOff>9526</xdr:colOff>
      <xdr:row>164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166</xdr:row>
      <xdr:rowOff>19050</xdr:rowOff>
    </xdr:from>
    <xdr:to>
      <xdr:col>9</xdr:col>
      <xdr:colOff>9526</xdr:colOff>
      <xdr:row>166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129</xdr:row>
      <xdr:rowOff>19050</xdr:rowOff>
    </xdr:from>
    <xdr:to>
      <xdr:col>26</xdr:col>
      <xdr:colOff>9524</xdr:colOff>
      <xdr:row>129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19050</xdr:rowOff>
    </xdr:from>
    <xdr:to>
      <xdr:col>24</xdr:col>
      <xdr:colOff>47625</xdr:colOff>
      <xdr:row>632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28575</xdr:rowOff>
    </xdr:from>
    <xdr:to>
      <xdr:col>1</xdr:col>
      <xdr:colOff>0</xdr:colOff>
      <xdr:row>363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231</xdr:row>
      <xdr:rowOff>19050</xdr:rowOff>
    </xdr:from>
    <xdr:to>
      <xdr:col>26</xdr:col>
      <xdr:colOff>9524</xdr:colOff>
      <xdr:row>231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548</xdr:row>
      <xdr:rowOff>19050</xdr:rowOff>
    </xdr:from>
    <xdr:to>
      <xdr:col>24</xdr:col>
      <xdr:colOff>48389</xdr:colOff>
      <xdr:row>548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543</xdr:row>
      <xdr:rowOff>19050</xdr:rowOff>
    </xdr:from>
    <xdr:to>
      <xdr:col>24</xdr:col>
      <xdr:colOff>48389</xdr:colOff>
      <xdr:row>543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551</xdr:row>
      <xdr:rowOff>19050</xdr:rowOff>
    </xdr:from>
    <xdr:to>
      <xdr:col>24</xdr:col>
      <xdr:colOff>47625</xdr:colOff>
      <xdr:row>551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10</xdr:col>
      <xdr:colOff>1</xdr:colOff>
      <xdr:row>146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653</xdr:row>
      <xdr:rowOff>19050</xdr:rowOff>
    </xdr:from>
    <xdr:to>
      <xdr:col>10</xdr:col>
      <xdr:colOff>1</xdr:colOff>
      <xdr:row>653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646</xdr:row>
      <xdr:rowOff>19050</xdr:rowOff>
    </xdr:from>
    <xdr:to>
      <xdr:col>10</xdr:col>
      <xdr:colOff>1</xdr:colOff>
      <xdr:row>646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637</xdr:row>
      <xdr:rowOff>19050</xdr:rowOff>
    </xdr:from>
    <xdr:to>
      <xdr:col>10</xdr:col>
      <xdr:colOff>1</xdr:colOff>
      <xdr:row>637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638</xdr:row>
      <xdr:rowOff>19050</xdr:rowOff>
    </xdr:from>
    <xdr:to>
      <xdr:col>10</xdr:col>
      <xdr:colOff>1</xdr:colOff>
      <xdr:row>638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688</xdr:row>
      <xdr:rowOff>19050</xdr:rowOff>
    </xdr:from>
    <xdr:to>
      <xdr:col>10</xdr:col>
      <xdr:colOff>1</xdr:colOff>
      <xdr:row>688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218</xdr:row>
      <xdr:rowOff>28575</xdr:rowOff>
    </xdr:from>
    <xdr:to>
      <xdr:col>1</xdr:col>
      <xdr:colOff>0</xdr:colOff>
      <xdr:row>218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217</xdr:row>
      <xdr:rowOff>19050</xdr:rowOff>
    </xdr:from>
    <xdr:to>
      <xdr:col>10</xdr:col>
      <xdr:colOff>1</xdr:colOff>
      <xdr:row>217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139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47624</xdr:colOff>
      <xdr:row>224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322</xdr:row>
      <xdr:rowOff>19050</xdr:rowOff>
    </xdr:from>
    <xdr:to>
      <xdr:col>25</xdr:col>
      <xdr:colOff>83819</xdr:colOff>
      <xdr:row>322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324</xdr:row>
      <xdr:rowOff>19050</xdr:rowOff>
    </xdr:from>
    <xdr:to>
      <xdr:col>25</xdr:col>
      <xdr:colOff>83819</xdr:colOff>
      <xdr:row>324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679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268</xdr:row>
      <xdr:rowOff>19050</xdr:rowOff>
    </xdr:from>
    <xdr:to>
      <xdr:col>24</xdr:col>
      <xdr:colOff>47624</xdr:colOff>
      <xdr:row>268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274</xdr:row>
      <xdr:rowOff>19050</xdr:rowOff>
    </xdr:from>
    <xdr:to>
      <xdr:col>26</xdr:col>
      <xdr:colOff>9524</xdr:colOff>
      <xdr:row>274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281</xdr:row>
      <xdr:rowOff>19050</xdr:rowOff>
    </xdr:from>
    <xdr:to>
      <xdr:col>26</xdr:col>
      <xdr:colOff>9524</xdr:colOff>
      <xdr:row>281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165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162</xdr:row>
      <xdr:rowOff>19050</xdr:rowOff>
    </xdr:from>
    <xdr:to>
      <xdr:col>9</xdr:col>
      <xdr:colOff>9526</xdr:colOff>
      <xdr:row>162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18</xdr:row>
      <xdr:rowOff>19050</xdr:rowOff>
    </xdr:from>
    <xdr:to>
      <xdr:col>9</xdr:col>
      <xdr:colOff>12838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154</xdr:row>
      <xdr:rowOff>19050</xdr:rowOff>
    </xdr:from>
    <xdr:to>
      <xdr:col>26</xdr:col>
      <xdr:colOff>9524</xdr:colOff>
      <xdr:row>154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154</xdr:row>
      <xdr:rowOff>19050</xdr:rowOff>
    </xdr:from>
    <xdr:to>
      <xdr:col>26</xdr:col>
      <xdr:colOff>447675</xdr:colOff>
      <xdr:row>154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631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226</xdr:row>
      <xdr:rowOff>28575</xdr:rowOff>
    </xdr:from>
    <xdr:to>
      <xdr:col>1</xdr:col>
      <xdr:colOff>0</xdr:colOff>
      <xdr:row>226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663</xdr:row>
      <xdr:rowOff>19050</xdr:rowOff>
    </xdr:from>
    <xdr:to>
      <xdr:col>10</xdr:col>
      <xdr:colOff>1</xdr:colOff>
      <xdr:row>663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668</xdr:row>
      <xdr:rowOff>19050</xdr:rowOff>
    </xdr:from>
    <xdr:to>
      <xdr:col>10</xdr:col>
      <xdr:colOff>1</xdr:colOff>
      <xdr:row>668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325</xdr:row>
      <xdr:rowOff>19050</xdr:rowOff>
    </xdr:from>
    <xdr:to>
      <xdr:col>25</xdr:col>
      <xdr:colOff>74294</xdr:colOff>
      <xdr:row>325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573</xdr:row>
      <xdr:rowOff>19050</xdr:rowOff>
    </xdr:from>
    <xdr:to>
      <xdr:col>24</xdr:col>
      <xdr:colOff>75821</xdr:colOff>
      <xdr:row>573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501</xdr:row>
      <xdr:rowOff>19050</xdr:rowOff>
    </xdr:from>
    <xdr:to>
      <xdr:col>24</xdr:col>
      <xdr:colOff>75821</xdr:colOff>
      <xdr:row>501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200</xdr:row>
      <xdr:rowOff>19050</xdr:rowOff>
    </xdr:from>
    <xdr:to>
      <xdr:col>26</xdr:col>
      <xdr:colOff>9524</xdr:colOff>
      <xdr:row>200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283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549</xdr:row>
      <xdr:rowOff>19050</xdr:rowOff>
    </xdr:from>
    <xdr:to>
      <xdr:col>24</xdr:col>
      <xdr:colOff>47625</xdr:colOff>
      <xdr:row>549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547</xdr:row>
      <xdr:rowOff>19050</xdr:rowOff>
    </xdr:from>
    <xdr:to>
      <xdr:col>24</xdr:col>
      <xdr:colOff>47625</xdr:colOff>
      <xdr:row>547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542</xdr:row>
      <xdr:rowOff>19050</xdr:rowOff>
    </xdr:from>
    <xdr:to>
      <xdr:col>24</xdr:col>
      <xdr:colOff>47625</xdr:colOff>
      <xdr:row>542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532</xdr:row>
      <xdr:rowOff>19050</xdr:rowOff>
    </xdr:from>
    <xdr:to>
      <xdr:col>24</xdr:col>
      <xdr:colOff>47625</xdr:colOff>
      <xdr:row>532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530</xdr:row>
      <xdr:rowOff>19050</xdr:rowOff>
    </xdr:from>
    <xdr:to>
      <xdr:col>24</xdr:col>
      <xdr:colOff>47625</xdr:colOff>
      <xdr:row>530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311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492</xdr:row>
      <xdr:rowOff>19050</xdr:rowOff>
    </xdr:from>
    <xdr:to>
      <xdr:col>11</xdr:col>
      <xdr:colOff>9525</xdr:colOff>
      <xdr:row>492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493</xdr:row>
      <xdr:rowOff>19050</xdr:rowOff>
    </xdr:from>
    <xdr:to>
      <xdr:col>11</xdr:col>
      <xdr:colOff>9525</xdr:colOff>
      <xdr:row>493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494</xdr:row>
      <xdr:rowOff>19050</xdr:rowOff>
    </xdr:from>
    <xdr:to>
      <xdr:col>11</xdr:col>
      <xdr:colOff>9525</xdr:colOff>
      <xdr:row>494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495</xdr:row>
      <xdr:rowOff>19050</xdr:rowOff>
    </xdr:from>
    <xdr:to>
      <xdr:col>11</xdr:col>
      <xdr:colOff>9525</xdr:colOff>
      <xdr:row>495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497</xdr:row>
      <xdr:rowOff>19050</xdr:rowOff>
    </xdr:from>
    <xdr:to>
      <xdr:col>11</xdr:col>
      <xdr:colOff>9525</xdr:colOff>
      <xdr:row>497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498</xdr:row>
      <xdr:rowOff>19050</xdr:rowOff>
    </xdr:from>
    <xdr:to>
      <xdr:col>11</xdr:col>
      <xdr:colOff>9525</xdr:colOff>
      <xdr:row>498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278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529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545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546</xdr:row>
      <xdr:rowOff>19050</xdr:rowOff>
    </xdr:from>
    <xdr:to>
      <xdr:col>24</xdr:col>
      <xdr:colOff>48389</xdr:colOff>
      <xdr:row>546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408</xdr:row>
      <xdr:rowOff>16566</xdr:rowOff>
    </xdr:from>
    <xdr:to>
      <xdr:col>24</xdr:col>
      <xdr:colOff>46383</xdr:colOff>
      <xdr:row>408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291</xdr:row>
      <xdr:rowOff>16566</xdr:rowOff>
    </xdr:from>
    <xdr:to>
      <xdr:col>25</xdr:col>
      <xdr:colOff>82577</xdr:colOff>
      <xdr:row>291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721</xdr:row>
      <xdr:rowOff>19050</xdr:rowOff>
    </xdr:from>
    <xdr:to>
      <xdr:col>13</xdr:col>
      <xdr:colOff>1</xdr:colOff>
      <xdr:row>721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722</xdr:row>
      <xdr:rowOff>19050</xdr:rowOff>
    </xdr:from>
    <xdr:to>
      <xdr:col>13</xdr:col>
      <xdr:colOff>1</xdr:colOff>
      <xdr:row>722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723</xdr:row>
      <xdr:rowOff>19050</xdr:rowOff>
    </xdr:from>
    <xdr:to>
      <xdr:col>13</xdr:col>
      <xdr:colOff>1</xdr:colOff>
      <xdr:row>723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459</xdr:row>
      <xdr:rowOff>19050</xdr:rowOff>
    </xdr:from>
    <xdr:to>
      <xdr:col>24</xdr:col>
      <xdr:colOff>47625</xdr:colOff>
      <xdr:row>459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460</xdr:row>
      <xdr:rowOff>19050</xdr:rowOff>
    </xdr:from>
    <xdr:to>
      <xdr:col>24</xdr:col>
      <xdr:colOff>47625</xdr:colOff>
      <xdr:row>460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527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12838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539</xdr:row>
      <xdr:rowOff>19050</xdr:rowOff>
    </xdr:from>
    <xdr:to>
      <xdr:col>24</xdr:col>
      <xdr:colOff>47625</xdr:colOff>
      <xdr:row>539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415</xdr:row>
      <xdr:rowOff>28575</xdr:rowOff>
    </xdr:from>
    <xdr:to>
      <xdr:col>1</xdr:col>
      <xdr:colOff>0</xdr:colOff>
      <xdr:row>415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47624</xdr:colOff>
      <xdr:row>293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294</xdr:row>
      <xdr:rowOff>19050</xdr:rowOff>
    </xdr:from>
    <xdr:to>
      <xdr:col>24</xdr:col>
      <xdr:colOff>47624</xdr:colOff>
      <xdr:row>294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47624</xdr:colOff>
      <xdr:row>320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526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524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653</xdr:row>
      <xdr:rowOff>19050</xdr:rowOff>
    </xdr:from>
    <xdr:to>
      <xdr:col>24</xdr:col>
      <xdr:colOff>49180</xdr:colOff>
      <xdr:row>653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49180</xdr:colOff>
      <xdr:row>651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684</xdr:row>
      <xdr:rowOff>19050</xdr:rowOff>
    </xdr:from>
    <xdr:to>
      <xdr:col>24</xdr:col>
      <xdr:colOff>47625</xdr:colOff>
      <xdr:row>684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49180</xdr:colOff>
      <xdr:row>688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691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682</xdr:row>
      <xdr:rowOff>19050</xdr:rowOff>
    </xdr:from>
    <xdr:to>
      <xdr:col>24</xdr:col>
      <xdr:colOff>49180</xdr:colOff>
      <xdr:row>682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683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695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698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608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523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678</xdr:row>
      <xdr:rowOff>19050</xdr:rowOff>
    </xdr:from>
    <xdr:to>
      <xdr:col>18</xdr:col>
      <xdr:colOff>9526</xdr:colOff>
      <xdr:row>678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537</xdr:row>
      <xdr:rowOff>19050</xdr:rowOff>
    </xdr:from>
    <xdr:to>
      <xdr:col>24</xdr:col>
      <xdr:colOff>47625</xdr:colOff>
      <xdr:row>537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225</xdr:row>
      <xdr:rowOff>19050</xdr:rowOff>
    </xdr:from>
    <xdr:to>
      <xdr:col>24</xdr:col>
      <xdr:colOff>75821</xdr:colOff>
      <xdr:row>225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47624</xdr:colOff>
      <xdr:row>222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47624</xdr:colOff>
      <xdr:row>223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307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326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375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377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47624</xdr:colOff>
      <xdr:row>474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473</xdr:row>
      <xdr:rowOff>19050</xdr:rowOff>
    </xdr:from>
    <xdr:to>
      <xdr:col>24</xdr:col>
      <xdr:colOff>47624</xdr:colOff>
      <xdr:row>473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28575</xdr:rowOff>
    </xdr:from>
    <xdr:to>
      <xdr:col>1</xdr:col>
      <xdr:colOff>0</xdr:colOff>
      <xdr:row>382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351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648</xdr:row>
      <xdr:rowOff>19050</xdr:rowOff>
    </xdr:from>
    <xdr:to>
      <xdr:col>24</xdr:col>
      <xdr:colOff>47625</xdr:colOff>
      <xdr:row>648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313</xdr:row>
      <xdr:rowOff>28575</xdr:rowOff>
    </xdr:from>
    <xdr:to>
      <xdr:col>25</xdr:col>
      <xdr:colOff>83819</xdr:colOff>
      <xdr:row>313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383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687</xdr:row>
      <xdr:rowOff>19050</xdr:rowOff>
    </xdr:from>
    <xdr:to>
      <xdr:col>24</xdr:col>
      <xdr:colOff>47624</xdr:colOff>
      <xdr:row>687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370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370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256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467</xdr:row>
      <xdr:rowOff>19050</xdr:rowOff>
    </xdr:from>
    <xdr:to>
      <xdr:col>24</xdr:col>
      <xdr:colOff>47624</xdr:colOff>
      <xdr:row>467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423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569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271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468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419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686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686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692</xdr:row>
      <xdr:rowOff>19050</xdr:rowOff>
    </xdr:from>
    <xdr:to>
      <xdr:col>24</xdr:col>
      <xdr:colOff>47625</xdr:colOff>
      <xdr:row>692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693</xdr:row>
      <xdr:rowOff>19050</xdr:rowOff>
    </xdr:from>
    <xdr:to>
      <xdr:col>24</xdr:col>
      <xdr:colOff>47625</xdr:colOff>
      <xdr:row>693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647</xdr:row>
      <xdr:rowOff>19050</xdr:rowOff>
    </xdr:from>
    <xdr:to>
      <xdr:col>26</xdr:col>
      <xdr:colOff>0</xdr:colOff>
      <xdr:row>647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47625</xdr:colOff>
      <xdr:row>690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649</xdr:row>
      <xdr:rowOff>19050</xdr:rowOff>
    </xdr:from>
    <xdr:to>
      <xdr:col>26</xdr:col>
      <xdr:colOff>0</xdr:colOff>
      <xdr:row>649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671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507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508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511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273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26</xdr:col>
      <xdr:colOff>0</xdr:colOff>
      <xdr:row>314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314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314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15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172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243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243</xdr:row>
      <xdr:rowOff>19050</xdr:rowOff>
    </xdr:from>
    <xdr:to>
      <xdr:col>26</xdr:col>
      <xdr:colOff>0</xdr:colOff>
      <xdr:row>243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245</xdr:row>
      <xdr:rowOff>28575</xdr:rowOff>
    </xdr:from>
    <xdr:to>
      <xdr:col>26</xdr:col>
      <xdr:colOff>0</xdr:colOff>
      <xdr:row>246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685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669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681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681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174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205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619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0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182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21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618</xdr:row>
      <xdr:rowOff>28575</xdr:rowOff>
    </xdr:from>
    <xdr:ext cx="342900" cy="104775"/>
    <xdr:pic>
      <xdr:nvPicPr>
        <xdr:cNvPr id="99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618</xdr:row>
      <xdr:rowOff>19050</xdr:rowOff>
    </xdr:from>
    <xdr:to>
      <xdr:col>24</xdr:col>
      <xdr:colOff>47624</xdr:colOff>
      <xdr:row>618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28575</xdr:rowOff>
    </xdr:from>
    <xdr:to>
      <xdr:col>1</xdr:col>
      <xdr:colOff>0</xdr:colOff>
      <xdr:row>373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369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369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512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513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263</xdr:row>
      <xdr:rowOff>28575</xdr:rowOff>
    </xdr:from>
    <xdr:ext cx="342900" cy="104775"/>
    <xdr:pic>
      <xdr:nvPicPr>
        <xdr:cNvPr id="11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2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103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463</xdr:row>
      <xdr:rowOff>19050</xdr:rowOff>
    </xdr:from>
    <xdr:to>
      <xdr:col>24</xdr:col>
      <xdr:colOff>47625</xdr:colOff>
      <xdr:row>463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244</xdr:row>
      <xdr:rowOff>28575</xdr:rowOff>
    </xdr:from>
    <xdr:to>
      <xdr:col>26</xdr:col>
      <xdr:colOff>0</xdr:colOff>
      <xdr:row>245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548</xdr:row>
      <xdr:rowOff>0</xdr:rowOff>
    </xdr:from>
    <xdr:to>
      <xdr:col>24</xdr:col>
      <xdr:colOff>48389</xdr:colOff>
      <xdr:row>548</xdr:row>
      <xdr:rowOff>121920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28575</xdr:rowOff>
    </xdr:from>
    <xdr:to>
      <xdr:col>1</xdr:col>
      <xdr:colOff>0</xdr:colOff>
      <xdr:row>578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312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312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309</xdr:row>
      <xdr:rowOff>28575</xdr:rowOff>
    </xdr:from>
    <xdr:to>
      <xdr:col>1</xdr:col>
      <xdr:colOff>0</xdr:colOff>
      <xdr:row>309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28575</xdr:rowOff>
    </xdr:from>
    <xdr:to>
      <xdr:col>1</xdr:col>
      <xdr:colOff>0</xdr:colOff>
      <xdr:row>307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28575</xdr:rowOff>
    </xdr:from>
    <xdr:to>
      <xdr:col>1</xdr:col>
      <xdr:colOff>0</xdr:colOff>
      <xdr:row>253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28575</xdr:rowOff>
    </xdr:from>
    <xdr:to>
      <xdr:col>1</xdr:col>
      <xdr:colOff>0</xdr:colOff>
      <xdr:row>606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389</xdr:row>
      <xdr:rowOff>28575</xdr:rowOff>
    </xdr:from>
    <xdr:ext cx="342900" cy="104775"/>
    <xdr:pic>
      <xdr:nvPicPr>
        <xdr:cNvPr id="157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411</xdr:row>
      <xdr:rowOff>28575</xdr:rowOff>
    </xdr:from>
    <xdr:to>
      <xdr:col>1</xdr:col>
      <xdr:colOff>0</xdr:colOff>
      <xdr:row>411</xdr:row>
      <xdr:rowOff>133350</xdr:rowOff>
    </xdr:to>
    <xdr:pic>
      <xdr:nvPicPr>
        <xdr:cNvPr id="157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28575</xdr:rowOff>
    </xdr:from>
    <xdr:to>
      <xdr:col>1</xdr:col>
      <xdr:colOff>0</xdr:colOff>
      <xdr:row>390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480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650</xdr:row>
      <xdr:rowOff>19050</xdr:rowOff>
    </xdr:from>
    <xdr:ext cx="847346" cy="121920"/>
    <xdr:pic>
      <xdr:nvPicPr>
        <xdr:cNvPr id="1576" name="Imagen 15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004792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650</xdr:row>
      <xdr:rowOff>19050</xdr:rowOff>
    </xdr:from>
    <xdr:to>
      <xdr:col>24</xdr:col>
      <xdr:colOff>47625</xdr:colOff>
      <xdr:row>650</xdr:row>
      <xdr:rowOff>142875</xdr:rowOff>
    </xdr:to>
    <xdr:pic>
      <xdr:nvPicPr>
        <xdr:cNvPr id="157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599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577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536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24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306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306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287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287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626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400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576</xdr:row>
      <xdr:rowOff>28575</xdr:rowOff>
    </xdr:from>
    <xdr:to>
      <xdr:col>1</xdr:col>
      <xdr:colOff>0</xdr:colOff>
      <xdr:row>576</xdr:row>
      <xdr:rowOff>133350</xdr:rowOff>
    </xdr:to>
    <xdr:pic>
      <xdr:nvPicPr>
        <xdr:cNvPr id="95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28575</xdr:rowOff>
    </xdr:from>
    <xdr:to>
      <xdr:col>1</xdr:col>
      <xdr:colOff>0</xdr:colOff>
      <xdr:row>566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28575</xdr:rowOff>
    </xdr:from>
    <xdr:to>
      <xdr:col>1</xdr:col>
      <xdr:colOff>0</xdr:colOff>
      <xdr:row>609</xdr:row>
      <xdr:rowOff>133350</xdr:rowOff>
    </xdr:to>
    <xdr:pic>
      <xdr:nvPicPr>
        <xdr:cNvPr id="158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8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28575</xdr:rowOff>
    </xdr:from>
    <xdr:to>
      <xdr:col>1</xdr:col>
      <xdr:colOff>0</xdr:colOff>
      <xdr:row>601</xdr:row>
      <xdr:rowOff>133350</xdr:rowOff>
    </xdr:to>
    <xdr:pic>
      <xdr:nvPicPr>
        <xdr:cNvPr id="158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6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593</xdr:row>
      <xdr:rowOff>28575</xdr:rowOff>
    </xdr:from>
    <xdr:to>
      <xdr:col>1</xdr:col>
      <xdr:colOff>0</xdr:colOff>
      <xdr:row>593</xdr:row>
      <xdr:rowOff>133350</xdr:rowOff>
    </xdr:to>
    <xdr:pic>
      <xdr:nvPicPr>
        <xdr:cNvPr id="158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113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115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117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118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242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582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168</xdr:row>
      <xdr:rowOff>28575</xdr:rowOff>
    </xdr:from>
    <xdr:to>
      <xdr:col>1</xdr:col>
      <xdr:colOff>0</xdr:colOff>
      <xdr:row>168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9" TargetMode="External"/><Relationship Id="rId21" Type="http://schemas.openxmlformats.org/officeDocument/2006/relationships/hyperlink" Target="https://www.jivi.com.ar/ficha.php?id=101" TargetMode="External"/><Relationship Id="rId324" Type="http://schemas.openxmlformats.org/officeDocument/2006/relationships/hyperlink" Target="https://www.jivi.com.ar/ficha.php?id=1532" TargetMode="External"/><Relationship Id="rId531" Type="http://schemas.openxmlformats.org/officeDocument/2006/relationships/hyperlink" Target="https://www.jivi.com.ar/ficha.php?id=1886" TargetMode="External"/><Relationship Id="rId629" Type="http://schemas.openxmlformats.org/officeDocument/2006/relationships/hyperlink" Target="https://www.jivi.com.ar/ficha.php?id=2220" TargetMode="External"/><Relationship Id="rId170" Type="http://schemas.openxmlformats.org/officeDocument/2006/relationships/hyperlink" Target="https://www.jivi.com.ar/ficha.php?id=1175" TargetMode="External"/><Relationship Id="rId268" Type="http://schemas.openxmlformats.org/officeDocument/2006/relationships/hyperlink" Target="https://www.jivi.com.ar/ficha.php?id=1437" TargetMode="External"/><Relationship Id="rId475" Type="http://schemas.openxmlformats.org/officeDocument/2006/relationships/hyperlink" Target="https://www.jivi.com.ar/ficha.php?id=1776" TargetMode="External"/><Relationship Id="rId32" Type="http://schemas.openxmlformats.org/officeDocument/2006/relationships/hyperlink" Target="https://www.jivi.com.ar/ficha.php?id=113" TargetMode="External"/><Relationship Id="rId128" Type="http://schemas.openxmlformats.org/officeDocument/2006/relationships/hyperlink" Target="https://www.jivi.com.ar/ficha.php?id=918" TargetMode="External"/><Relationship Id="rId335" Type="http://schemas.openxmlformats.org/officeDocument/2006/relationships/hyperlink" Target="https://www.jivi.com.ar/ficha.php?id=1548" TargetMode="External"/><Relationship Id="rId542" Type="http://schemas.openxmlformats.org/officeDocument/2006/relationships/hyperlink" Target="https://www.jivi.com.ar/ficha.php?id=2000" TargetMode="External"/><Relationship Id="rId181" Type="http://schemas.openxmlformats.org/officeDocument/2006/relationships/hyperlink" Target="https://www.jivi.com.ar/ficha.php?id=1220" TargetMode="External"/><Relationship Id="rId402" Type="http://schemas.openxmlformats.org/officeDocument/2006/relationships/hyperlink" Target="https://www.jivi.com.ar/ficha.php?id=1614" TargetMode="External"/><Relationship Id="rId279" Type="http://schemas.openxmlformats.org/officeDocument/2006/relationships/hyperlink" Target="https://www.jivi.com.ar/ficha.php?id=1448" TargetMode="External"/><Relationship Id="rId486" Type="http://schemas.openxmlformats.org/officeDocument/2006/relationships/hyperlink" Target="https://www.jivi.com.ar/ficha.php?id=1293" TargetMode="External"/><Relationship Id="rId43" Type="http://schemas.openxmlformats.org/officeDocument/2006/relationships/hyperlink" Target="https://www.jivi.com.ar/ficha.php?id=638" TargetMode="External"/><Relationship Id="rId139" Type="http://schemas.openxmlformats.org/officeDocument/2006/relationships/hyperlink" Target="https://www.jivi.com.ar/ficha.php?id=850" TargetMode="External"/><Relationship Id="rId346" Type="http://schemas.openxmlformats.org/officeDocument/2006/relationships/hyperlink" Target="https://www.jivi.com.ar/ficha.php?id=1561" TargetMode="External"/><Relationship Id="rId553" Type="http://schemas.openxmlformats.org/officeDocument/2006/relationships/hyperlink" Target="https://www.jivi.com.ar/ficha.php?id=2011" TargetMode="External"/><Relationship Id="rId192" Type="http://schemas.openxmlformats.org/officeDocument/2006/relationships/hyperlink" Target="https://jivi.com.ar/ficha.php?id=89" TargetMode="External"/><Relationship Id="rId206" Type="http://schemas.openxmlformats.org/officeDocument/2006/relationships/hyperlink" Target="https://www.jivi.com.ar/ficha.php?id=1306" TargetMode="External"/><Relationship Id="rId413" Type="http://schemas.openxmlformats.org/officeDocument/2006/relationships/hyperlink" Target="https://www.jivi.com.ar/ficha.php?id=968" TargetMode="External"/><Relationship Id="rId497" Type="http://schemas.openxmlformats.org/officeDocument/2006/relationships/hyperlink" Target="https://www.jivi.com.ar/ficha.php?id=1451" TargetMode="External"/><Relationship Id="rId620" Type="http://schemas.openxmlformats.org/officeDocument/2006/relationships/hyperlink" Target="https://www.jivi.com.ar/ficha.php?id=2231" TargetMode="External"/><Relationship Id="rId357" Type="http://schemas.openxmlformats.org/officeDocument/2006/relationships/hyperlink" Target="https://www.jivi.com.ar/ficha.php?id=1434" TargetMode="External"/><Relationship Id="rId54" Type="http://schemas.openxmlformats.org/officeDocument/2006/relationships/hyperlink" Target="https://www.jivi.com.ar/ficha.php?id=120" TargetMode="External"/><Relationship Id="rId217" Type="http://schemas.openxmlformats.org/officeDocument/2006/relationships/hyperlink" Target="https://www.jivi.com.ar/ficha.php?id=1359" TargetMode="External"/><Relationship Id="rId564" Type="http://schemas.openxmlformats.org/officeDocument/2006/relationships/hyperlink" Target="https://www.jivi.com.ar/ficha.php?id=2040" TargetMode="External"/><Relationship Id="rId424" Type="http://schemas.openxmlformats.org/officeDocument/2006/relationships/hyperlink" Target="https://www.jivi.com.ar/ficha.php?id=440" TargetMode="External"/><Relationship Id="rId631" Type="http://schemas.openxmlformats.org/officeDocument/2006/relationships/hyperlink" Target="https://www.jivi.com.ar/ficha.php?id=2206" TargetMode="External"/><Relationship Id="rId270" Type="http://schemas.openxmlformats.org/officeDocument/2006/relationships/hyperlink" Target="https://www.jivi.com.ar/ficha.php?id=1439" TargetMode="External"/><Relationship Id="rId65" Type="http://schemas.openxmlformats.org/officeDocument/2006/relationships/hyperlink" Target="https://www.jivi.com.ar/ficha.php?id=60" TargetMode="External"/><Relationship Id="rId130" Type="http://schemas.openxmlformats.org/officeDocument/2006/relationships/hyperlink" Target="https://www.jivi.com.ar/ficha.php?id=938" TargetMode="External"/><Relationship Id="rId368" Type="http://schemas.openxmlformats.org/officeDocument/2006/relationships/hyperlink" Target="https://www.jivi.com.ar/ficha.php?id=1296" TargetMode="External"/><Relationship Id="rId575" Type="http://schemas.openxmlformats.org/officeDocument/2006/relationships/hyperlink" Target="https://www.jivi.com.ar/articulos.php?search=1066" TargetMode="External"/><Relationship Id="rId228" Type="http://schemas.openxmlformats.org/officeDocument/2006/relationships/hyperlink" Target="https://www.jivi.com.ar/ficha.php?id=1428" TargetMode="External"/><Relationship Id="rId435" Type="http://schemas.openxmlformats.org/officeDocument/2006/relationships/hyperlink" Target="https://www.jivi.com.ar/ficha.php?id=36" TargetMode="External"/><Relationship Id="rId642" Type="http://schemas.openxmlformats.org/officeDocument/2006/relationships/hyperlink" Target="https://www.jivi.com.ar/ficha.php?id=2233" TargetMode="External"/><Relationship Id="rId281" Type="http://schemas.openxmlformats.org/officeDocument/2006/relationships/hyperlink" Target="https://www.jivi.com.ar/ficha.php?id=1560" TargetMode="External"/><Relationship Id="rId502" Type="http://schemas.openxmlformats.org/officeDocument/2006/relationships/hyperlink" Target="https://www.jivi.com.ar/ficha.php?id=1377" TargetMode="External"/><Relationship Id="rId76" Type="http://schemas.openxmlformats.org/officeDocument/2006/relationships/hyperlink" Target="https://www.jivi.com.ar/ficha.php?id=142" TargetMode="External"/><Relationship Id="rId141" Type="http://schemas.openxmlformats.org/officeDocument/2006/relationships/hyperlink" Target="https://www.jivi.com.ar/ficha.php?id=250" TargetMode="External"/><Relationship Id="rId379" Type="http://schemas.openxmlformats.org/officeDocument/2006/relationships/hyperlink" Target="https://www.jivi.com.ar/ficha.php?id=1588" TargetMode="External"/><Relationship Id="rId586" Type="http://schemas.openxmlformats.org/officeDocument/2006/relationships/hyperlink" Target="https://www.jivi.com.ar/ficha.php?id=2062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400" TargetMode="External"/><Relationship Id="rId446" Type="http://schemas.openxmlformats.org/officeDocument/2006/relationships/hyperlink" Target="https://www.jivi.com.ar/ficha.php?id=1456" TargetMode="External"/><Relationship Id="rId292" Type="http://schemas.openxmlformats.org/officeDocument/2006/relationships/hyperlink" Target="https://www.jivi.com.ar/ficha.php?id=996" TargetMode="External"/><Relationship Id="rId306" Type="http://schemas.openxmlformats.org/officeDocument/2006/relationships/hyperlink" Target="https://www.jivi.com.ar/ficha.php?id=1497" TargetMode="External"/><Relationship Id="rId87" Type="http://schemas.openxmlformats.org/officeDocument/2006/relationships/hyperlink" Target="https://www.jivi.com.ar/ficha.php?id=169" TargetMode="External"/><Relationship Id="rId513" Type="http://schemas.openxmlformats.org/officeDocument/2006/relationships/hyperlink" Target="https://www.jivi.com.ar/ficha.php?id=1594" TargetMode="External"/><Relationship Id="rId597" Type="http://schemas.openxmlformats.org/officeDocument/2006/relationships/hyperlink" Target="https://www.jivi.com.ar/ficha.php?id=2084" TargetMode="External"/><Relationship Id="rId152" Type="http://schemas.openxmlformats.org/officeDocument/2006/relationships/hyperlink" Target="https://www.jivi.com.ar/ficha.php?id=297" TargetMode="External"/><Relationship Id="rId457" Type="http://schemas.openxmlformats.org/officeDocument/2006/relationships/hyperlink" Target="https://www.jivi.com.ar/ficha.php?id=1731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11" TargetMode="External"/><Relationship Id="rId524" Type="http://schemas.openxmlformats.org/officeDocument/2006/relationships/hyperlink" Target="https://www.jivi.com.ar/ficha.php?id=1055" TargetMode="External"/><Relationship Id="rId98" Type="http://schemas.openxmlformats.org/officeDocument/2006/relationships/hyperlink" Target="https://www.jivi.com.ar/ficha.php?id=472" TargetMode="External"/><Relationship Id="rId163" Type="http://schemas.openxmlformats.org/officeDocument/2006/relationships/hyperlink" Target="https://www.jivi.com.ar/ficha.php?id=1158" TargetMode="External"/><Relationship Id="rId370" Type="http://schemas.openxmlformats.org/officeDocument/2006/relationships/hyperlink" Target="https://www.jivi.com.ar/ficha.php?id=1249" TargetMode="External"/><Relationship Id="rId230" Type="http://schemas.openxmlformats.org/officeDocument/2006/relationships/hyperlink" Target="https://www.jivi.com.ar/ficha.php?id=1387" TargetMode="External"/><Relationship Id="rId468" Type="http://schemas.openxmlformats.org/officeDocument/2006/relationships/hyperlink" Target="https://www.jivi.com.ar/ficha.php?id=1747" TargetMode="External"/><Relationship Id="rId25" Type="http://schemas.openxmlformats.org/officeDocument/2006/relationships/hyperlink" Target="https://www.jivi.com.ar/ficha.php?id=105" TargetMode="External"/><Relationship Id="rId328" Type="http://schemas.openxmlformats.org/officeDocument/2006/relationships/hyperlink" Target="https://www.jivi.com.ar/ficha.php?id=1539" TargetMode="External"/><Relationship Id="rId535" Type="http://schemas.openxmlformats.org/officeDocument/2006/relationships/hyperlink" Target="https://www.jivi.com.ar/ficha.php?id=1916" TargetMode="External"/><Relationship Id="rId174" Type="http://schemas.openxmlformats.org/officeDocument/2006/relationships/hyperlink" Target="https://www.jivi.com.ar/ficha.php?id=1185" TargetMode="External"/><Relationship Id="rId381" Type="http://schemas.openxmlformats.org/officeDocument/2006/relationships/hyperlink" Target="https://www.jivi.com.ar/ficha.php?id=1590" TargetMode="External"/><Relationship Id="rId602" Type="http://schemas.openxmlformats.org/officeDocument/2006/relationships/hyperlink" Target="https://www.jivi.com.ar/ficha.php?id=1786" TargetMode="External"/><Relationship Id="rId241" Type="http://schemas.openxmlformats.org/officeDocument/2006/relationships/hyperlink" Target="https://www.jivi.com.ar/ficha.php?id=1392" TargetMode="External"/><Relationship Id="rId479" Type="http://schemas.openxmlformats.org/officeDocument/2006/relationships/hyperlink" Target="https://www.jivi.com.ar/ficha.php?id=1777" TargetMode="External"/><Relationship Id="rId36" Type="http://schemas.openxmlformats.org/officeDocument/2006/relationships/hyperlink" Target="https://www.jivi.com.ar/ficha.php?id=116" TargetMode="External"/><Relationship Id="rId339" Type="http://schemas.openxmlformats.org/officeDocument/2006/relationships/hyperlink" Target="https://www.jivi.com.ar/ficha.php?id=1311" TargetMode="External"/><Relationship Id="rId546" Type="http://schemas.openxmlformats.org/officeDocument/2006/relationships/hyperlink" Target="https://www.jivi.com.ar/ficha.php?id=2003" TargetMode="External"/><Relationship Id="rId101" Type="http://schemas.openxmlformats.org/officeDocument/2006/relationships/hyperlink" Target="https://www.jivi.com.ar/ficha.php?id=252" TargetMode="External"/><Relationship Id="rId185" Type="http://schemas.openxmlformats.org/officeDocument/2006/relationships/hyperlink" Target="https://www.jivi.com.ar/ficha.php?id=1224" TargetMode="External"/><Relationship Id="rId406" Type="http://schemas.openxmlformats.org/officeDocument/2006/relationships/hyperlink" Target="https://www.jivi.com.ar/ficha.php?id=1618" TargetMode="External"/><Relationship Id="rId392" Type="http://schemas.openxmlformats.org/officeDocument/2006/relationships/hyperlink" Target="https://www.jivi.com.ar/ficha.php?id=1604" TargetMode="External"/><Relationship Id="rId613" Type="http://schemas.openxmlformats.org/officeDocument/2006/relationships/hyperlink" Target="https://www.jivi.com.ar/ficha.php?id=2170" TargetMode="External"/><Relationship Id="rId252" Type="http://schemas.openxmlformats.org/officeDocument/2006/relationships/hyperlink" Target="https://www.jivi.com.ar/ficha.php?id=1356" TargetMode="External"/><Relationship Id="rId47" Type="http://schemas.openxmlformats.org/officeDocument/2006/relationships/hyperlink" Target="https://www.jivi.com.ar/ficha.php?id=405" TargetMode="External"/><Relationship Id="rId112" Type="http://schemas.openxmlformats.org/officeDocument/2006/relationships/hyperlink" Target="https://www.jivi.com.ar/ficha.php?id=51" TargetMode="External"/><Relationship Id="rId557" Type="http://schemas.openxmlformats.org/officeDocument/2006/relationships/hyperlink" Target="https://www.jivi.com.ar/ficha.php?id=2018" TargetMode="External"/><Relationship Id="rId196" Type="http://schemas.openxmlformats.org/officeDocument/2006/relationships/hyperlink" Target="https://www.jivi.com.ar/ficha.php?id=1261" TargetMode="External"/><Relationship Id="rId417" Type="http://schemas.openxmlformats.org/officeDocument/2006/relationships/hyperlink" Target="https://www.jivi.com.ar/ficha.php?id=1641" TargetMode="External"/><Relationship Id="rId459" Type="http://schemas.openxmlformats.org/officeDocument/2006/relationships/hyperlink" Target="https://www.jivi.com.ar/ficha.php?id=1734" TargetMode="External"/><Relationship Id="rId624" Type="http://schemas.openxmlformats.org/officeDocument/2006/relationships/hyperlink" Target="https://www.jivi.com.ar/ficha.php?id=2225" TargetMode="External"/><Relationship Id="rId16" Type="http://schemas.openxmlformats.org/officeDocument/2006/relationships/hyperlink" Target="https://www.jivi.com.ar/ficha.php?id=96" TargetMode="External"/><Relationship Id="rId221" Type="http://schemas.openxmlformats.org/officeDocument/2006/relationships/hyperlink" Target="https://www.jivi.com.ar/registro.php" TargetMode="External"/><Relationship Id="rId263" Type="http://schemas.openxmlformats.org/officeDocument/2006/relationships/hyperlink" Target="https://www.jivi.com.ar/ficha.php?id=1426" TargetMode="External"/><Relationship Id="rId319" Type="http://schemas.openxmlformats.org/officeDocument/2006/relationships/hyperlink" Target="https://www.jivi.com.ar/ficha.php?id=1516" TargetMode="External"/><Relationship Id="rId470" Type="http://schemas.openxmlformats.org/officeDocument/2006/relationships/hyperlink" Target="https://www.jivi.com.ar/ficha.php?id=1749" TargetMode="External"/><Relationship Id="rId526" Type="http://schemas.openxmlformats.org/officeDocument/2006/relationships/hyperlink" Target="https://www.jivi.com.ar/ficha.php?id=1530" TargetMode="External"/><Relationship Id="rId58" Type="http://schemas.openxmlformats.org/officeDocument/2006/relationships/hyperlink" Target="https://www.jivi.com.ar/ficha.php?id=124" TargetMode="External"/><Relationship Id="rId123" Type="http://schemas.openxmlformats.org/officeDocument/2006/relationships/hyperlink" Target="https://www.jivi.com.ar/ficha.php?id=888" TargetMode="External"/><Relationship Id="rId330" Type="http://schemas.openxmlformats.org/officeDocument/2006/relationships/hyperlink" Target="https://www.jivi.com.ar/ficha.php?id=1541" TargetMode="External"/><Relationship Id="rId568" Type="http://schemas.openxmlformats.org/officeDocument/2006/relationships/hyperlink" Target="https://www.jivi.com.ar/ficha.php?id=249" TargetMode="External"/><Relationship Id="rId165" Type="http://schemas.openxmlformats.org/officeDocument/2006/relationships/hyperlink" Target="https://www.jivi.com.ar/ficha.php?id=1156" TargetMode="External"/><Relationship Id="rId372" Type="http://schemas.openxmlformats.org/officeDocument/2006/relationships/hyperlink" Target="https://www.jivi.com.ar/ficha.php?id=1576" TargetMode="External"/><Relationship Id="rId428" Type="http://schemas.openxmlformats.org/officeDocument/2006/relationships/hyperlink" Target="https://www.jivi.com.ar/ficha.php?id=1684" TargetMode="External"/><Relationship Id="rId635" Type="http://schemas.openxmlformats.org/officeDocument/2006/relationships/hyperlink" Target="https://www.jivi.com.ar/ficha.php?id=2210" TargetMode="External"/><Relationship Id="rId232" Type="http://schemas.openxmlformats.org/officeDocument/2006/relationships/hyperlink" Target="https://www.jivi.com.ar/ficha.php?id=363" TargetMode="External"/><Relationship Id="rId274" Type="http://schemas.openxmlformats.org/officeDocument/2006/relationships/hyperlink" Target="https://www.jivi.com.ar/ficha.php?id=1056" TargetMode="External"/><Relationship Id="rId481" Type="http://schemas.openxmlformats.org/officeDocument/2006/relationships/hyperlink" Target="https://www.jivi.com.ar/ficha.php?id=1709" TargetMode="External"/><Relationship Id="rId27" Type="http://schemas.openxmlformats.org/officeDocument/2006/relationships/hyperlink" Target="https://www.jivi.com.ar/ficha.php?id=107" TargetMode="External"/><Relationship Id="rId69" Type="http://schemas.openxmlformats.org/officeDocument/2006/relationships/hyperlink" Target="https://www.jivi.com.ar/ficha.php?id=719" TargetMode="External"/><Relationship Id="rId134" Type="http://schemas.openxmlformats.org/officeDocument/2006/relationships/hyperlink" Target="https://www.jivi.com.ar/ficha.php?id=955" TargetMode="External"/><Relationship Id="rId537" Type="http://schemas.openxmlformats.org/officeDocument/2006/relationships/hyperlink" Target="https://www.jivi.com.ar/ficha.php?id=1386" TargetMode="External"/><Relationship Id="rId579" Type="http://schemas.openxmlformats.org/officeDocument/2006/relationships/hyperlink" Target="https://www.jivi.com.ar/ficha.php?id=2052" TargetMode="External"/><Relationship Id="rId80" Type="http://schemas.openxmlformats.org/officeDocument/2006/relationships/hyperlink" Target="https://www.jivi.com.ar/ficha.php?id=136" TargetMode="External"/><Relationship Id="rId176" Type="http://schemas.openxmlformats.org/officeDocument/2006/relationships/hyperlink" Target="https://www.jivi.com.ar/ficha.php?id=1190" TargetMode="External"/><Relationship Id="rId341" Type="http://schemas.openxmlformats.org/officeDocument/2006/relationships/hyperlink" Target="https://www.jivi.com.ar/ficha.php?id=1554" TargetMode="External"/><Relationship Id="rId383" Type="http://schemas.openxmlformats.org/officeDocument/2006/relationships/hyperlink" Target="https://www.jivi.com.ar/ficha.php?id=1592" TargetMode="External"/><Relationship Id="rId439" Type="http://schemas.openxmlformats.org/officeDocument/2006/relationships/hyperlink" Target="https://www.jivi.com.ar/ficha.php?id=1510" TargetMode="External"/><Relationship Id="rId590" Type="http://schemas.openxmlformats.org/officeDocument/2006/relationships/hyperlink" Target="https://www.jivi.com.ar/ficha.php?id=2067" TargetMode="External"/><Relationship Id="rId604" Type="http://schemas.openxmlformats.org/officeDocument/2006/relationships/hyperlink" Target="https://www.jivi.com.ar/ficha.php?id=2097" TargetMode="External"/><Relationship Id="rId646" Type="http://schemas.openxmlformats.org/officeDocument/2006/relationships/vmlDrawing" Target="../drawings/vmlDrawing1.vml"/><Relationship Id="rId201" Type="http://schemas.openxmlformats.org/officeDocument/2006/relationships/hyperlink" Target="https://www.jivi.com.ar/ficha.php?id=378" TargetMode="External"/><Relationship Id="rId243" Type="http://schemas.openxmlformats.org/officeDocument/2006/relationships/hyperlink" Target="https://www.jivi.com.ar/ficha.php?id=1110" TargetMode="External"/><Relationship Id="rId285" Type="http://schemas.openxmlformats.org/officeDocument/2006/relationships/hyperlink" Target="https://www.jivi.com.ar/ficha.php?id=1464" TargetMode="External"/><Relationship Id="rId450" Type="http://schemas.openxmlformats.org/officeDocument/2006/relationships/hyperlink" Target="https://www.jivi.com.ar/ficha.php?id=1722" TargetMode="External"/><Relationship Id="rId506" Type="http://schemas.openxmlformats.org/officeDocument/2006/relationships/hyperlink" Target="https://www.jivi.com.ar/ficha.php?id=1820" TargetMode="External"/><Relationship Id="rId38" Type="http://schemas.openxmlformats.org/officeDocument/2006/relationships/hyperlink" Target="https://www.jivi.com.ar/ficha.php?id=399" TargetMode="External"/><Relationship Id="rId103" Type="http://schemas.openxmlformats.org/officeDocument/2006/relationships/hyperlink" Target="https://www.jivi.com.ar/ficha.php?id=220" TargetMode="External"/><Relationship Id="rId310" Type="http://schemas.openxmlformats.org/officeDocument/2006/relationships/hyperlink" Target="https://www.jivi.com.ar/ficha.php?id=1502" TargetMode="External"/><Relationship Id="rId492" Type="http://schemas.openxmlformats.org/officeDocument/2006/relationships/hyperlink" Target="https://www.jivi.com.ar/ficha.php?id=1790" TargetMode="External"/><Relationship Id="rId548" Type="http://schemas.openxmlformats.org/officeDocument/2006/relationships/hyperlink" Target="https://www.jivi.com.ar/ficha.php?id=1258" TargetMode="External"/><Relationship Id="rId91" Type="http://schemas.openxmlformats.org/officeDocument/2006/relationships/hyperlink" Target="https://www.jivi.com.ar/ficha.php?id=622" TargetMode="External"/><Relationship Id="rId145" Type="http://schemas.openxmlformats.org/officeDocument/2006/relationships/hyperlink" Target="https://www.jivi.com.ar/ficha.php?id=647" TargetMode="External"/><Relationship Id="rId187" Type="http://schemas.openxmlformats.org/officeDocument/2006/relationships/hyperlink" Target="https://www.jivi.com.ar/ficha.php?id=1226" TargetMode="External"/><Relationship Id="rId352" Type="http://schemas.openxmlformats.org/officeDocument/2006/relationships/hyperlink" Target="https://www.jivi.com.ar/ficha.php?id=790" TargetMode="External"/><Relationship Id="rId394" Type="http://schemas.openxmlformats.org/officeDocument/2006/relationships/hyperlink" Target="https://www.jivi.com.ar/ficha.php?id=1424" TargetMode="External"/><Relationship Id="rId408" Type="http://schemas.openxmlformats.org/officeDocument/2006/relationships/hyperlink" Target="https://www.jivi.com.ar/ficha.php?id=1620" TargetMode="External"/><Relationship Id="rId615" Type="http://schemas.openxmlformats.org/officeDocument/2006/relationships/hyperlink" Target="https://www.jivi.com.ar/ficha.php?id=2178" TargetMode="External"/><Relationship Id="rId212" Type="http://schemas.openxmlformats.org/officeDocument/2006/relationships/hyperlink" Target="https://www.jivi.com.ar/ficha.php?id=1344" TargetMode="External"/><Relationship Id="rId254" Type="http://schemas.openxmlformats.org/officeDocument/2006/relationships/hyperlink" Target="https://www.jivi.com.ar/ficha.php?id=1353" TargetMode="External"/><Relationship Id="rId49" Type="http://schemas.openxmlformats.org/officeDocument/2006/relationships/hyperlink" Target="https://www.jivi.com.ar/ficha.php?id=407" TargetMode="External"/><Relationship Id="rId114" Type="http://schemas.openxmlformats.org/officeDocument/2006/relationships/hyperlink" Target="https://www.jivi.com.ar/ficha.php?id=809" TargetMode="External"/><Relationship Id="rId296" Type="http://schemas.openxmlformats.org/officeDocument/2006/relationships/hyperlink" Target="https://www.jivi.com.ar/ficha.php?id=1480" TargetMode="External"/><Relationship Id="rId461" Type="http://schemas.openxmlformats.org/officeDocument/2006/relationships/hyperlink" Target="https://www.jivi.com.ar/ficha.php?id=1740" TargetMode="External"/><Relationship Id="rId517" Type="http://schemas.openxmlformats.org/officeDocument/2006/relationships/hyperlink" Target="https://www.jivi.com.ar/ficha.php?id=666" TargetMode="External"/><Relationship Id="rId559" Type="http://schemas.openxmlformats.org/officeDocument/2006/relationships/hyperlink" Target="https://www.jivi.com.ar/ficha.php?id=2026" TargetMode="External"/><Relationship Id="rId60" Type="http://schemas.openxmlformats.org/officeDocument/2006/relationships/hyperlink" Target="https://www.jivi.com.ar/ficha.php?id=187" TargetMode="External"/><Relationship Id="rId156" Type="http://schemas.openxmlformats.org/officeDocument/2006/relationships/hyperlink" Target="https://www.jivi.com.ar/ficha.php?id=1104" TargetMode="External"/><Relationship Id="rId198" Type="http://schemas.openxmlformats.org/officeDocument/2006/relationships/hyperlink" Target="https://www.jivi.com.ar/ficha.php?id=1268" TargetMode="External"/><Relationship Id="rId321" Type="http://schemas.openxmlformats.org/officeDocument/2006/relationships/hyperlink" Target="https://www.jivi.com.ar/ficha.php?id=1523" TargetMode="External"/><Relationship Id="rId363" Type="http://schemas.openxmlformats.org/officeDocument/2006/relationships/hyperlink" Target="https://www.jivi.com.ar/ficha.php?id=1518" TargetMode="External"/><Relationship Id="rId419" Type="http://schemas.openxmlformats.org/officeDocument/2006/relationships/hyperlink" Target="https://www.jivi.com.ar/ficha.php?id=1637" TargetMode="External"/><Relationship Id="rId570" Type="http://schemas.openxmlformats.org/officeDocument/2006/relationships/hyperlink" Target="https://www.jivi.com.ar/ficha.php?id=1390" TargetMode="External"/><Relationship Id="rId626" Type="http://schemas.openxmlformats.org/officeDocument/2006/relationships/hyperlink" Target="https://www.jivi.com.ar/ficha.php?id=2229" TargetMode="External"/><Relationship Id="rId223" Type="http://schemas.openxmlformats.org/officeDocument/2006/relationships/hyperlink" Target="https://www.jivi.com.ar/ficha.php?id=1372" TargetMode="External"/><Relationship Id="rId430" Type="http://schemas.openxmlformats.org/officeDocument/2006/relationships/hyperlink" Target="https://www.jivi.com.ar/ficha.php?id=1687" TargetMode="External"/><Relationship Id="rId18" Type="http://schemas.openxmlformats.org/officeDocument/2006/relationships/hyperlink" Target="https://www.jivi.com.ar/ficha.php?id=98" TargetMode="External"/><Relationship Id="rId265" Type="http://schemas.openxmlformats.org/officeDocument/2006/relationships/hyperlink" Target="https://www.jivi.com.ar/ficha.php?id=1431" TargetMode="External"/><Relationship Id="rId472" Type="http://schemas.openxmlformats.org/officeDocument/2006/relationships/hyperlink" Target="https://www.jivi.com.ar/ficha.php?id=1750" TargetMode="External"/><Relationship Id="rId528" Type="http://schemas.openxmlformats.org/officeDocument/2006/relationships/hyperlink" Target="https://www.jivi.com.ar/ficha.php?id=1380" TargetMode="External"/><Relationship Id="rId125" Type="http://schemas.openxmlformats.org/officeDocument/2006/relationships/hyperlink" Target="https://www.jivi.com.ar/ficha.php?id=903" TargetMode="External"/><Relationship Id="rId167" Type="http://schemas.openxmlformats.org/officeDocument/2006/relationships/hyperlink" Target="https://www.jivi.com.ar/ficha.php?id=1172" TargetMode="External"/><Relationship Id="rId332" Type="http://schemas.openxmlformats.org/officeDocument/2006/relationships/hyperlink" Target="https://www.jivi.com.ar/ficha.php?id=1545" TargetMode="External"/><Relationship Id="rId374" Type="http://schemas.openxmlformats.org/officeDocument/2006/relationships/hyperlink" Target="https://www.jivi.com.ar/ficha.php?id=1581" TargetMode="External"/><Relationship Id="rId581" Type="http://schemas.openxmlformats.org/officeDocument/2006/relationships/hyperlink" Target="https://www.jivi.com.ar/ficha.php?id=2058" TargetMode="External"/><Relationship Id="rId71" Type="http://schemas.openxmlformats.org/officeDocument/2006/relationships/hyperlink" Target="https://www.jivi.com.ar/ficha.php?id=134" TargetMode="External"/><Relationship Id="rId234" Type="http://schemas.openxmlformats.org/officeDocument/2006/relationships/hyperlink" Target="https://www.jivi.com.ar/ficha.php?id=1343" TargetMode="External"/><Relationship Id="rId637" Type="http://schemas.openxmlformats.org/officeDocument/2006/relationships/hyperlink" Target="https://www.jivi.com.ar/ficha.php?id=2212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9" TargetMode="External"/><Relationship Id="rId276" Type="http://schemas.openxmlformats.org/officeDocument/2006/relationships/hyperlink" Target="https://www.jivi.com.ar/ficha.php?id=1335" TargetMode="External"/><Relationship Id="rId441" Type="http://schemas.openxmlformats.org/officeDocument/2006/relationships/hyperlink" Target="https://www.jivi.com.ar/ficha.php?id=1531" TargetMode="External"/><Relationship Id="rId483" Type="http://schemas.openxmlformats.org/officeDocument/2006/relationships/hyperlink" Target="https://www.jivi.com.ar/ficha.php?id=1736" TargetMode="External"/><Relationship Id="rId539" Type="http://schemas.openxmlformats.org/officeDocument/2006/relationships/hyperlink" Target="https://www.jivi.com.ar/ficha.php?id=1566" TargetMode="External"/><Relationship Id="rId40" Type="http://schemas.openxmlformats.org/officeDocument/2006/relationships/hyperlink" Target="https://www.jivi.com.ar/ficha.php?id=401" TargetMode="External"/><Relationship Id="rId136" Type="http://schemas.openxmlformats.org/officeDocument/2006/relationships/hyperlink" Target="https://www.jivi.com.ar/ficha.php?id=957" TargetMode="External"/><Relationship Id="rId178" Type="http://schemas.openxmlformats.org/officeDocument/2006/relationships/hyperlink" Target="https://www.jivi.com.ar/ficha.php?id=1209" TargetMode="External"/><Relationship Id="rId301" Type="http://schemas.openxmlformats.org/officeDocument/2006/relationships/hyperlink" Target="https://www.jivi.com.ar/ficha.php?id=1492" TargetMode="External"/><Relationship Id="rId343" Type="http://schemas.openxmlformats.org/officeDocument/2006/relationships/hyperlink" Target="https://www.jivi.com.ar/ficha.php?id=1557" TargetMode="External"/><Relationship Id="rId550" Type="http://schemas.openxmlformats.org/officeDocument/2006/relationships/hyperlink" Target="https://www.jivi.com.ar/ficha.php?id=1658" TargetMode="External"/><Relationship Id="rId82" Type="http://schemas.openxmlformats.org/officeDocument/2006/relationships/hyperlink" Target="https://www.jivi.com.ar/ficha.php?id=138" TargetMode="External"/><Relationship Id="rId203" Type="http://schemas.openxmlformats.org/officeDocument/2006/relationships/hyperlink" Target="https://www.jivi.com.ar/ficha.php?id=1302" TargetMode="External"/><Relationship Id="rId385" Type="http://schemas.openxmlformats.org/officeDocument/2006/relationships/hyperlink" Target="https://www.jivi.com.ar/ficha.php?id=1595" TargetMode="External"/><Relationship Id="rId592" Type="http://schemas.openxmlformats.org/officeDocument/2006/relationships/hyperlink" Target="https://www.jivi.com.ar/ficha.php?id=1295" TargetMode="External"/><Relationship Id="rId606" Type="http://schemas.openxmlformats.org/officeDocument/2006/relationships/hyperlink" Target="https://www.jivi.com.ar/ficha.php?id=1513" TargetMode="External"/><Relationship Id="rId245" Type="http://schemas.openxmlformats.org/officeDocument/2006/relationships/hyperlink" Target="https://www.jivi.com.ar/ficha.php?id=477" TargetMode="External"/><Relationship Id="rId287" Type="http://schemas.openxmlformats.org/officeDocument/2006/relationships/hyperlink" Target="https://www.jivi.com.ar/ficha.php?id=1467" TargetMode="External"/><Relationship Id="rId410" Type="http://schemas.openxmlformats.org/officeDocument/2006/relationships/hyperlink" Target="https://www.jivi.com.ar/ficha.php?id=1621" TargetMode="External"/><Relationship Id="rId452" Type="http://schemas.openxmlformats.org/officeDocument/2006/relationships/hyperlink" Target="https://www.jivi.com.ar/ficha.php?id=1725" TargetMode="External"/><Relationship Id="rId494" Type="http://schemas.openxmlformats.org/officeDocument/2006/relationships/hyperlink" Target="https://www.jivi.com.ar/ficha.php?id=1447" TargetMode="External"/><Relationship Id="rId508" Type="http://schemas.openxmlformats.org/officeDocument/2006/relationships/hyperlink" Target="https://www.jivi.com.ar/ficha.php?id=1533" TargetMode="External"/><Relationship Id="rId105" Type="http://schemas.openxmlformats.org/officeDocument/2006/relationships/hyperlink" Target="https://www.jivi.com.ar/ficha.php?id=398" TargetMode="External"/><Relationship Id="rId147" Type="http://schemas.openxmlformats.org/officeDocument/2006/relationships/hyperlink" Target="https://www.jivi.com.ar/ficha.php?id=364" TargetMode="External"/><Relationship Id="rId312" Type="http://schemas.openxmlformats.org/officeDocument/2006/relationships/hyperlink" Target="https://www.jivi.com.ar/ficha.php?id=1505" TargetMode="External"/><Relationship Id="rId354" Type="http://schemas.openxmlformats.org/officeDocument/2006/relationships/hyperlink" Target="https://www.jivi.com.ar/ficha.php?id=1409" TargetMode="External"/><Relationship Id="rId51" Type="http://schemas.openxmlformats.org/officeDocument/2006/relationships/hyperlink" Target="https://www.jivi.com.ar/ficha.php?id=409" TargetMode="External"/><Relationship Id="rId93" Type="http://schemas.openxmlformats.org/officeDocument/2006/relationships/hyperlink" Target="https://www.jivi.com.ar/ficha.php?id=246" TargetMode="External"/><Relationship Id="rId189" Type="http://schemas.openxmlformats.org/officeDocument/2006/relationships/hyperlink" Target="https://www.jivi.com.ar/ficha.php?id=1232" TargetMode="External"/><Relationship Id="rId396" Type="http://schemas.openxmlformats.org/officeDocument/2006/relationships/hyperlink" Target="https://www.jivi.com.ar/ficha.php?id=1459" TargetMode="External"/><Relationship Id="rId561" Type="http://schemas.openxmlformats.org/officeDocument/2006/relationships/hyperlink" Target="https://www.jivi.com.ar/ficha.php?id=444" TargetMode="External"/><Relationship Id="rId617" Type="http://schemas.openxmlformats.org/officeDocument/2006/relationships/hyperlink" Target="https://www.jivi.com.ar/ficha.php?id=2224" TargetMode="External"/><Relationship Id="rId214" Type="http://schemas.openxmlformats.org/officeDocument/2006/relationships/hyperlink" Target="https://www.jivi.com.ar/ficha.php?id=1346" TargetMode="External"/><Relationship Id="rId256" Type="http://schemas.openxmlformats.org/officeDocument/2006/relationships/hyperlink" Target="https://www.jivi.com.ar/ficha.php?id=1418" TargetMode="External"/><Relationship Id="rId298" Type="http://schemas.openxmlformats.org/officeDocument/2006/relationships/hyperlink" Target="https://www.jivi.com.ar/ficha.php?id=1483" TargetMode="External"/><Relationship Id="rId421" Type="http://schemas.openxmlformats.org/officeDocument/2006/relationships/hyperlink" Target="https://www.jivi.com.ar/ficha.php?id=1640" TargetMode="External"/><Relationship Id="rId463" Type="http://schemas.openxmlformats.org/officeDocument/2006/relationships/hyperlink" Target="https://www.jivi.com.ar/ficha.php?id=1575" TargetMode="External"/><Relationship Id="rId519" Type="http://schemas.openxmlformats.org/officeDocument/2006/relationships/hyperlink" Target="https://www.jivi.com.ar/ficha.php?id=1847" TargetMode="External"/><Relationship Id="rId116" Type="http://schemas.openxmlformats.org/officeDocument/2006/relationships/hyperlink" Target="https://www.jivi.com.ar/ficha.php?id=708" TargetMode="External"/><Relationship Id="rId158" Type="http://schemas.openxmlformats.org/officeDocument/2006/relationships/hyperlink" Target="https://www.jivi.com.ar/ficha.php?id=1116" TargetMode="External"/><Relationship Id="rId323" Type="http://schemas.openxmlformats.org/officeDocument/2006/relationships/hyperlink" Target="https://www.jivi.com.ar/ficha.php?id=1527" TargetMode="External"/><Relationship Id="rId530" Type="http://schemas.openxmlformats.org/officeDocument/2006/relationships/hyperlink" Target="https://www.jivi.com.ar/ficha.php?id=1371" TargetMode="External"/><Relationship Id="rId20" Type="http://schemas.openxmlformats.org/officeDocument/2006/relationships/hyperlink" Target="https://www.jivi.com.ar/ficha.php?id=100" TargetMode="External"/><Relationship Id="rId62" Type="http://schemas.openxmlformats.org/officeDocument/2006/relationships/hyperlink" Target="https://www.jivi.com.ar/ficha.php?id=55" TargetMode="External"/><Relationship Id="rId365" Type="http://schemas.openxmlformats.org/officeDocument/2006/relationships/hyperlink" Target="https://www.jivi.com.ar/ficha.php?id=1573" TargetMode="External"/><Relationship Id="rId572" Type="http://schemas.openxmlformats.org/officeDocument/2006/relationships/hyperlink" Target="https://www.jivi.com.ar/ficha.php?id=1278" TargetMode="External"/><Relationship Id="rId628" Type="http://schemas.openxmlformats.org/officeDocument/2006/relationships/hyperlink" Target="https://www.jivi.com.ar/ficha.php?id=2226" TargetMode="External"/><Relationship Id="rId225" Type="http://schemas.openxmlformats.org/officeDocument/2006/relationships/hyperlink" Target="https://www.jivi.com.ar/ficha.php?id=1382" TargetMode="External"/><Relationship Id="rId267" Type="http://schemas.openxmlformats.org/officeDocument/2006/relationships/hyperlink" Target="https://www.jivi.com.ar/ficha.php?id=1436" TargetMode="External"/><Relationship Id="rId432" Type="http://schemas.openxmlformats.org/officeDocument/2006/relationships/hyperlink" Target="https://www.jivi.com.ar/ficha.php?id=1690" TargetMode="External"/><Relationship Id="rId474" Type="http://schemas.openxmlformats.org/officeDocument/2006/relationships/hyperlink" Target="https://www.jivi.com.ar/ficha.php?id=1461" TargetMode="External"/><Relationship Id="rId127" Type="http://schemas.openxmlformats.org/officeDocument/2006/relationships/hyperlink" Target="https://www.jivi.com.ar/ficha.php?id=916" TargetMode="External"/><Relationship Id="rId31" Type="http://schemas.openxmlformats.org/officeDocument/2006/relationships/hyperlink" Target="https://www.jivi.com.ar/ficha.php?id=111" TargetMode="External"/><Relationship Id="rId73" Type="http://schemas.openxmlformats.org/officeDocument/2006/relationships/hyperlink" Target="https://www.jivi.com.ar/ficha.php?id=145" TargetMode="External"/><Relationship Id="rId169" Type="http://schemas.openxmlformats.org/officeDocument/2006/relationships/hyperlink" Target="https://www.jivi.com.ar/ficha.php?id=488" TargetMode="External"/><Relationship Id="rId334" Type="http://schemas.openxmlformats.org/officeDocument/2006/relationships/hyperlink" Target="https://www.jivi.com.ar/ficha.php?id=981" TargetMode="External"/><Relationship Id="rId376" Type="http://schemas.openxmlformats.org/officeDocument/2006/relationships/hyperlink" Target="https://www.jivi.com.ar/ficha.php?id=1584" TargetMode="External"/><Relationship Id="rId541" Type="http://schemas.openxmlformats.org/officeDocument/2006/relationships/hyperlink" Target="https://www.jivi.com.ar/ficha.php?id=1411" TargetMode="External"/><Relationship Id="rId583" Type="http://schemas.openxmlformats.org/officeDocument/2006/relationships/hyperlink" Target="https://www.jivi.com.ar/ficha.php?id=2059" TargetMode="External"/><Relationship Id="rId639" Type="http://schemas.openxmlformats.org/officeDocument/2006/relationships/hyperlink" Target="https://www.jivi.com.ar/ficha.php?id=2214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219" TargetMode="External"/><Relationship Id="rId236" Type="http://schemas.openxmlformats.org/officeDocument/2006/relationships/hyperlink" Target="https://www.jivi.com.ar/ficha.php?id=872" TargetMode="External"/><Relationship Id="rId278" Type="http://schemas.openxmlformats.org/officeDocument/2006/relationships/hyperlink" Target="https://www.jivi.com.ar/ficha.php?id=1354" TargetMode="External"/><Relationship Id="rId401" Type="http://schemas.openxmlformats.org/officeDocument/2006/relationships/hyperlink" Target="https://www.jivi.com.ar/ficha.php?id=1612" TargetMode="External"/><Relationship Id="rId443" Type="http://schemas.openxmlformats.org/officeDocument/2006/relationships/hyperlink" Target="https://www.jivi.com.ar/ficha.php?id=1704" TargetMode="External"/><Relationship Id="rId303" Type="http://schemas.openxmlformats.org/officeDocument/2006/relationships/hyperlink" Target="https://www.jivi.com.ar/ficha.php?id=1494" TargetMode="External"/><Relationship Id="rId485" Type="http://schemas.openxmlformats.org/officeDocument/2006/relationships/hyperlink" Target="https://www.jivi.com.ar/ficha.php?id=1781" TargetMode="External"/><Relationship Id="rId42" Type="http://schemas.openxmlformats.org/officeDocument/2006/relationships/hyperlink" Target="https://www.jivi.com.ar/ficha.php?id=403" TargetMode="External"/><Relationship Id="rId84" Type="http://schemas.openxmlformats.org/officeDocument/2006/relationships/hyperlink" Target="https://www.jivi.com.ar/ficha.php?id=166" TargetMode="External"/><Relationship Id="rId138" Type="http://schemas.openxmlformats.org/officeDocument/2006/relationships/hyperlink" Target="https://www.jivi.com.ar/ficha.php?id=973" TargetMode="External"/><Relationship Id="rId345" Type="http://schemas.openxmlformats.org/officeDocument/2006/relationships/hyperlink" Target="https://www.jivi.com.ar/ficha.php?id=518" TargetMode="External"/><Relationship Id="rId387" Type="http://schemas.openxmlformats.org/officeDocument/2006/relationships/hyperlink" Target="https://www.jivi.com.ar/ficha.php?id=1598" TargetMode="External"/><Relationship Id="rId510" Type="http://schemas.openxmlformats.org/officeDocument/2006/relationships/hyperlink" Target="https://www.jivi.com.ar/ficha.php?id=1825" TargetMode="External"/><Relationship Id="rId552" Type="http://schemas.openxmlformats.org/officeDocument/2006/relationships/hyperlink" Target="https://www.jivi.com.ar/ficha.php?id=2010" TargetMode="External"/><Relationship Id="rId594" Type="http://schemas.openxmlformats.org/officeDocument/2006/relationships/hyperlink" Target="https://www.jivi.com.ar/ficha.php?id=2070" TargetMode="External"/><Relationship Id="rId608" Type="http://schemas.openxmlformats.org/officeDocument/2006/relationships/hyperlink" Target="https://www.jivi.com.ar/ficha.php?id=2142" TargetMode="External"/><Relationship Id="rId191" Type="http://schemas.openxmlformats.org/officeDocument/2006/relationships/hyperlink" Target="https://www.jivi.com.ar/ficha.php?id=920" TargetMode="External"/><Relationship Id="rId205" Type="http://schemas.openxmlformats.org/officeDocument/2006/relationships/hyperlink" Target="https://www.jivi.com.ar/ficha.php?id=1305" TargetMode="External"/><Relationship Id="rId247" Type="http://schemas.openxmlformats.org/officeDocument/2006/relationships/hyperlink" Target="https://www.jivi.com.ar/ficha.php?id=1402" TargetMode="External"/><Relationship Id="rId412" Type="http://schemas.openxmlformats.org/officeDocument/2006/relationships/hyperlink" Target="https://www.jivi.com.ar/ficha.php?id=1635" TargetMode="External"/><Relationship Id="rId107" Type="http://schemas.openxmlformats.org/officeDocument/2006/relationships/hyperlink" Target="https://www.jivi.com.ar/ficha.php?id=566" TargetMode="External"/><Relationship Id="rId289" Type="http://schemas.openxmlformats.org/officeDocument/2006/relationships/hyperlink" Target="https://www.jivi.com.ar/ficha.php?id=1472" TargetMode="External"/><Relationship Id="rId454" Type="http://schemas.openxmlformats.org/officeDocument/2006/relationships/hyperlink" Target="https://www.jivi.com.ar/ficha.php?id=1728" TargetMode="External"/><Relationship Id="rId496" Type="http://schemas.openxmlformats.org/officeDocument/2006/relationships/hyperlink" Target="https://www.jivi.com.ar/ficha.php?id=1128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19" TargetMode="External"/><Relationship Id="rId149" Type="http://schemas.openxmlformats.org/officeDocument/2006/relationships/hyperlink" Target="https://www.jivi.com.ar/ficha.php?id=1079" TargetMode="External"/><Relationship Id="rId314" Type="http://schemas.openxmlformats.org/officeDocument/2006/relationships/hyperlink" Target="https://www.jivi.com.ar/ficha.php?id=1507" TargetMode="External"/><Relationship Id="rId356" Type="http://schemas.openxmlformats.org/officeDocument/2006/relationships/hyperlink" Target="https://www.jivi.com.ar/ficha.php?id=1564" TargetMode="External"/><Relationship Id="rId398" Type="http://schemas.openxmlformats.org/officeDocument/2006/relationships/hyperlink" Target="https://www.jivi.com.ar/ficha.php?id=1609" TargetMode="External"/><Relationship Id="rId521" Type="http://schemas.openxmlformats.org/officeDocument/2006/relationships/hyperlink" Target="https://www.jivi.com.ar/ficha.php?id=1520" TargetMode="External"/><Relationship Id="rId563" Type="http://schemas.openxmlformats.org/officeDocument/2006/relationships/hyperlink" Target="https://www.jivi.com.ar/ficha.php?id=2035" TargetMode="External"/><Relationship Id="rId619" Type="http://schemas.openxmlformats.org/officeDocument/2006/relationships/hyperlink" Target="https://www.jivi.com.ar/ficha.php?id=1454" TargetMode="External"/><Relationship Id="rId95" Type="http://schemas.openxmlformats.org/officeDocument/2006/relationships/hyperlink" Target="https://www.jivi.com.ar/ficha.php?id=728" TargetMode="External"/><Relationship Id="rId160" Type="http://schemas.openxmlformats.org/officeDocument/2006/relationships/hyperlink" Target="https://www.jivi.com.ar/ficha.php?id=1120" TargetMode="External"/><Relationship Id="rId216" Type="http://schemas.openxmlformats.org/officeDocument/2006/relationships/hyperlink" Target="https://www.jivi.com.ar/ficha.php?id=1348" TargetMode="External"/><Relationship Id="rId423" Type="http://schemas.openxmlformats.org/officeDocument/2006/relationships/hyperlink" Target="https://www.jivi.com.ar/ficha.php?id=1660" TargetMode="External"/><Relationship Id="rId258" Type="http://schemas.openxmlformats.org/officeDocument/2006/relationships/hyperlink" Target="https://www.jivi.com.ar/ficha.php?id=1420" TargetMode="External"/><Relationship Id="rId465" Type="http://schemas.openxmlformats.org/officeDocument/2006/relationships/hyperlink" Target="https://www.jivi.com.ar/ficha.php?id=1744" TargetMode="External"/><Relationship Id="rId630" Type="http://schemas.openxmlformats.org/officeDocument/2006/relationships/hyperlink" Target="https://www.jivi.com.ar/ficha.php?id=2205" TargetMode="External"/><Relationship Id="rId22" Type="http://schemas.openxmlformats.org/officeDocument/2006/relationships/hyperlink" Target="https://www.jivi.com.ar/ficha.php?id=102" TargetMode="External"/><Relationship Id="rId64" Type="http://schemas.openxmlformats.org/officeDocument/2006/relationships/hyperlink" Target="https://www.jivi.com.ar/ficha.php?id=284" TargetMode="External"/><Relationship Id="rId118" Type="http://schemas.openxmlformats.org/officeDocument/2006/relationships/hyperlink" Target="https://www.jivi.com.ar/ficha.php?id=840" TargetMode="External"/><Relationship Id="rId325" Type="http://schemas.openxmlformats.org/officeDocument/2006/relationships/hyperlink" Target="https://www.jivi.com.ar/ficha.php?id=1534" TargetMode="External"/><Relationship Id="rId367" Type="http://schemas.openxmlformats.org/officeDocument/2006/relationships/hyperlink" Target="https://www.jivi.com.ar/ficha.php?id=1271" TargetMode="External"/><Relationship Id="rId532" Type="http://schemas.openxmlformats.org/officeDocument/2006/relationships/hyperlink" Target="https://www.jivi.com.ar/ficha.php?id=1579" TargetMode="External"/><Relationship Id="rId574" Type="http://schemas.openxmlformats.org/officeDocument/2006/relationships/hyperlink" Target="https://www.jivi.com.ar/ficha.php?id=1410" TargetMode="External"/><Relationship Id="rId171" Type="http://schemas.openxmlformats.org/officeDocument/2006/relationships/hyperlink" Target="https://www.jivi.com.ar/ficha.php?id=915" TargetMode="External"/><Relationship Id="rId227" Type="http://schemas.openxmlformats.org/officeDocument/2006/relationships/hyperlink" Target="https://www.jivi.com.ar/ficha.php?id=1384" TargetMode="External"/><Relationship Id="rId269" Type="http://schemas.openxmlformats.org/officeDocument/2006/relationships/hyperlink" Target="https://www.jivi.com.ar/ficha.php?id=1702" TargetMode="External"/><Relationship Id="rId434" Type="http://schemas.openxmlformats.org/officeDocument/2006/relationships/hyperlink" Target="https://www.jivi.com.ar/ficha.php?id=1438" TargetMode="External"/><Relationship Id="rId476" Type="http://schemas.openxmlformats.org/officeDocument/2006/relationships/hyperlink" Target="https://www.jivi.com.ar/ficha.php?id=1310" TargetMode="External"/><Relationship Id="rId641" Type="http://schemas.openxmlformats.org/officeDocument/2006/relationships/hyperlink" Target="https://www.jivi.com.ar/ficha.php?id=2216" TargetMode="External"/><Relationship Id="rId33" Type="http://schemas.openxmlformats.org/officeDocument/2006/relationships/hyperlink" Target="https://www.jivi.com.ar/ficha.php?id=112" TargetMode="External"/><Relationship Id="rId129" Type="http://schemas.openxmlformats.org/officeDocument/2006/relationships/hyperlink" Target="https://www.jivi.com.ar/ficha.php?id=926" TargetMode="External"/><Relationship Id="rId280" Type="http://schemas.openxmlformats.org/officeDocument/2006/relationships/hyperlink" Target="https://www.jivi.com.ar/ficha.php?id=1450" TargetMode="External"/><Relationship Id="rId336" Type="http://schemas.openxmlformats.org/officeDocument/2006/relationships/hyperlink" Target="https://www.jivi.com.ar/ficha.php?id=1549" TargetMode="External"/><Relationship Id="rId501" Type="http://schemas.openxmlformats.org/officeDocument/2006/relationships/hyperlink" Target="https://www.jivi.com.ar/ficha.php?id=1070" TargetMode="External"/><Relationship Id="rId543" Type="http://schemas.openxmlformats.org/officeDocument/2006/relationships/hyperlink" Target="https://www.jivi.com.ar/ficha.php?id=1601" TargetMode="External"/><Relationship Id="rId75" Type="http://schemas.openxmlformats.org/officeDocument/2006/relationships/hyperlink" Target="https://www.jivi.com.ar/ficha.php?id=19" TargetMode="External"/><Relationship Id="rId140" Type="http://schemas.openxmlformats.org/officeDocument/2006/relationships/hyperlink" Target="https://www.jivi.com.ar/ficha.php?id=1006" TargetMode="External"/><Relationship Id="rId182" Type="http://schemas.openxmlformats.org/officeDocument/2006/relationships/hyperlink" Target="https://www.jivi.com.ar/ficha.php?id=1222" TargetMode="External"/><Relationship Id="rId378" Type="http://schemas.openxmlformats.org/officeDocument/2006/relationships/hyperlink" Target="https://www.jivi.com.ar/ficha.php?id=1221" TargetMode="External"/><Relationship Id="rId403" Type="http://schemas.openxmlformats.org/officeDocument/2006/relationships/hyperlink" Target="https://www.jivi.com.ar/ficha.php?id=1452" TargetMode="External"/><Relationship Id="rId585" Type="http://schemas.openxmlformats.org/officeDocument/2006/relationships/hyperlink" Target="https://www.jivi.com.ar/ficha.php?id=2061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262" TargetMode="External"/><Relationship Id="rId445" Type="http://schemas.openxmlformats.org/officeDocument/2006/relationships/hyperlink" Target="https://www.jivi.com.ar/ficha.php?id=1457" TargetMode="External"/><Relationship Id="rId487" Type="http://schemas.openxmlformats.org/officeDocument/2006/relationships/hyperlink" Target="https://www.jivi.com.ar/ficha.php?id=1340" TargetMode="External"/><Relationship Id="rId610" Type="http://schemas.openxmlformats.org/officeDocument/2006/relationships/hyperlink" Target="https://www.jivi.com.ar/ficha.php?id=2146" TargetMode="External"/><Relationship Id="rId291" Type="http://schemas.openxmlformats.org/officeDocument/2006/relationships/hyperlink" Target="https://www.jivi.com.ar/ficha.php?id=995" TargetMode="External"/><Relationship Id="rId305" Type="http://schemas.openxmlformats.org/officeDocument/2006/relationships/hyperlink" Target="https://www.jivi.com.ar/ficha.php?id=1496" TargetMode="External"/><Relationship Id="rId347" Type="http://schemas.openxmlformats.org/officeDocument/2006/relationships/hyperlink" Target="https://www.jivi.com.ar/ficha.php?id=26" TargetMode="External"/><Relationship Id="rId512" Type="http://schemas.openxmlformats.org/officeDocument/2006/relationships/hyperlink" Target="https://www.jivi.com.ar/ficha.php?id=149" TargetMode="External"/><Relationship Id="rId44" Type="http://schemas.openxmlformats.org/officeDocument/2006/relationships/hyperlink" Target="https://www.jivi.com.ar/ficha.php?id=713" TargetMode="External"/><Relationship Id="rId86" Type="http://schemas.openxmlformats.org/officeDocument/2006/relationships/hyperlink" Target="https://www.jivi.com.ar/ficha.php?id=168" TargetMode="External"/><Relationship Id="rId151" Type="http://schemas.openxmlformats.org/officeDocument/2006/relationships/hyperlink" Target="https://www.jivi.com.ar/ficha.php?id=1094" TargetMode="External"/><Relationship Id="rId389" Type="http://schemas.openxmlformats.org/officeDocument/2006/relationships/hyperlink" Target="https://www.jivi.com.ar/ficha.php?id=1602" TargetMode="External"/><Relationship Id="rId554" Type="http://schemas.openxmlformats.org/officeDocument/2006/relationships/hyperlink" Target="https://www.jivi.com.ar/ficha.php?id=2012" TargetMode="External"/><Relationship Id="rId596" Type="http://schemas.openxmlformats.org/officeDocument/2006/relationships/hyperlink" Target="https://www.jivi.com.ar/ficha.php?id=1266" TargetMode="External"/><Relationship Id="rId193" Type="http://schemas.openxmlformats.org/officeDocument/2006/relationships/hyperlink" Target="https://www.jivi.com.ar/ficha.php?id=1248" TargetMode="External"/><Relationship Id="rId207" Type="http://schemas.openxmlformats.org/officeDocument/2006/relationships/hyperlink" Target="https://www.jivi.com.ar/ficha.php?id=1287" TargetMode="External"/><Relationship Id="rId249" Type="http://schemas.openxmlformats.org/officeDocument/2006/relationships/hyperlink" Target="https://www.jivi.com.ar/ficha.php?id=1405" TargetMode="External"/><Relationship Id="rId414" Type="http://schemas.openxmlformats.org/officeDocument/2006/relationships/hyperlink" Target="https://www.jivi.com.ar/ficha.php?id=1643" TargetMode="External"/><Relationship Id="rId456" Type="http://schemas.openxmlformats.org/officeDocument/2006/relationships/hyperlink" Target="https://www.jivi.com.ar/ficha.php?id=1730" TargetMode="External"/><Relationship Id="rId498" Type="http://schemas.openxmlformats.org/officeDocument/2006/relationships/hyperlink" Target="https://www.jivi.com.ar/ficha.php?id=1804" TargetMode="External"/><Relationship Id="rId621" Type="http://schemas.openxmlformats.org/officeDocument/2006/relationships/hyperlink" Target="https://www.jivi.com.ar/ficha.php?id=2230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214" TargetMode="External"/><Relationship Id="rId260" Type="http://schemas.openxmlformats.org/officeDocument/2006/relationships/hyperlink" Target="https://www.jivi.com.ar/ficha.php?id=1422" TargetMode="External"/><Relationship Id="rId316" Type="http://schemas.openxmlformats.org/officeDocument/2006/relationships/hyperlink" Target="https://www.jivi.com.ar/ficha.php?id=1509" TargetMode="External"/><Relationship Id="rId523" Type="http://schemas.openxmlformats.org/officeDocument/2006/relationships/hyperlink" Target="https://www.jivi.com.ar/ficha.php?id=1443" TargetMode="External"/><Relationship Id="rId55" Type="http://schemas.openxmlformats.org/officeDocument/2006/relationships/hyperlink" Target="https://www.jivi.com.ar/ficha.php?id=121" TargetMode="External"/><Relationship Id="rId97" Type="http://schemas.openxmlformats.org/officeDocument/2006/relationships/hyperlink" Target="https://www.jivi.com.ar/ficha.php?id=181" TargetMode="External"/><Relationship Id="rId120" Type="http://schemas.openxmlformats.org/officeDocument/2006/relationships/hyperlink" Target="https://www.jivi.com.ar/ficha.php?id=848" TargetMode="External"/><Relationship Id="rId358" Type="http://schemas.openxmlformats.org/officeDocument/2006/relationships/hyperlink" Target="https://www.jivi.com.ar/ficha.php?id=1567" TargetMode="External"/><Relationship Id="rId565" Type="http://schemas.openxmlformats.org/officeDocument/2006/relationships/hyperlink" Target="https://www.jivi.com.ar/ficha.php?id=1662" TargetMode="External"/><Relationship Id="rId162" Type="http://schemas.openxmlformats.org/officeDocument/2006/relationships/hyperlink" Target="https://www.jivi.com.ar/ficha.php?id=1157" TargetMode="External"/><Relationship Id="rId218" Type="http://schemas.openxmlformats.org/officeDocument/2006/relationships/hyperlink" Target="https://www.jivi.com.ar/ficha.php?id=1360" TargetMode="External"/><Relationship Id="rId425" Type="http://schemas.openxmlformats.org/officeDocument/2006/relationships/hyperlink" Target="https://www.jivi.com.ar/ficha.php?id=1664" TargetMode="External"/><Relationship Id="rId467" Type="http://schemas.openxmlformats.org/officeDocument/2006/relationships/hyperlink" Target="https://www.jivi.com.ar/ficha.php?id=1746" TargetMode="External"/><Relationship Id="rId632" Type="http://schemas.openxmlformats.org/officeDocument/2006/relationships/hyperlink" Target="https://www.jivi.com.ar/ficha.php?id=2207" TargetMode="External"/><Relationship Id="rId271" Type="http://schemas.openxmlformats.org/officeDocument/2006/relationships/hyperlink" Target="https://www.jivi.com.ar/ficha.php?id=1442" TargetMode="External"/><Relationship Id="rId24" Type="http://schemas.openxmlformats.org/officeDocument/2006/relationships/hyperlink" Target="https://www.jivi.com.ar/ficha.php?id=104" TargetMode="External"/><Relationship Id="rId66" Type="http://schemas.openxmlformats.org/officeDocument/2006/relationships/hyperlink" Target="https://www.jivi.com.ar/ficha.php?id=380" TargetMode="External"/><Relationship Id="rId131" Type="http://schemas.openxmlformats.org/officeDocument/2006/relationships/hyperlink" Target="https://www.jivi.com.ar/ficha.php?id=247" TargetMode="External"/><Relationship Id="rId327" Type="http://schemas.openxmlformats.org/officeDocument/2006/relationships/hyperlink" Target="https://www.jivi.com.ar/ficha.php?id=1536" TargetMode="External"/><Relationship Id="rId369" Type="http://schemas.openxmlformats.org/officeDocument/2006/relationships/hyperlink" Target="https://www.jivi.com.ar/ficha.php?id=1139" TargetMode="External"/><Relationship Id="rId534" Type="http://schemas.openxmlformats.org/officeDocument/2006/relationships/hyperlink" Target="https://www.jivi.com.ar/ficha.php?id=1911" TargetMode="External"/><Relationship Id="rId576" Type="http://schemas.openxmlformats.org/officeDocument/2006/relationships/hyperlink" Target="https://www.jivi.com.ar/ficha.php?id=1433" TargetMode="External"/><Relationship Id="rId173" Type="http://schemas.openxmlformats.org/officeDocument/2006/relationships/hyperlink" Target="https://www.jivi.com.ar/ficha.php?id=1183" TargetMode="External"/><Relationship Id="rId229" Type="http://schemas.openxmlformats.org/officeDocument/2006/relationships/hyperlink" Target="https://www.jivi.com.ar/ficha.php?id=1385" TargetMode="External"/><Relationship Id="rId380" Type="http://schemas.openxmlformats.org/officeDocument/2006/relationships/hyperlink" Target="https://www.jivi.com.ar/ficha.php?id=1589" TargetMode="External"/><Relationship Id="rId436" Type="http://schemas.openxmlformats.org/officeDocument/2006/relationships/hyperlink" Target="https://www.jivi.com.ar/ficha.php?id=1697" TargetMode="External"/><Relationship Id="rId601" Type="http://schemas.openxmlformats.org/officeDocument/2006/relationships/hyperlink" Target="https://www.jivi.com.ar/ficha.php?id=1512" TargetMode="External"/><Relationship Id="rId643" Type="http://schemas.openxmlformats.org/officeDocument/2006/relationships/hyperlink" Target="https://www.jivi.com.ar/ficha.php?id=2234" TargetMode="External"/><Relationship Id="rId240" Type="http://schemas.openxmlformats.org/officeDocument/2006/relationships/hyperlink" Target="https://www.jivi.com.ar/ficha.php?id=1401" TargetMode="External"/><Relationship Id="rId478" Type="http://schemas.openxmlformats.org/officeDocument/2006/relationships/hyperlink" Target="https://www.jivi.com.ar/ficha.php?id=76" TargetMode="External"/><Relationship Id="rId35" Type="http://schemas.openxmlformats.org/officeDocument/2006/relationships/hyperlink" Target="https://www.jivi.com.ar/ficha.php?id=115" TargetMode="External"/><Relationship Id="rId77" Type="http://schemas.openxmlformats.org/officeDocument/2006/relationships/hyperlink" Target="https://www.jivi.com.ar/ficha.php?id=392" TargetMode="External"/><Relationship Id="rId100" Type="http://schemas.openxmlformats.org/officeDocument/2006/relationships/hyperlink" Target="http://whttps/www.jivi.com.ar/ficha.php?id=253" TargetMode="External"/><Relationship Id="rId282" Type="http://schemas.openxmlformats.org/officeDocument/2006/relationships/hyperlink" Target="https://www.jivi.com.ar/ficha.php?id=1323" TargetMode="External"/><Relationship Id="rId338" Type="http://schemas.openxmlformats.org/officeDocument/2006/relationships/hyperlink" Target="https://www.jivi.com.ar/ficha.php?id=1552" TargetMode="External"/><Relationship Id="rId503" Type="http://schemas.openxmlformats.org/officeDocument/2006/relationships/hyperlink" Target="https://www.jivi.com.ar/ficha.php?id=1597" TargetMode="External"/><Relationship Id="rId545" Type="http://schemas.openxmlformats.org/officeDocument/2006/relationships/hyperlink" Target="https://www.jivi.com.ar/ficha.php?id=1245" TargetMode="External"/><Relationship Id="rId587" Type="http://schemas.openxmlformats.org/officeDocument/2006/relationships/hyperlink" Target="https://www.jivi.com.ar/ficha.php?id=1369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251" TargetMode="External"/><Relationship Id="rId184" Type="http://schemas.openxmlformats.org/officeDocument/2006/relationships/hyperlink" Target="https://www.jivi.com.ar/ficha.php?id=904" TargetMode="External"/><Relationship Id="rId391" Type="http://schemas.openxmlformats.org/officeDocument/2006/relationships/hyperlink" Target="https://www.jivi.com.ar/ficha.php?id=1701" TargetMode="External"/><Relationship Id="rId405" Type="http://schemas.openxmlformats.org/officeDocument/2006/relationships/hyperlink" Target="https://www.jivi.com.ar/ficha.php?id=1617" TargetMode="External"/><Relationship Id="rId447" Type="http://schemas.openxmlformats.org/officeDocument/2006/relationships/hyperlink" Target="https://www.jivi.com.ar/ficha.php?id=1707" TargetMode="External"/><Relationship Id="rId612" Type="http://schemas.openxmlformats.org/officeDocument/2006/relationships/hyperlink" Target="https://www.jivi.com.ar/ficha.php?id=2169" TargetMode="External"/><Relationship Id="rId251" Type="http://schemas.openxmlformats.org/officeDocument/2006/relationships/hyperlink" Target="https://www.jivi.com.ar/ficha.php?id=1415" TargetMode="External"/><Relationship Id="rId489" Type="http://schemas.openxmlformats.org/officeDocument/2006/relationships/hyperlink" Target="https://www.jivi.com.ar/ficha.php?id=1487" TargetMode="External"/><Relationship Id="rId46" Type="http://schemas.openxmlformats.org/officeDocument/2006/relationships/hyperlink" Target="https://www.jivi.com.ar/ficha.php?id=404" TargetMode="External"/><Relationship Id="rId293" Type="http://schemas.openxmlformats.org/officeDocument/2006/relationships/hyperlink" Target="https://www.jivi.com.ar/ficha.php?id=835" TargetMode="External"/><Relationship Id="rId307" Type="http://schemas.openxmlformats.org/officeDocument/2006/relationships/hyperlink" Target="httphttps://www.jivi.com.ar/ficha.php?id=1498" TargetMode="External"/><Relationship Id="rId349" Type="http://schemas.openxmlformats.org/officeDocument/2006/relationships/hyperlink" Target="https://www.jivi.com.ar/ficha.php?id=1562" TargetMode="External"/><Relationship Id="rId514" Type="http://schemas.openxmlformats.org/officeDocument/2006/relationships/hyperlink" Target="https://www.jivi.com.ar/ficha.php?id=1835" TargetMode="External"/><Relationship Id="rId556" Type="http://schemas.openxmlformats.org/officeDocument/2006/relationships/hyperlink" Target="https://www.jivi.com.ar/ficha.php?id=2017" TargetMode="External"/><Relationship Id="rId88" Type="http://schemas.openxmlformats.org/officeDocument/2006/relationships/hyperlink" Target="https://www.jivi.com.ar/ficha.php?id=148" TargetMode="External"/><Relationship Id="rId111" Type="http://schemas.openxmlformats.org/officeDocument/2006/relationships/hyperlink" Target="https://www.jivi.com.ar/ficha.php?id=234" TargetMode="External"/><Relationship Id="rId153" Type="http://schemas.openxmlformats.org/officeDocument/2006/relationships/hyperlink" Target="https://www.jivi.com.ar/ficha.php?id=1097" TargetMode="External"/><Relationship Id="rId195" Type="http://schemas.openxmlformats.org/officeDocument/2006/relationships/hyperlink" Target="https://www.jivi.com.ar/ficha.php?id=1124" TargetMode="External"/><Relationship Id="rId209" Type="http://schemas.openxmlformats.org/officeDocument/2006/relationships/hyperlink" Target="https://www.jivi.com.ar/ficha.php?id=1316" TargetMode="External"/><Relationship Id="rId360" Type="http://schemas.openxmlformats.org/officeDocument/2006/relationships/hyperlink" Target="https://www.jivi.com.ar/ficha.php?id=1569" TargetMode="External"/><Relationship Id="rId416" Type="http://schemas.openxmlformats.org/officeDocument/2006/relationships/hyperlink" Target="https://www.jivi.com.ar/ficha.php?id=1644" TargetMode="External"/><Relationship Id="rId598" Type="http://schemas.openxmlformats.org/officeDocument/2006/relationships/hyperlink" Target="https://www.jivi.com.ar/ficha.php?id=2085" TargetMode="External"/><Relationship Id="rId220" Type="http://schemas.openxmlformats.org/officeDocument/2006/relationships/hyperlink" Target="https://www.jivi.com.ar/ficha.php?id=1366" TargetMode="External"/><Relationship Id="rId458" Type="http://schemas.openxmlformats.org/officeDocument/2006/relationships/hyperlink" Target="https://www.jivi.com.ar/ficha.php?id=1732" TargetMode="External"/><Relationship Id="rId623" Type="http://schemas.openxmlformats.org/officeDocument/2006/relationships/hyperlink" Target="https://www.jivi.com.ar/ficha.php?id=2227" TargetMode="External"/><Relationship Id="rId15" Type="http://schemas.openxmlformats.org/officeDocument/2006/relationships/hyperlink" Target="https://www.jivi.com.ar/ficha.php?id=93" TargetMode="External"/><Relationship Id="rId57" Type="http://schemas.openxmlformats.org/officeDocument/2006/relationships/hyperlink" Target="https://www.jivi.com.ar/ficha.php?id=123" TargetMode="External"/><Relationship Id="rId262" Type="http://schemas.openxmlformats.org/officeDocument/2006/relationships/hyperlink" Target="https://www.jivi.com.ar/ficha.php?id=1425" TargetMode="External"/><Relationship Id="rId318" Type="http://schemas.openxmlformats.org/officeDocument/2006/relationships/hyperlink" Target="https://www.jivi.com.ar/ficha.php?id=1515" TargetMode="External"/><Relationship Id="rId525" Type="http://schemas.openxmlformats.org/officeDocument/2006/relationships/hyperlink" Target="https://www.jivi.com.ar/ficha.php?id=1733" TargetMode="External"/><Relationship Id="rId567" Type="http://schemas.openxmlformats.org/officeDocument/2006/relationships/hyperlink" Target="https://www.jivi.com.ar/ficha.php?id=248" TargetMode="External"/><Relationship Id="rId99" Type="http://schemas.openxmlformats.org/officeDocument/2006/relationships/hyperlink" Target="https://www.jivi.com.ar/ficha.php?id=473" TargetMode="External"/><Relationship Id="rId122" Type="http://schemas.openxmlformats.org/officeDocument/2006/relationships/hyperlink" Target="https://www.jivi.com.ar/ficha.php?id=862" TargetMode="External"/><Relationship Id="rId164" Type="http://schemas.openxmlformats.org/officeDocument/2006/relationships/hyperlink" Target="hhttps://www.jivi.com.ar/ficha.php?id=1155" TargetMode="External"/><Relationship Id="rId371" Type="http://schemas.openxmlformats.org/officeDocument/2006/relationships/hyperlink" Target="https://www.jivi.com.ar/ficha.php?id=1574" TargetMode="External"/><Relationship Id="rId427" Type="http://schemas.openxmlformats.org/officeDocument/2006/relationships/hyperlink" Target="https://www.jivi.com.ar/ficha.php?id=1667" TargetMode="External"/><Relationship Id="rId469" Type="http://schemas.openxmlformats.org/officeDocument/2006/relationships/hyperlink" Target="https://www.jivi.com.ar/ficha.php?id=1748" TargetMode="External"/><Relationship Id="rId634" Type="http://schemas.openxmlformats.org/officeDocument/2006/relationships/hyperlink" Target="https://www.jivi.com.ar/ficha.php?id=2209" TargetMode="External"/><Relationship Id="rId26" Type="http://schemas.openxmlformats.org/officeDocument/2006/relationships/hyperlink" Target="https://www.jivi.com.ar/ficha.php?id=106" TargetMode="External"/><Relationship Id="rId231" Type="http://schemas.openxmlformats.org/officeDocument/2006/relationships/hyperlink" Target="https://www.jivi.com.ar/ficha.php?id=1389" TargetMode="External"/><Relationship Id="rId273" Type="http://schemas.openxmlformats.org/officeDocument/2006/relationships/hyperlink" Target="https://www.jivi.com.ar/ficha.php?id=216" TargetMode="External"/><Relationship Id="rId329" Type="http://schemas.openxmlformats.org/officeDocument/2006/relationships/hyperlink" Target="https://www.jivi.com.ar/ficha.php?id=1540" TargetMode="External"/><Relationship Id="rId480" Type="http://schemas.openxmlformats.org/officeDocument/2006/relationships/hyperlink" Target="https://www.jivi.com.ar/ficha.php?id=2202" TargetMode="External"/><Relationship Id="rId536" Type="http://schemas.openxmlformats.org/officeDocument/2006/relationships/hyperlink" Target="https://www.jivi.com.ar/ficha.php?id=1912" TargetMode="External"/><Relationship Id="rId68" Type="http://schemas.openxmlformats.org/officeDocument/2006/relationships/hyperlink" Target="https://www.jivi.com.ar/ficha.php?id=501" TargetMode="External"/><Relationship Id="rId133" Type="http://schemas.openxmlformats.org/officeDocument/2006/relationships/hyperlink" Target="https://www.jivi.com.ar/ficha.php?id=954" TargetMode="External"/><Relationship Id="rId175" Type="http://schemas.openxmlformats.org/officeDocument/2006/relationships/hyperlink" Target="https://www.jivi.com.ar/ficha.php?id=349" TargetMode="External"/><Relationship Id="rId340" Type="http://schemas.openxmlformats.org/officeDocument/2006/relationships/hyperlink" Target="https://www.jivi.com.ar/ficha.php?id=1553" TargetMode="External"/><Relationship Id="rId578" Type="http://schemas.openxmlformats.org/officeDocument/2006/relationships/hyperlink" Target="https://www.jivi.com.ar/ficha.php?id=2051" TargetMode="External"/><Relationship Id="rId200" Type="http://schemas.openxmlformats.org/officeDocument/2006/relationships/hyperlink" Target="https://www.jivi.com.ar/ficha.php?id=991" TargetMode="External"/><Relationship Id="rId382" Type="http://schemas.openxmlformats.org/officeDocument/2006/relationships/hyperlink" Target="https://www.jivi.com.ar/ficha.php?id=1591" TargetMode="External"/><Relationship Id="rId438" Type="http://schemas.openxmlformats.org/officeDocument/2006/relationships/hyperlink" Target="https://www.jivi.com.ar/ficha.php?id=1699" TargetMode="External"/><Relationship Id="rId603" Type="http://schemas.openxmlformats.org/officeDocument/2006/relationships/hyperlink" Target="https://www.jivi.com.ar/ficha.php?id=1299" TargetMode="External"/><Relationship Id="rId645" Type="http://schemas.openxmlformats.org/officeDocument/2006/relationships/drawing" Target="../drawings/drawing1.xml"/><Relationship Id="rId242" Type="http://schemas.openxmlformats.org/officeDocument/2006/relationships/hyperlink" Target="https://www.jivi.com.ar/ficha.php?id=1230" TargetMode="External"/><Relationship Id="rId284" Type="http://schemas.openxmlformats.org/officeDocument/2006/relationships/hyperlink" Target="https://www.jivi.com.ar/ficha.php?id=1463" TargetMode="External"/><Relationship Id="rId491" Type="http://schemas.openxmlformats.org/officeDocument/2006/relationships/hyperlink" Target="https://www.jivi.com.ar/ficha.php?id=1186" TargetMode="External"/><Relationship Id="rId505" Type="http://schemas.openxmlformats.org/officeDocument/2006/relationships/hyperlink" Target="https://www.jivi.com.ar/ficha.php?id=1774" TargetMode="External"/><Relationship Id="rId37" Type="http://schemas.openxmlformats.org/officeDocument/2006/relationships/hyperlink" Target="https://www.jivi.com.ar/ficha.php?id=117" TargetMode="External"/><Relationship Id="rId79" Type="http://schemas.openxmlformats.org/officeDocument/2006/relationships/hyperlink" Target="https://www.jivi.com.ar/ficha.php?id=135" TargetMode="External"/><Relationship Id="rId102" Type="http://schemas.openxmlformats.org/officeDocument/2006/relationships/hyperlink" Target="https://www.jivi.com.ar/ficha.php?id=23" TargetMode="External"/><Relationship Id="rId144" Type="http://schemas.openxmlformats.org/officeDocument/2006/relationships/hyperlink" Target="https://www.jivi.com.ar/ficha.php?id=1025" TargetMode="External"/><Relationship Id="rId547" Type="http://schemas.openxmlformats.org/officeDocument/2006/relationships/hyperlink" Target="https://www.jivi.com.ar/ficha.php?id=2007" TargetMode="External"/><Relationship Id="rId589" Type="http://schemas.openxmlformats.org/officeDocument/2006/relationships/hyperlink" Target="https://www.jivi.com.ar/ficha.php?id=2066" TargetMode="External"/><Relationship Id="rId90" Type="http://schemas.openxmlformats.org/officeDocument/2006/relationships/hyperlink" Target="https://www.jivi.com.ar/ficha.php?id=621" TargetMode="External"/><Relationship Id="rId186" Type="http://schemas.openxmlformats.org/officeDocument/2006/relationships/hyperlink" Target="https://www.jivi.com.ar/ficha.php?id=1225" TargetMode="External"/><Relationship Id="rId351" Type="http://schemas.openxmlformats.org/officeDocument/2006/relationships/hyperlink" Target="https://www.jivi.com.ar/ficha.php?id=1414" TargetMode="External"/><Relationship Id="rId393" Type="http://schemas.openxmlformats.org/officeDocument/2006/relationships/hyperlink" Target="https://www.jivi.com.ar/ficha.php?id=1606" TargetMode="External"/><Relationship Id="rId407" Type="http://schemas.openxmlformats.org/officeDocument/2006/relationships/hyperlink" Target="https://www.jivi.com.ar/ficha.php?id=1619" TargetMode="External"/><Relationship Id="rId449" Type="http://schemas.openxmlformats.org/officeDocument/2006/relationships/hyperlink" Target="https://www.jivi.com.ar/ficha.php?id=1721" TargetMode="External"/><Relationship Id="rId614" Type="http://schemas.openxmlformats.org/officeDocument/2006/relationships/hyperlink" Target="https://www.jivi.com.ar/ficha.php?id=2171" TargetMode="External"/><Relationship Id="rId211" Type="http://schemas.openxmlformats.org/officeDocument/2006/relationships/hyperlink" Target="https://www.jivi.com.ar/ficha.php?id=1336" TargetMode="External"/><Relationship Id="rId253" Type="http://schemas.openxmlformats.org/officeDocument/2006/relationships/hyperlink" Target="https://www.jivi.com.ar/ficha.php?id=1084" TargetMode="External"/><Relationship Id="rId295" Type="http://schemas.openxmlformats.org/officeDocument/2006/relationships/hyperlink" Target="https://www.jivi.com.ar/ficha.php?id=1479" TargetMode="External"/><Relationship Id="rId309" Type="http://schemas.openxmlformats.org/officeDocument/2006/relationships/hyperlink" Target="https://www.jivi.com.ar/ficha.php?id=1500" TargetMode="External"/><Relationship Id="rId460" Type="http://schemas.openxmlformats.org/officeDocument/2006/relationships/hyperlink" Target="https://www.jivi.com.ar/ficha.php?id=1738" TargetMode="External"/><Relationship Id="rId516" Type="http://schemas.openxmlformats.org/officeDocument/2006/relationships/hyperlink" Target="https://www.jivi.com.ar/ficha.php?id=1152" TargetMode="External"/><Relationship Id="rId48" Type="http://schemas.openxmlformats.org/officeDocument/2006/relationships/hyperlink" Target="https://www.jivi.com.ar/ficha.php?id=406" TargetMode="External"/><Relationship Id="rId113" Type="http://schemas.openxmlformats.org/officeDocument/2006/relationships/hyperlink" Target="https://www.jivi.com.ar/ficha.php?id=780" TargetMode="External"/><Relationship Id="rId320" Type="http://schemas.openxmlformats.org/officeDocument/2006/relationships/hyperlink" Target="https://www.jivi.com.ar/ficha.php?id=1517" TargetMode="External"/><Relationship Id="rId558" Type="http://schemas.openxmlformats.org/officeDocument/2006/relationships/hyperlink" Target="https://www.jivi.com.ar/ficha.php?id=1339" TargetMode="External"/><Relationship Id="rId155" Type="http://schemas.openxmlformats.org/officeDocument/2006/relationships/hyperlink" Target="https://www.jivi.com.ar/ficha.php?id=885" TargetMode="External"/><Relationship Id="rId197" Type="http://schemas.openxmlformats.org/officeDocument/2006/relationships/hyperlink" Target="https://www.jivi.com.ar/ficha.php?id=1267" TargetMode="External"/><Relationship Id="rId362" Type="http://schemas.openxmlformats.org/officeDocument/2006/relationships/hyperlink" Target="https://www.jivi.com.ar/ficha.php?id=1571" TargetMode="External"/><Relationship Id="rId418" Type="http://schemas.openxmlformats.org/officeDocument/2006/relationships/hyperlink" Target="https://www.jivi.com.ar/ficha.php?id=1639" TargetMode="External"/><Relationship Id="rId625" Type="http://schemas.openxmlformats.org/officeDocument/2006/relationships/hyperlink" Target="https://www.jivi.com.ar/ficha.php?id=1778" TargetMode="External"/><Relationship Id="rId222" Type="http://schemas.openxmlformats.org/officeDocument/2006/relationships/hyperlink" Target="https://www.jivi.com.ar/ficha.php?id=864" TargetMode="External"/><Relationship Id="rId264" Type="http://schemas.openxmlformats.org/officeDocument/2006/relationships/hyperlink" Target="https://www.jivi.com.ar/ficha.php?id=1429" TargetMode="External"/><Relationship Id="rId471" Type="http://schemas.openxmlformats.org/officeDocument/2006/relationships/hyperlink" Target="https://www.jivi.com.ar/ficha.php?id=1787" TargetMode="External"/><Relationship Id="rId17" Type="http://schemas.openxmlformats.org/officeDocument/2006/relationships/hyperlink" Target="https://www.jivi.com.ar/ficha.php?id=97" TargetMode="External"/><Relationship Id="rId59" Type="http://schemas.openxmlformats.org/officeDocument/2006/relationships/hyperlink" Target="https://www.jivi.com.ar/ficha.php?id=125" TargetMode="External"/><Relationship Id="rId124" Type="http://schemas.openxmlformats.org/officeDocument/2006/relationships/hyperlink" Target="https://www.jivi.com.ar/ficha.php?id=882" TargetMode="External"/><Relationship Id="rId527" Type="http://schemas.openxmlformats.org/officeDocument/2006/relationships/hyperlink" Target="https://www.jivi.com.ar/ficha.php?id=1379" TargetMode="External"/><Relationship Id="rId569" Type="http://schemas.openxmlformats.org/officeDocument/2006/relationships/hyperlink" Target="https://www.jivi.com.ar/ficha.php?id=2043" TargetMode="External"/><Relationship Id="rId70" Type="http://schemas.openxmlformats.org/officeDocument/2006/relationships/hyperlink" Target="https://www.jivi.com.ar/ficha.php?id=326" TargetMode="External"/><Relationship Id="rId166" Type="http://schemas.openxmlformats.org/officeDocument/2006/relationships/hyperlink" Target="https://www.jivi.com.ar/ficha.php?id=1168" TargetMode="External"/><Relationship Id="rId331" Type="http://schemas.openxmlformats.org/officeDocument/2006/relationships/hyperlink" Target="https://www.jivi.com.ar/ficha.php?id=1542" TargetMode="External"/><Relationship Id="rId373" Type="http://schemas.openxmlformats.org/officeDocument/2006/relationships/hyperlink" Target="https://www.jivi.com.ar/ficha.php?id=1580" TargetMode="External"/><Relationship Id="rId429" Type="http://schemas.openxmlformats.org/officeDocument/2006/relationships/hyperlink" Target="https://www.jivi.com.ar/ficha.php?id=1272" TargetMode="External"/><Relationship Id="rId580" Type="http://schemas.openxmlformats.org/officeDocument/2006/relationships/hyperlink" Target="https://www.jivi.com.ar/ficha.php?id=2053" TargetMode="External"/><Relationship Id="rId636" Type="http://schemas.openxmlformats.org/officeDocument/2006/relationships/hyperlink" Target="https://www.jivi.com.ar/ficha.php?id=2211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236" TargetMode="External"/><Relationship Id="rId440" Type="http://schemas.openxmlformats.org/officeDocument/2006/relationships/hyperlink" Target="https://www.jivi.com.ar/ficha.php?id=1462" TargetMode="External"/><Relationship Id="rId28" Type="http://schemas.openxmlformats.org/officeDocument/2006/relationships/hyperlink" Target="https://www.jivi.com.ar/ficha.php?id=108" TargetMode="External"/><Relationship Id="rId275" Type="http://schemas.openxmlformats.org/officeDocument/2006/relationships/hyperlink" Target="https://www.jivi.com.ar/ficha.php?id=1334" TargetMode="External"/><Relationship Id="rId300" Type="http://schemas.openxmlformats.org/officeDocument/2006/relationships/hyperlink" Target="https://www.jivi.com.ar/ficha.php?id=1488" TargetMode="External"/><Relationship Id="rId482" Type="http://schemas.openxmlformats.org/officeDocument/2006/relationships/hyperlink" Target="https://www.jivi.com.ar/ficha.php?id=1710" TargetMode="External"/><Relationship Id="rId538" Type="http://schemas.openxmlformats.org/officeDocument/2006/relationships/hyperlink" Target="https://www.jivi.com.ar/ficha.php?id=1880" TargetMode="External"/><Relationship Id="rId81" Type="http://schemas.openxmlformats.org/officeDocument/2006/relationships/hyperlink" Target="https://www.jivi.com.ar/ficha.php?id=137" TargetMode="External"/><Relationship Id="rId135" Type="http://schemas.openxmlformats.org/officeDocument/2006/relationships/hyperlink" Target="https://www.jivi.com.ar/ficha.php?id=956" TargetMode="External"/><Relationship Id="rId177" Type="http://schemas.openxmlformats.org/officeDocument/2006/relationships/hyperlink" Target="https://www.jivi.com.ar/ficha.php?id=1181" TargetMode="External"/><Relationship Id="rId342" Type="http://schemas.openxmlformats.org/officeDocument/2006/relationships/hyperlink" Target="https://www.jivi.com.ar/ficha.php?id=1555" TargetMode="External"/><Relationship Id="rId384" Type="http://schemas.openxmlformats.org/officeDocument/2006/relationships/hyperlink" Target="https://www.jivi.com.ar/ficha.php?id=1593" TargetMode="External"/><Relationship Id="rId591" Type="http://schemas.openxmlformats.org/officeDocument/2006/relationships/hyperlink" Target="https://www.jivi.com.ar/ficha.php?id=2068" TargetMode="External"/><Relationship Id="rId605" Type="http://schemas.openxmlformats.org/officeDocument/2006/relationships/hyperlink" Target="https://www.jivi.com.ar/ficha.php?id=2101" TargetMode="External"/><Relationship Id="rId202" Type="http://schemas.openxmlformats.org/officeDocument/2006/relationships/hyperlink" Target="https://www.jivi.com.ar/ficha.php?id=1607" TargetMode="External"/><Relationship Id="rId244" Type="http://schemas.openxmlformats.org/officeDocument/2006/relationships/hyperlink" Target="https://www.jivi.com.ar/ficha.php?id=1111" TargetMode="External"/><Relationship Id="rId647" Type="http://schemas.openxmlformats.org/officeDocument/2006/relationships/comments" Target="../comments1.xml"/><Relationship Id="rId39" Type="http://schemas.openxmlformats.org/officeDocument/2006/relationships/hyperlink" Target="https://www.jivi.com.ar/ficha.php?id=400" TargetMode="External"/><Relationship Id="rId286" Type="http://schemas.openxmlformats.org/officeDocument/2006/relationships/hyperlink" Target="https://www.jivi.com.ar/ficha.php?id=1466" TargetMode="External"/><Relationship Id="rId451" Type="http://schemas.openxmlformats.org/officeDocument/2006/relationships/hyperlink" Target="https://www.jivi.com.ar/ficha.php?id=1723" TargetMode="External"/><Relationship Id="rId493" Type="http://schemas.openxmlformats.org/officeDocument/2006/relationships/hyperlink" Target="https://www.jivi.com.ar/ficha.php?id=1791" TargetMode="External"/><Relationship Id="rId507" Type="http://schemas.openxmlformats.org/officeDocument/2006/relationships/hyperlink" Target="https://www.jivi.com.ar/ficha.php?id=1544" TargetMode="External"/><Relationship Id="rId549" Type="http://schemas.openxmlformats.org/officeDocument/2006/relationships/hyperlink" Target="https://www.jivi.com.ar/ficha.php?id=2008" TargetMode="External"/><Relationship Id="rId50" Type="http://schemas.openxmlformats.org/officeDocument/2006/relationships/hyperlink" Target="https://www.jivi.com.ar/ficha.php?id=408" TargetMode="External"/><Relationship Id="rId104" Type="http://schemas.openxmlformats.org/officeDocument/2006/relationships/hyperlink" Target="https://www.jivi.com.ar/ficha.php?id=221" TargetMode="External"/><Relationship Id="rId146" Type="http://schemas.openxmlformats.org/officeDocument/2006/relationships/hyperlink" Target="https://www.jivi.com.ar/ficha.php?id=1049" TargetMode="External"/><Relationship Id="rId188" Type="http://schemas.openxmlformats.org/officeDocument/2006/relationships/hyperlink" Target="https://www.jivi.com.ar/ficha.php?id=919" TargetMode="External"/><Relationship Id="rId311" Type="http://schemas.openxmlformats.org/officeDocument/2006/relationships/hyperlink" Target="https://www.jivi.com.ar/ficha.php?id=1504" TargetMode="External"/><Relationship Id="rId353" Type="http://schemas.openxmlformats.org/officeDocument/2006/relationships/hyperlink" Target="https://www.jivi.com.ar/ficha.php?id=1407" TargetMode="External"/><Relationship Id="rId395" Type="http://schemas.openxmlformats.org/officeDocument/2006/relationships/hyperlink" Target="https://www.jivi.com.ar/ficha.php?id=1270" TargetMode="External"/><Relationship Id="rId409" Type="http://schemas.openxmlformats.org/officeDocument/2006/relationships/hyperlink" Target="https://www.jivi.com.ar/ficha.php?id=1204" TargetMode="External"/><Relationship Id="rId560" Type="http://schemas.openxmlformats.org/officeDocument/2006/relationships/hyperlink" Target="https://www.jivi.com.ar/ficha.php?id=335" TargetMode="External"/><Relationship Id="rId92" Type="http://schemas.openxmlformats.org/officeDocument/2006/relationships/hyperlink" Target="https://www.jivi.com.ar/ficha.php?id=456" TargetMode="External"/><Relationship Id="rId213" Type="http://schemas.openxmlformats.org/officeDocument/2006/relationships/hyperlink" Target="https://www.jivi.com.ar/ficha.php?id=1333" TargetMode="External"/><Relationship Id="rId420" Type="http://schemas.openxmlformats.org/officeDocument/2006/relationships/hyperlink" Target="https://www.jivi.com.ar/ficha.php?id=1652" TargetMode="External"/><Relationship Id="rId616" Type="http://schemas.openxmlformats.org/officeDocument/2006/relationships/hyperlink" Target="https://www.jivi.com.ar/ficha.php?id=2105" TargetMode="External"/><Relationship Id="rId255" Type="http://schemas.openxmlformats.org/officeDocument/2006/relationships/hyperlink" Target="https://www.jivi.com.ar/ficha.php?id=1419" TargetMode="External"/><Relationship Id="rId297" Type="http://schemas.openxmlformats.org/officeDocument/2006/relationships/hyperlink" Target="https://www.jivi.com.ar/ficha.php?id=1481" TargetMode="External"/><Relationship Id="rId462" Type="http://schemas.openxmlformats.org/officeDocument/2006/relationships/hyperlink" Target="https://www.jivi.com.ar/ficha.php?id=1742" TargetMode="External"/><Relationship Id="rId518" Type="http://schemas.openxmlformats.org/officeDocument/2006/relationships/hyperlink" Target="https://www.jivi.com.ar/ficha.php?id=1077" TargetMode="External"/><Relationship Id="rId115" Type="http://schemas.openxmlformats.org/officeDocument/2006/relationships/hyperlink" Target="https://www.jivi.com.ar/ficha.php?id=707" TargetMode="External"/><Relationship Id="rId157" Type="http://schemas.openxmlformats.org/officeDocument/2006/relationships/hyperlink" Target="https://www.jivi.com.ar/ficha.php?id=1108" TargetMode="External"/><Relationship Id="rId322" Type="http://schemas.openxmlformats.org/officeDocument/2006/relationships/hyperlink" Target="https://www.jivi.com.ar/ficha.php?id=1559" TargetMode="External"/><Relationship Id="rId364" Type="http://schemas.openxmlformats.org/officeDocument/2006/relationships/hyperlink" Target="https://www.jivi.com.ar/ficha.php?id=1572" TargetMode="External"/><Relationship Id="rId61" Type="http://schemas.openxmlformats.org/officeDocument/2006/relationships/hyperlink" Target="https://www.jivi.com.ar/ficha.php?id=4" TargetMode="External"/><Relationship Id="rId199" Type="http://schemas.openxmlformats.org/officeDocument/2006/relationships/hyperlink" Target="https://www.jivi.com.ar/ficha.php?id=1277" TargetMode="External"/><Relationship Id="rId571" Type="http://schemas.openxmlformats.org/officeDocument/2006/relationships/hyperlink" Target="https://www.jivi.com.ar/ficha.php?id=1280" TargetMode="External"/><Relationship Id="rId627" Type="http://schemas.openxmlformats.org/officeDocument/2006/relationships/hyperlink" Target="https://www.jivi.com.ar/ficha.php?id=2222" TargetMode="External"/><Relationship Id="rId19" Type="http://schemas.openxmlformats.org/officeDocument/2006/relationships/hyperlink" Target="https://www.jivi.com.ar/ficha.php?id=99" TargetMode="External"/><Relationship Id="rId224" Type="http://schemas.openxmlformats.org/officeDocument/2006/relationships/hyperlink" Target="https://www.jivi.com.ar/ficha.php?id=1378" TargetMode="External"/><Relationship Id="rId266" Type="http://schemas.openxmlformats.org/officeDocument/2006/relationships/hyperlink" Target="https://www.jivi.com.ar/ficha.php?id=1432" TargetMode="External"/><Relationship Id="rId431" Type="http://schemas.openxmlformats.org/officeDocument/2006/relationships/hyperlink" Target="https://www.jivi.com.ar/ficha.php?id=1672" TargetMode="External"/><Relationship Id="rId473" Type="http://schemas.openxmlformats.org/officeDocument/2006/relationships/hyperlink" Target="https://www.jivi.com.ar/ficha.php?id=1751" TargetMode="External"/><Relationship Id="rId529" Type="http://schemas.openxmlformats.org/officeDocument/2006/relationships/hyperlink" Target="https://www.jivi.com.ar/ficha.php?id=1840" TargetMode="External"/><Relationship Id="rId30" Type="http://schemas.openxmlformats.org/officeDocument/2006/relationships/hyperlink" Target="https://www.jivi.com.ar/ficha.php?id=110" TargetMode="External"/><Relationship Id="rId126" Type="http://schemas.openxmlformats.org/officeDocument/2006/relationships/hyperlink" Target="https://www.jivi.com.ar/ficha.php?id=886" TargetMode="External"/><Relationship Id="rId168" Type="http://schemas.openxmlformats.org/officeDocument/2006/relationships/hyperlink" Target="https://www.jivi.com.ar/ficha.php?id=975" TargetMode="External"/><Relationship Id="rId333" Type="http://schemas.openxmlformats.org/officeDocument/2006/relationships/hyperlink" Target="https://www.jivi.com.ar/ficha.php?id=1547" TargetMode="External"/><Relationship Id="rId540" Type="http://schemas.openxmlformats.org/officeDocument/2006/relationships/hyperlink" Target="https://www.jivi.com.ar/ficha.php?id=1998" TargetMode="External"/><Relationship Id="rId72" Type="http://schemas.openxmlformats.org/officeDocument/2006/relationships/hyperlink" Target="https://www.jivi.com.ar/ficha.php?id=394" TargetMode="External"/><Relationship Id="rId375" Type="http://schemas.openxmlformats.org/officeDocument/2006/relationships/hyperlink" Target="https://www.jivi.com.ar/ficha.php?id=1583" TargetMode="External"/><Relationship Id="rId582" Type="http://schemas.openxmlformats.org/officeDocument/2006/relationships/hyperlink" Target="https://www.jivi.com.ar/ficha.php?id=971" TargetMode="External"/><Relationship Id="rId638" Type="http://schemas.openxmlformats.org/officeDocument/2006/relationships/hyperlink" Target="https://www.jivi.com.ar/ficha.php?id=2213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94" TargetMode="External"/><Relationship Id="rId277" Type="http://schemas.openxmlformats.org/officeDocument/2006/relationships/hyperlink" Target="https://www.jivi.com.ar/ficha.php?id=1446" TargetMode="External"/><Relationship Id="rId400" Type="http://schemas.openxmlformats.org/officeDocument/2006/relationships/hyperlink" Target="https://www.jivi.com.ar/ficha.php?id=1611" TargetMode="External"/><Relationship Id="rId442" Type="http://schemas.openxmlformats.org/officeDocument/2006/relationships/hyperlink" Target="https://www.jivi.com.ar/ficha.php?id=1528" TargetMode="External"/><Relationship Id="rId484" Type="http://schemas.openxmlformats.org/officeDocument/2006/relationships/hyperlink" Target="https://www.jivi.com.ar/ficha.php?id=1737" TargetMode="External"/><Relationship Id="rId137" Type="http://schemas.openxmlformats.org/officeDocument/2006/relationships/hyperlink" Target="https://www.jivi.com.ar/ficha.php?id=967" TargetMode="External"/><Relationship Id="rId302" Type="http://schemas.openxmlformats.org/officeDocument/2006/relationships/hyperlink" Target="https://www.jivi.com.ar/ficha.php?id=1493" TargetMode="External"/><Relationship Id="rId344" Type="http://schemas.openxmlformats.org/officeDocument/2006/relationships/hyperlink" Target="https://www.jivi.com.ar/ficha.php?id=1558" TargetMode="External"/><Relationship Id="rId41" Type="http://schemas.openxmlformats.org/officeDocument/2006/relationships/hyperlink" Target="https://www.jivi.com.ar/ficha.php?id=402" TargetMode="External"/><Relationship Id="rId83" Type="http://schemas.openxmlformats.org/officeDocument/2006/relationships/hyperlink" Target="https://www.jivi.com.ar/ficha.php?id=245" TargetMode="External"/><Relationship Id="rId179" Type="http://schemas.openxmlformats.org/officeDocument/2006/relationships/hyperlink" Target="https://www.jivi.com.ar/ficha.php?id=1218" TargetMode="External"/><Relationship Id="rId386" Type="http://schemas.openxmlformats.org/officeDocument/2006/relationships/hyperlink" Target="https://www.jivi.com.ar/ficha.php?id=1596" TargetMode="External"/><Relationship Id="rId551" Type="http://schemas.openxmlformats.org/officeDocument/2006/relationships/hyperlink" Target="https://www.jivi.com.ar/ficha.php?id=1720" TargetMode="External"/><Relationship Id="rId593" Type="http://schemas.openxmlformats.org/officeDocument/2006/relationships/hyperlink" Target="https://www.jivi.com.ar/ficha.php?id=2069" TargetMode="External"/><Relationship Id="rId607" Type="http://schemas.openxmlformats.org/officeDocument/2006/relationships/hyperlink" Target="https://www.jivi.com.ar/ficha.php?id=698" TargetMode="External"/><Relationship Id="rId190" Type="http://schemas.openxmlformats.org/officeDocument/2006/relationships/hyperlink" Target="https://www.jivi.com.ar/ficha.php?id=883" TargetMode="External"/><Relationship Id="rId204" Type="http://schemas.openxmlformats.org/officeDocument/2006/relationships/hyperlink" Target="https://www.jivi.com.ar/ficha.php?id=1303" TargetMode="External"/><Relationship Id="rId246" Type="http://schemas.openxmlformats.org/officeDocument/2006/relationships/hyperlink" Target="https://www.jivi.com.ar/ficha.php?id=376" TargetMode="External"/><Relationship Id="rId288" Type="http://schemas.openxmlformats.org/officeDocument/2006/relationships/hyperlink" Target="https://www.jivi.com.ar/ficha.php?id=1471" TargetMode="External"/><Relationship Id="rId411" Type="http://schemas.openxmlformats.org/officeDocument/2006/relationships/hyperlink" Target="https://www.jivi.com.ar/ficha.php?id=1634" TargetMode="External"/><Relationship Id="rId453" Type="http://schemas.openxmlformats.org/officeDocument/2006/relationships/hyperlink" Target="https://www.jivi.com.ar/ficha.php?id=1727" TargetMode="External"/><Relationship Id="rId509" Type="http://schemas.openxmlformats.org/officeDocument/2006/relationships/hyperlink" Target="https://www.jivi.com.ar/ficha.php?id=1556" TargetMode="External"/><Relationship Id="rId106" Type="http://schemas.openxmlformats.org/officeDocument/2006/relationships/hyperlink" Target="https://www.jivi.com.ar/ficha.php?id=568" TargetMode="External"/><Relationship Id="rId313" Type="http://schemas.openxmlformats.org/officeDocument/2006/relationships/hyperlink" Target="https://www.jivi.com.ar/ficha.php?id=1506" TargetMode="External"/><Relationship Id="rId495" Type="http://schemas.openxmlformats.org/officeDocument/2006/relationships/hyperlink" Target="https://www.jivi.com.ar/ficha.php?id=1087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8" TargetMode="External"/><Relationship Id="rId94" Type="http://schemas.openxmlformats.org/officeDocument/2006/relationships/hyperlink" Target="https://www.jivi.com.ar/ficha.php?id=431" TargetMode="External"/><Relationship Id="rId148" Type="http://schemas.openxmlformats.org/officeDocument/2006/relationships/hyperlink" Target="https://www.jivi.com.ar/ficha.php?id=1080" TargetMode="External"/><Relationship Id="rId355" Type="http://schemas.openxmlformats.org/officeDocument/2006/relationships/hyperlink" Target="https://www.jivi.com.ar/ficha.php?id=1408" TargetMode="External"/><Relationship Id="rId397" Type="http://schemas.openxmlformats.org/officeDocument/2006/relationships/hyperlink" Target="https://www.jivi.com.ar/ficha.php?id=1608" TargetMode="External"/><Relationship Id="rId520" Type="http://schemas.openxmlformats.org/officeDocument/2006/relationships/hyperlink" Target="https://www.jivi.com.ar/ficha.php?id=1616" TargetMode="External"/><Relationship Id="rId562" Type="http://schemas.openxmlformats.org/officeDocument/2006/relationships/hyperlink" Target="https://www.jivi.com.ar/ficha.php?id=2034" TargetMode="External"/><Relationship Id="rId618" Type="http://schemas.openxmlformats.org/officeDocument/2006/relationships/hyperlink" Target="https://www.jivi.com.ar/ficha.php?id=1279" TargetMode="External"/><Relationship Id="rId215" Type="http://schemas.openxmlformats.org/officeDocument/2006/relationships/hyperlink" Target="https://www.jivi.com.ar/ficha.php?id=1347" TargetMode="External"/><Relationship Id="rId257" Type="http://schemas.openxmlformats.org/officeDocument/2006/relationships/hyperlink" Target="https://www.jivi.com.ar/ficha.php?id=1281" TargetMode="External"/><Relationship Id="rId422" Type="http://schemas.openxmlformats.org/officeDocument/2006/relationships/hyperlink" Target="https://www.jivi.com.ar/ficha.php?id=1657" TargetMode="External"/><Relationship Id="rId464" Type="http://schemas.openxmlformats.org/officeDocument/2006/relationships/hyperlink" Target="https://www.jivi.com.ar/ficha.php?id=1743" TargetMode="External"/><Relationship Id="rId299" Type="http://schemas.openxmlformats.org/officeDocument/2006/relationships/hyperlink" Target="https://www.jivi.com.ar/ficha.php?id=1486" TargetMode="External"/><Relationship Id="rId63" Type="http://schemas.openxmlformats.org/officeDocument/2006/relationships/hyperlink" Target="https://www.jivi.com.ar/ficha.php?id=209" TargetMode="External"/><Relationship Id="rId159" Type="http://schemas.openxmlformats.org/officeDocument/2006/relationships/hyperlink" Target="https://www.jivi.com.ar/ficha.php?id=1119" TargetMode="External"/><Relationship Id="rId366" Type="http://schemas.openxmlformats.org/officeDocument/2006/relationships/hyperlink" Target="https://www.jivi.com.ar/ficha.php?id=1294" TargetMode="External"/><Relationship Id="rId573" Type="http://schemas.openxmlformats.org/officeDocument/2006/relationships/hyperlink" Target="https://www.jivi.com.ar/ficha.php?id=1256" TargetMode="External"/><Relationship Id="rId226" Type="http://schemas.openxmlformats.org/officeDocument/2006/relationships/hyperlink" Target="https://www.jivi.com.ar/ficha.php?id=1383" TargetMode="External"/><Relationship Id="rId433" Type="http://schemas.openxmlformats.org/officeDocument/2006/relationships/hyperlink" Target="https://www.jivi.com.ar/ficha.php?id=1691" TargetMode="External"/><Relationship Id="rId640" Type="http://schemas.openxmlformats.org/officeDocument/2006/relationships/hyperlink" Target="https://www.jivi.com.ar/ficha.php?id=2215" TargetMode="External"/><Relationship Id="rId74" Type="http://schemas.openxmlformats.org/officeDocument/2006/relationships/hyperlink" Target="https://www.jivi.com.ar/ficha.php?id=18" TargetMode="External"/><Relationship Id="rId377" Type="http://schemas.openxmlformats.org/officeDocument/2006/relationships/hyperlink" Target="https://www.jivi.com.ar/ficha.php?id=1586" TargetMode="External"/><Relationship Id="rId500" Type="http://schemas.openxmlformats.org/officeDocument/2006/relationships/hyperlink" Target="https://www.jivi.com.ar/ficha.php?id=1342" TargetMode="External"/><Relationship Id="rId584" Type="http://schemas.openxmlformats.org/officeDocument/2006/relationships/hyperlink" Target="https://www.jivi.com.ar/ficha.php?id=2060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99" TargetMode="External"/><Relationship Id="rId444" Type="http://schemas.openxmlformats.org/officeDocument/2006/relationships/hyperlink" Target="https://www.jivi.com.ar/ficha.php?id=977" TargetMode="External"/><Relationship Id="rId290" Type="http://schemas.openxmlformats.org/officeDocument/2006/relationships/hyperlink" Target="htthttps://www.jivi.com.ar/ficha.php?id=1476" TargetMode="External"/><Relationship Id="rId304" Type="http://schemas.openxmlformats.org/officeDocument/2006/relationships/hyperlink" Target="https://www.jivi.com.ar/ficha.php?id=1495" TargetMode="External"/><Relationship Id="rId388" Type="http://schemas.openxmlformats.org/officeDocument/2006/relationships/hyperlink" Target="https://www.jivi.com.ar/ficha.php?id=1599" TargetMode="External"/><Relationship Id="rId511" Type="http://schemas.openxmlformats.org/officeDocument/2006/relationships/hyperlink" Target="https://www.jivi.com.ar/ficha.php?id=1491" TargetMode="External"/><Relationship Id="rId609" Type="http://schemas.openxmlformats.org/officeDocument/2006/relationships/hyperlink" Target="https://www.jivi.com.ar/ficha.php?id=2147" TargetMode="External"/><Relationship Id="rId85" Type="http://schemas.openxmlformats.org/officeDocument/2006/relationships/hyperlink" Target="https://www.jivi.com.ar/ficha.php?id=171" TargetMode="External"/><Relationship Id="rId150" Type="http://schemas.openxmlformats.org/officeDocument/2006/relationships/hyperlink" Target="https://www.jivi.com.ar/ficha.php?id=1095" TargetMode="External"/><Relationship Id="rId595" Type="http://schemas.openxmlformats.org/officeDocument/2006/relationships/hyperlink" Target="https://www.jivi.com.ar/ficha.php?id=2083" TargetMode="External"/><Relationship Id="rId248" Type="http://schemas.openxmlformats.org/officeDocument/2006/relationships/hyperlink" Target="https://www.jivi.com.ar/ficha.php?id=1393" TargetMode="External"/><Relationship Id="rId455" Type="http://schemas.openxmlformats.org/officeDocument/2006/relationships/hyperlink" Target="https://www.jivi.com.ar/ficha.php?id=1729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534" TargetMode="External"/><Relationship Id="rId315" Type="http://schemas.openxmlformats.org/officeDocument/2006/relationships/hyperlink" Target="https://www.jivi.com.ar/ficha.php?id=1508" TargetMode="External"/><Relationship Id="rId522" Type="http://schemas.openxmlformats.org/officeDocument/2006/relationships/hyperlink" Target="https://www.jivi.com.ar/ficha.php?id=1864" TargetMode="External"/><Relationship Id="rId96" Type="http://schemas.openxmlformats.org/officeDocument/2006/relationships/hyperlink" Target="https://www.jivi.com.ar/ficha.php?id=48" TargetMode="External"/><Relationship Id="rId161" Type="http://schemas.openxmlformats.org/officeDocument/2006/relationships/hyperlink" Target="https://www.jivi.com.ar/ficha.php?id=1154" TargetMode="External"/><Relationship Id="rId399" Type="http://schemas.openxmlformats.org/officeDocument/2006/relationships/hyperlink" Target="https://www.jivi.com.ar/ficha.php?id=1274" TargetMode="External"/><Relationship Id="rId259" Type="http://schemas.openxmlformats.org/officeDocument/2006/relationships/hyperlink" Target="https://www.jivi.com.ar/ficha.php?id=1421" TargetMode="External"/><Relationship Id="rId466" Type="http://schemas.openxmlformats.org/officeDocument/2006/relationships/hyperlink" Target="https://www.jivi.com.ar/ficha.php?id=1745" TargetMode="External"/><Relationship Id="rId23" Type="http://schemas.openxmlformats.org/officeDocument/2006/relationships/hyperlink" Target="https://www.jivi.com.ar/ficha.php?id=103" TargetMode="External"/><Relationship Id="rId119" Type="http://schemas.openxmlformats.org/officeDocument/2006/relationships/hyperlink" Target="https://www.jivi.com.ar/ficha.php?id=846" TargetMode="External"/><Relationship Id="rId326" Type="http://schemas.openxmlformats.org/officeDocument/2006/relationships/hyperlink" Target="https://www.jivi.com.ar/ficha.php?id=1535" TargetMode="External"/><Relationship Id="rId533" Type="http://schemas.openxmlformats.org/officeDocument/2006/relationships/hyperlink" Target="https://www.jivi.com.ar/ficha.php?id=1138" TargetMode="External"/><Relationship Id="rId172" Type="http://schemas.openxmlformats.org/officeDocument/2006/relationships/hyperlink" Target="https://www.jivi.com.ar/ficha.php?id=1182" TargetMode="External"/><Relationship Id="rId477" Type="http://schemas.openxmlformats.org/officeDocument/2006/relationships/hyperlink" Target="https://www.jivi.com.ar/ficha.php?id=1304" TargetMode="External"/><Relationship Id="rId600" Type="http://schemas.openxmlformats.org/officeDocument/2006/relationships/hyperlink" Target="https://www.jivi.com.ar/ficha.php?id=333" TargetMode="External"/><Relationship Id="rId337" Type="http://schemas.openxmlformats.org/officeDocument/2006/relationships/hyperlink" Target="https://www.jivi.com.ar/ficha.php?id=1551" TargetMode="External"/><Relationship Id="rId34" Type="http://schemas.openxmlformats.org/officeDocument/2006/relationships/hyperlink" Target="https://www.jivi.com.ar/ficha.php?id=114" TargetMode="External"/><Relationship Id="rId544" Type="http://schemas.openxmlformats.org/officeDocument/2006/relationships/hyperlink" Target="https://www.jivi.com.ar/ficha.php?id=1577" TargetMode="External"/><Relationship Id="rId183" Type="http://schemas.openxmlformats.org/officeDocument/2006/relationships/hyperlink" Target="https://www.jivi.com.ar/ficha.php?id=1223" TargetMode="External"/><Relationship Id="rId390" Type="http://schemas.openxmlformats.org/officeDocument/2006/relationships/hyperlink" Target="https://www.jivi.com.ar/ficha.php?id=1603" TargetMode="External"/><Relationship Id="rId404" Type="http://schemas.openxmlformats.org/officeDocument/2006/relationships/hyperlink" Target="https://www.jivi.com.ar/ficha.php?id=608" TargetMode="External"/><Relationship Id="rId611" Type="http://schemas.openxmlformats.org/officeDocument/2006/relationships/hyperlink" Target="https://www.jivi.com.ar/ficha.php?id=1403" TargetMode="External"/><Relationship Id="rId250" Type="http://schemas.openxmlformats.org/officeDocument/2006/relationships/hyperlink" Target="https://www.jivi.com.ar/ficha.php?id=1413" TargetMode="External"/><Relationship Id="rId488" Type="http://schemas.openxmlformats.org/officeDocument/2006/relationships/hyperlink" Target="https://www.jivi.com.ar/ficha.php?id=1265" TargetMode="External"/><Relationship Id="rId45" Type="http://schemas.openxmlformats.org/officeDocument/2006/relationships/hyperlink" Target="https://www.jivi.com.ar/ficha.php?id=714" TargetMode="External"/><Relationship Id="rId110" Type="http://schemas.openxmlformats.org/officeDocument/2006/relationships/hyperlink" Target="https://www.jivi.com.ar/ficha.php?id=215" TargetMode="External"/><Relationship Id="rId348" Type="http://schemas.openxmlformats.org/officeDocument/2006/relationships/hyperlink" Target="https://www.jivi.com.ar/ficha.php?id=1066" TargetMode="External"/><Relationship Id="rId555" Type="http://schemas.openxmlformats.org/officeDocument/2006/relationships/hyperlink" Target="https://www.jivi.com.ar/ficha.php?id=2014" TargetMode="External"/><Relationship Id="rId194" Type="http://schemas.openxmlformats.org/officeDocument/2006/relationships/hyperlink" Target="https://www.jivi.com.ar/ficha.php?id=1253" TargetMode="External"/><Relationship Id="rId208" Type="http://schemas.openxmlformats.org/officeDocument/2006/relationships/hyperlink" Target="https://www.jivi.com.ar/ficha.php?id=1290" TargetMode="External"/><Relationship Id="rId415" Type="http://schemas.openxmlformats.org/officeDocument/2006/relationships/hyperlink" Target="https://www.jivi.com.ar/ficha.php?id=1642" TargetMode="External"/><Relationship Id="rId622" Type="http://schemas.openxmlformats.org/officeDocument/2006/relationships/hyperlink" Target="https://www.jivi.com.ar/ficha.php?id=1435" TargetMode="External"/><Relationship Id="rId261" Type="http://schemas.openxmlformats.org/officeDocument/2006/relationships/hyperlink" Target="https://www.jivi.com.ar/ficha.php?id=1423" TargetMode="External"/><Relationship Id="rId499" Type="http://schemas.openxmlformats.org/officeDocument/2006/relationships/hyperlink" Target="https://www.jivi.com.ar/ficha.php?id=1805" TargetMode="External"/><Relationship Id="rId56" Type="http://schemas.openxmlformats.org/officeDocument/2006/relationships/hyperlink" Target="https://www.jivi.com.ar/ficha.php?id=122" TargetMode="External"/><Relationship Id="rId359" Type="http://schemas.openxmlformats.org/officeDocument/2006/relationships/hyperlink" Target="https://www.jivi.com.ar/ficha.php?id=1568" TargetMode="External"/><Relationship Id="rId566" Type="http://schemas.openxmlformats.org/officeDocument/2006/relationships/hyperlink" Target="https://www.jivi.com.ar/ficha.php?id=2042" TargetMode="External"/><Relationship Id="rId121" Type="http://schemas.openxmlformats.org/officeDocument/2006/relationships/hyperlink" Target="https://www.jivi.com.ar/ficha.php?id=854" TargetMode="External"/><Relationship Id="rId219" Type="http://schemas.openxmlformats.org/officeDocument/2006/relationships/hyperlink" Target="https://www.jivi.com.ar/ficha.php?id=1365" TargetMode="External"/><Relationship Id="rId426" Type="http://schemas.openxmlformats.org/officeDocument/2006/relationships/hyperlink" Target="https://www.jivi.com.ar/ficha.php?id=1666" TargetMode="External"/><Relationship Id="rId633" Type="http://schemas.openxmlformats.org/officeDocument/2006/relationships/hyperlink" Target="https://www.jivi.com.ar/ficha.php?id=2208" TargetMode="External"/><Relationship Id="rId67" Type="http://schemas.openxmlformats.org/officeDocument/2006/relationships/hyperlink" Target="https://www.jivi.com.ar/ficha.php?id=548" TargetMode="External"/><Relationship Id="rId272" Type="http://schemas.openxmlformats.org/officeDocument/2006/relationships/hyperlink" Target="https://www.jivi.com.ar/ficha.php?id=1427" TargetMode="External"/><Relationship Id="rId577" Type="http://schemas.openxmlformats.org/officeDocument/2006/relationships/hyperlink" Target="https://www.jivi.com.ar/ficha.php?id=1416" TargetMode="External"/><Relationship Id="rId132" Type="http://schemas.openxmlformats.org/officeDocument/2006/relationships/hyperlink" Target="https://www.jivi.com.ar/ficha.php?id=948" TargetMode="External"/><Relationship Id="rId437" Type="http://schemas.openxmlformats.org/officeDocument/2006/relationships/hyperlink" Target="https://www.jivi.com.ar/ficha.php?id=1698" TargetMode="External"/><Relationship Id="rId644" Type="http://schemas.openxmlformats.org/officeDocument/2006/relationships/printerSettings" Target="../printerSettings/printerSettings1.bin"/><Relationship Id="rId283" Type="http://schemas.openxmlformats.org/officeDocument/2006/relationships/hyperlink" Target="https://www.jivi.com.ar/ficha.php?id=969" TargetMode="External"/><Relationship Id="rId490" Type="http://schemas.openxmlformats.org/officeDocument/2006/relationships/hyperlink" Target="https://www.jivi.com.ar/ficha.php?id=1308" TargetMode="External"/><Relationship Id="rId504" Type="http://schemas.openxmlformats.org/officeDocument/2006/relationships/hyperlink" Target="https://www.jivi.com.ar/ficha.php?id=1131" TargetMode="External"/><Relationship Id="rId78" Type="http://schemas.openxmlformats.org/officeDocument/2006/relationships/hyperlink" Target="https://www.jivi.com.ar/ficha.php?id=393" TargetMode="External"/><Relationship Id="rId143" Type="http://schemas.openxmlformats.org/officeDocument/2006/relationships/hyperlink" Target="https://www.jivi.com.ar/ficha.php?id=1023" TargetMode="External"/><Relationship Id="rId350" Type="http://schemas.openxmlformats.org/officeDocument/2006/relationships/hyperlink" Target="https://www.jivi.com.ar/ficha.php?id=1563" TargetMode="External"/><Relationship Id="rId588" Type="http://schemas.openxmlformats.org/officeDocument/2006/relationships/hyperlink" Target="https://www.jivi.com.ar/ficha.php?id=1391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14" TargetMode="External"/><Relationship Id="rId448" Type="http://schemas.openxmlformats.org/officeDocument/2006/relationships/hyperlink" Target="https://www.jivi.com.ar/ficha.php?id=1708" TargetMode="External"/><Relationship Id="rId294" Type="http://schemas.openxmlformats.org/officeDocument/2006/relationships/hyperlink" Target="https://www.jivi.com.ar/ficha.php?id=1478" TargetMode="External"/><Relationship Id="rId308" Type="http://schemas.openxmlformats.org/officeDocument/2006/relationships/hyperlink" Target="https://www.jivi.com.ar/ficha.php?id=1499" TargetMode="External"/><Relationship Id="rId515" Type="http://schemas.openxmlformats.org/officeDocument/2006/relationships/hyperlink" Target="https://www.jivi.com.ar/ficha.php?id=1799" TargetMode="External"/><Relationship Id="rId89" Type="http://schemas.openxmlformats.org/officeDocument/2006/relationships/hyperlink" Target="https://www.jivi.com.ar/ficha.php?id=158" TargetMode="External"/><Relationship Id="rId154" Type="http://schemas.openxmlformats.org/officeDocument/2006/relationships/hyperlink" Target="https://www.jivi.com.ar/ficha.php?id=1098" TargetMode="External"/><Relationship Id="rId361" Type="http://schemas.openxmlformats.org/officeDocument/2006/relationships/hyperlink" Target="https://www.jivi.com.ar/ficha.php?id=1570" TargetMode="External"/><Relationship Id="rId599" Type="http://schemas.openxmlformats.org/officeDocument/2006/relationships/hyperlink" Target="https://www.jivi.com.ar/ficha.php?id=1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5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75" t="s">
        <v>0</v>
      </c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876"/>
      <c r="U1" s="876"/>
      <c r="V1" s="876"/>
      <c r="W1" s="877"/>
      <c r="X1" s="438">
        <v>1</v>
      </c>
      <c r="Y1" s="868" t="s">
        <v>1</v>
      </c>
      <c r="Z1" s="869"/>
      <c r="AA1" s="869"/>
      <c r="AB1" s="869"/>
      <c r="AC1" s="869"/>
      <c r="AD1" s="870"/>
      <c r="AE1" s="865" t="s">
        <v>2</v>
      </c>
      <c r="AF1" s="866"/>
      <c r="AG1" s="866"/>
      <c r="AH1" s="866"/>
      <c r="AI1" s="867"/>
      <c r="AJ1" s="863" t="s">
        <v>3</v>
      </c>
      <c r="AK1" s="54"/>
      <c r="AL1" s="54"/>
      <c r="AM1" s="52"/>
    </row>
    <row r="2" spans="1:39" ht="14.25" customHeight="1" x14ac:dyDescent="0.2">
      <c r="A2" s="18"/>
      <c r="B2" s="924" t="s">
        <v>972</v>
      </c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5"/>
      <c r="T2" s="925"/>
      <c r="U2" s="925"/>
      <c r="V2" s="926"/>
      <c r="W2" s="927"/>
      <c r="X2" s="439">
        <v>1250</v>
      </c>
      <c r="Y2" s="884" t="s">
        <v>4</v>
      </c>
      <c r="Z2" s="885"/>
      <c r="AA2" s="885"/>
      <c r="AB2" s="885"/>
      <c r="AC2" s="885"/>
      <c r="AD2" s="886"/>
      <c r="AE2" s="873" t="s">
        <v>5</v>
      </c>
      <c r="AF2" s="874"/>
      <c r="AG2" s="874"/>
      <c r="AH2" s="440"/>
      <c r="AI2" s="441"/>
      <c r="AJ2" s="864"/>
      <c r="AK2" s="164"/>
      <c r="AL2" s="164"/>
      <c r="AM2" s="52"/>
    </row>
    <row r="3" spans="1:39" ht="15.75" customHeight="1" x14ac:dyDescent="0.2">
      <c r="A3" s="18"/>
      <c r="B3" s="893"/>
      <c r="C3" s="894"/>
      <c r="D3" s="895"/>
      <c r="E3" s="917" t="s">
        <v>6</v>
      </c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9"/>
      <c r="W3" s="920"/>
      <c r="X3" s="878" t="s">
        <v>894</v>
      </c>
      <c r="Y3" s="879"/>
      <c r="Z3" s="879"/>
      <c r="AA3" s="879"/>
      <c r="AB3" s="879"/>
      <c r="AC3" s="879"/>
      <c r="AD3" s="880"/>
      <c r="AE3" s="871"/>
      <c r="AF3" s="872"/>
      <c r="AG3" s="872"/>
      <c r="AH3" s="872"/>
      <c r="AI3" s="872"/>
      <c r="AJ3" s="13"/>
      <c r="AK3" s="13"/>
      <c r="AL3" s="13"/>
      <c r="AM3" s="53"/>
    </row>
    <row r="4" spans="1:39" ht="21.75" customHeight="1" x14ac:dyDescent="0.2">
      <c r="A4" s="18"/>
      <c r="B4" s="896"/>
      <c r="C4" s="897"/>
      <c r="D4" s="898"/>
      <c r="E4" s="921" t="s">
        <v>7</v>
      </c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922"/>
      <c r="W4" s="923"/>
      <c r="X4" s="881"/>
      <c r="Y4" s="882"/>
      <c r="Z4" s="882"/>
      <c r="AA4" s="882"/>
      <c r="AB4" s="882"/>
      <c r="AC4" s="882"/>
      <c r="AD4" s="883"/>
      <c r="AE4" s="872"/>
      <c r="AF4" s="872"/>
      <c r="AG4" s="872"/>
      <c r="AH4" s="872"/>
      <c r="AI4" s="872"/>
      <c r="AJ4" s="13"/>
      <c r="AK4" s="13"/>
      <c r="AL4" s="13"/>
      <c r="AM4" s="53"/>
    </row>
    <row r="5" spans="1:39" ht="23.25" customHeight="1" x14ac:dyDescent="0.2">
      <c r="A5" s="18"/>
      <c r="B5" s="899"/>
      <c r="C5" s="900"/>
      <c r="D5" s="901"/>
      <c r="E5" s="902" t="s">
        <v>8</v>
      </c>
      <c r="F5" s="903"/>
      <c r="G5" s="903"/>
      <c r="H5" s="903"/>
      <c r="I5" s="903"/>
      <c r="J5" s="903"/>
      <c r="K5" s="903"/>
      <c r="L5" s="903"/>
      <c r="M5" s="903"/>
      <c r="N5" s="903"/>
      <c r="O5" s="903"/>
      <c r="P5" s="903"/>
      <c r="Q5" s="903"/>
      <c r="R5" s="903"/>
      <c r="S5" s="903"/>
      <c r="T5" s="903"/>
      <c r="U5" s="903"/>
      <c r="V5" s="903"/>
      <c r="W5" s="904"/>
      <c r="X5" s="908"/>
      <c r="Y5" s="909"/>
      <c r="Z5" s="909"/>
      <c r="AA5" s="909"/>
      <c r="AB5" s="909"/>
      <c r="AC5" s="909"/>
      <c r="AD5" s="910"/>
      <c r="AE5" s="931"/>
      <c r="AF5" s="931"/>
      <c r="AG5" s="931"/>
      <c r="AH5" s="931"/>
      <c r="AI5" s="931"/>
      <c r="AJ5" s="13"/>
      <c r="AK5" s="13"/>
      <c r="AL5" s="13"/>
      <c r="AM5" s="53"/>
    </row>
    <row r="6" spans="1:39" ht="12" customHeight="1" x14ac:dyDescent="0.2">
      <c r="A6" s="18"/>
      <c r="B6" s="905" t="s">
        <v>9</v>
      </c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P6" s="906"/>
      <c r="Q6" s="906"/>
      <c r="R6" s="906"/>
      <c r="S6" s="906"/>
      <c r="T6" s="906"/>
      <c r="U6" s="906"/>
      <c r="V6" s="906"/>
      <c r="W6" s="907"/>
      <c r="X6" s="911"/>
      <c r="Y6" s="912"/>
      <c r="Z6" s="912"/>
      <c r="AA6" s="912"/>
      <c r="AB6" s="912"/>
      <c r="AC6" s="912"/>
      <c r="AD6" s="913"/>
      <c r="AE6" s="931"/>
      <c r="AF6" s="931"/>
      <c r="AG6" s="931"/>
      <c r="AH6" s="931"/>
      <c r="AI6" s="931"/>
      <c r="AJ6" s="13"/>
      <c r="AK6" s="13"/>
      <c r="AL6" s="13"/>
      <c r="AM6" s="53"/>
    </row>
    <row r="7" spans="1:39" ht="13.5" customHeight="1" x14ac:dyDescent="0.2">
      <c r="A7" s="18"/>
      <c r="B7" s="928" t="s">
        <v>10</v>
      </c>
      <c r="C7" s="929"/>
      <c r="D7" s="929"/>
      <c r="E7" s="929"/>
      <c r="F7" s="929"/>
      <c r="G7" s="929"/>
      <c r="H7" s="929"/>
      <c r="I7" s="929"/>
      <c r="J7" s="929"/>
      <c r="K7" s="929"/>
      <c r="L7" s="929"/>
      <c r="M7" s="929"/>
      <c r="N7" s="929"/>
      <c r="O7" s="929"/>
      <c r="P7" s="929"/>
      <c r="Q7" s="929"/>
      <c r="R7" s="929"/>
      <c r="S7" s="929"/>
      <c r="T7" s="929"/>
      <c r="U7" s="929"/>
      <c r="V7" s="929"/>
      <c r="W7" s="930"/>
      <c r="X7" s="914"/>
      <c r="Y7" s="915"/>
      <c r="Z7" s="915"/>
      <c r="AA7" s="915"/>
      <c r="AB7" s="915"/>
      <c r="AC7" s="915"/>
      <c r="AD7" s="916"/>
      <c r="AE7" s="931"/>
      <c r="AF7" s="931"/>
      <c r="AG7" s="931"/>
      <c r="AH7" s="931"/>
      <c r="AI7" s="931"/>
    </row>
    <row r="8" spans="1:39" ht="14.25" customHeight="1" x14ac:dyDescent="0.2">
      <c r="A8" s="18"/>
      <c r="B8" s="660" t="s">
        <v>11</v>
      </c>
      <c r="C8" s="935" t="s">
        <v>12</v>
      </c>
      <c r="D8" s="936"/>
      <c r="E8" s="936"/>
      <c r="F8" s="763" t="s">
        <v>13</v>
      </c>
      <c r="G8" s="763" t="s">
        <v>13</v>
      </c>
      <c r="H8" s="661" t="s">
        <v>770</v>
      </c>
      <c r="I8" s="661"/>
      <c r="J8" s="662"/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2"/>
      <c r="V8" s="662"/>
      <c r="W8" s="662"/>
      <c r="X8" s="679" t="s">
        <v>14</v>
      </c>
      <c r="Y8" s="680"/>
      <c r="Z8" s="680"/>
      <c r="AA8" s="681"/>
      <c r="AB8" s="677" t="s">
        <v>15</v>
      </c>
      <c r="AC8" s="887" t="s">
        <v>16</v>
      </c>
      <c r="AD8" s="888"/>
      <c r="AE8" s="888"/>
      <c r="AF8" s="888"/>
      <c r="AG8" s="888"/>
      <c r="AH8" s="888"/>
      <c r="AI8" s="889"/>
    </row>
    <row r="9" spans="1:39" ht="11.25" customHeight="1" x14ac:dyDescent="0.2">
      <c r="A9" s="18"/>
      <c r="B9" s="660"/>
      <c r="C9" s="936"/>
      <c r="D9" s="936"/>
      <c r="E9" s="936"/>
      <c r="F9" s="764"/>
      <c r="G9" s="764"/>
      <c r="H9" s="436"/>
      <c r="I9" s="434" t="s">
        <v>279</v>
      </c>
      <c r="J9" s="436"/>
      <c r="K9" s="434" t="s">
        <v>17</v>
      </c>
      <c r="L9" s="437"/>
      <c r="M9" s="437" t="s">
        <v>18</v>
      </c>
      <c r="N9" s="437"/>
      <c r="O9" s="434" t="s">
        <v>19</v>
      </c>
      <c r="P9" s="437"/>
      <c r="Q9" s="437" t="s">
        <v>280</v>
      </c>
      <c r="R9" s="437"/>
      <c r="S9" s="437" t="s">
        <v>20</v>
      </c>
      <c r="T9" s="437"/>
      <c r="U9" s="437" t="s">
        <v>21</v>
      </c>
      <c r="V9" s="437"/>
      <c r="W9" s="437" t="s">
        <v>22</v>
      </c>
      <c r="X9" s="682"/>
      <c r="Y9" s="683"/>
      <c r="Z9" s="683"/>
      <c r="AA9" s="684"/>
      <c r="AB9" s="678"/>
      <c r="AC9" s="890"/>
      <c r="AD9" s="891"/>
      <c r="AE9" s="891"/>
      <c r="AF9" s="891"/>
      <c r="AG9" s="891"/>
      <c r="AH9" s="891"/>
      <c r="AI9" s="892"/>
    </row>
    <row r="10" spans="1:39" ht="12.6" customHeight="1" x14ac:dyDescent="0.2">
      <c r="A10" s="18"/>
      <c r="B10" s="932" t="s">
        <v>664</v>
      </c>
      <c r="C10" s="933"/>
      <c r="D10" s="933"/>
      <c r="E10" s="934"/>
      <c r="F10" s="298">
        <v>613</v>
      </c>
      <c r="G10" s="293">
        <f t="shared" ref="G10" si="0">+F10*$X$1</f>
        <v>613</v>
      </c>
      <c r="H10" s="443"/>
      <c r="I10" s="595"/>
      <c r="J10" s="82">
        <f>F10+120</f>
        <v>733</v>
      </c>
      <c r="K10" s="287"/>
      <c r="L10" s="97"/>
      <c r="M10" s="287"/>
      <c r="N10" s="593">
        <f>F10+110</f>
        <v>723</v>
      </c>
      <c r="O10" s="270">
        <f t="shared" ref="O10" si="1">+N10*$X$1</f>
        <v>723</v>
      </c>
      <c r="P10" s="593">
        <f>F10+100</f>
        <v>713</v>
      </c>
      <c r="Q10" s="270">
        <f t="shared" ref="Q10" si="2">+P10*$X$1</f>
        <v>713</v>
      </c>
      <c r="R10" s="593">
        <f>F10+80</f>
        <v>693</v>
      </c>
      <c r="S10" s="270">
        <f t="shared" ref="S10" si="3">+R10*$X$1</f>
        <v>693</v>
      </c>
      <c r="T10" s="593">
        <f>F10+65</f>
        <v>678</v>
      </c>
      <c r="U10" s="270">
        <f t="shared" ref="U10" si="4">+T10*$X$1</f>
        <v>678</v>
      </c>
      <c r="V10" s="593">
        <f>F10+56</f>
        <v>669</v>
      </c>
      <c r="W10" s="270">
        <f t="shared" ref="W10" si="5">+V10*$X$1</f>
        <v>669</v>
      </c>
      <c r="X10" s="123"/>
      <c r="Y10" s="123"/>
      <c r="Z10" s="123"/>
      <c r="AA10" s="123"/>
      <c r="AB10" s="373">
        <v>13</v>
      </c>
      <c r="AE10" s="60"/>
      <c r="AF10" s="859" t="s">
        <v>799</v>
      </c>
      <c r="AG10" s="859"/>
      <c r="AH10" s="859"/>
    </row>
    <row r="11" spans="1:39" ht="12.6" customHeight="1" x14ac:dyDescent="0.2">
      <c r="A11" s="18"/>
      <c r="B11" s="851" t="s">
        <v>780</v>
      </c>
      <c r="C11" s="709"/>
      <c r="D11" s="709"/>
      <c r="E11" s="710"/>
      <c r="F11" s="271">
        <v>1170</v>
      </c>
      <c r="G11" s="292">
        <f t="shared" ref="G11" si="6">+F11*$X$1</f>
        <v>1170</v>
      </c>
      <c r="H11" s="264"/>
      <c r="I11" s="321"/>
      <c r="J11" s="85">
        <f>F11+120</f>
        <v>1290</v>
      </c>
      <c r="K11" s="271"/>
      <c r="L11" s="427"/>
      <c r="M11" s="271"/>
      <c r="N11" s="427">
        <f>F11+110</f>
        <v>1280</v>
      </c>
      <c r="O11" s="271">
        <f t="shared" ref="O11:O12" si="7">+N11*$X$1</f>
        <v>1280</v>
      </c>
      <c r="P11" s="427">
        <f>F11+100</f>
        <v>1270</v>
      </c>
      <c r="Q11" s="271">
        <f t="shared" ref="Q11:Q13" si="8">+P11*$X$1</f>
        <v>1270</v>
      </c>
      <c r="R11" s="427">
        <f>F11+80</f>
        <v>1250</v>
      </c>
      <c r="S11" s="271">
        <f t="shared" ref="S11:S12" si="9">+R11*$X$1</f>
        <v>1250</v>
      </c>
      <c r="T11" s="427">
        <f>F11+65</f>
        <v>1235</v>
      </c>
      <c r="U11" s="271">
        <f t="shared" ref="U11:U12" si="10">+T11*$X$1</f>
        <v>1235</v>
      </c>
      <c r="V11" s="427">
        <f>F11+56</f>
        <v>1226</v>
      </c>
      <c r="W11" s="271">
        <f t="shared" ref="W11:W12" si="11">+V11*$X$1</f>
        <v>1226</v>
      </c>
      <c r="X11" s="123"/>
      <c r="Y11" s="123"/>
      <c r="Z11" s="123"/>
      <c r="AA11" s="123"/>
      <c r="AB11" s="373">
        <v>14</v>
      </c>
      <c r="AE11" s="60"/>
      <c r="AF11" s="859" t="s">
        <v>23</v>
      </c>
      <c r="AG11" s="859"/>
      <c r="AH11" s="859"/>
    </row>
    <row r="12" spans="1:39" ht="12.6" customHeight="1" x14ac:dyDescent="0.2">
      <c r="A12" s="18"/>
      <c r="B12" s="768" t="s">
        <v>663</v>
      </c>
      <c r="C12" s="692"/>
      <c r="D12" s="692"/>
      <c r="E12" s="692"/>
      <c r="F12" s="271">
        <v>1280</v>
      </c>
      <c r="G12" s="293">
        <f t="shared" ref="G12:G13" si="12">+F12*$X$1</f>
        <v>1280</v>
      </c>
      <c r="H12" s="265"/>
      <c r="I12" s="320"/>
      <c r="J12" s="70"/>
      <c r="K12" s="270"/>
      <c r="L12" s="593"/>
      <c r="M12" s="270"/>
      <c r="N12" s="593">
        <f>F12+110</f>
        <v>1390</v>
      </c>
      <c r="O12" s="270">
        <f t="shared" si="7"/>
        <v>1390</v>
      </c>
      <c r="P12" s="593">
        <f>F12+100</f>
        <v>1380</v>
      </c>
      <c r="Q12" s="270">
        <f t="shared" si="8"/>
        <v>1380</v>
      </c>
      <c r="R12" s="593">
        <f>F12+80</f>
        <v>1360</v>
      </c>
      <c r="S12" s="270">
        <f t="shared" si="9"/>
        <v>1360</v>
      </c>
      <c r="T12" s="593">
        <f>F12+65</f>
        <v>1345</v>
      </c>
      <c r="U12" s="270">
        <f t="shared" si="10"/>
        <v>1345</v>
      </c>
      <c r="V12" s="593">
        <f>F12+56</f>
        <v>1336</v>
      </c>
      <c r="W12" s="270">
        <f t="shared" si="11"/>
        <v>1336</v>
      </c>
      <c r="X12" s="123"/>
      <c r="Y12" s="123"/>
      <c r="Z12" s="123"/>
      <c r="AA12" s="123"/>
      <c r="AB12" s="373">
        <v>15</v>
      </c>
      <c r="AE12" s="60"/>
      <c r="AF12" s="859" t="s">
        <v>388</v>
      </c>
      <c r="AG12" s="859"/>
      <c r="AH12" s="859"/>
    </row>
    <row r="13" spans="1:39" ht="12.6" customHeight="1" x14ac:dyDescent="0.2">
      <c r="A13" s="18"/>
      <c r="B13" s="851" t="s">
        <v>390</v>
      </c>
      <c r="C13" s="709"/>
      <c r="D13" s="709"/>
      <c r="E13" s="710"/>
      <c r="F13" s="271">
        <v>510</v>
      </c>
      <c r="G13" s="292">
        <f t="shared" si="12"/>
        <v>510</v>
      </c>
      <c r="H13" s="264"/>
      <c r="I13" s="321"/>
      <c r="J13" s="427">
        <f>F13+200</f>
        <v>710</v>
      </c>
      <c r="K13" s="271">
        <f t="shared" ref="K13" si="13">+J13*$X$1</f>
        <v>710</v>
      </c>
      <c r="L13" s="427">
        <f>F13+150</f>
        <v>660</v>
      </c>
      <c r="M13" s="271">
        <f t="shared" ref="M13" si="14">+L13*$X$1</f>
        <v>660</v>
      </c>
      <c r="N13" s="427">
        <f>F13+100</f>
        <v>610</v>
      </c>
      <c r="O13" s="271">
        <f>+N13*$X$1</f>
        <v>610</v>
      </c>
      <c r="P13" s="427">
        <f>F13+90</f>
        <v>600</v>
      </c>
      <c r="Q13" s="271">
        <f t="shared" si="8"/>
        <v>600</v>
      </c>
      <c r="R13" s="427">
        <f>F13+70</f>
        <v>580</v>
      </c>
      <c r="S13" s="271">
        <f>+R13*$X$1</f>
        <v>580</v>
      </c>
      <c r="T13" s="427">
        <f>F13+56</f>
        <v>566</v>
      </c>
      <c r="U13" s="271">
        <f t="shared" ref="U13:U14" si="15">+T13*$X$1</f>
        <v>566</v>
      </c>
      <c r="V13" s="427"/>
      <c r="W13" s="271"/>
      <c r="X13" s="123"/>
      <c r="Y13" s="123"/>
      <c r="Z13" s="123"/>
      <c r="AA13" s="123"/>
      <c r="AB13" s="373">
        <v>17</v>
      </c>
      <c r="AE13" s="60"/>
      <c r="AF13" s="859" t="s">
        <v>350</v>
      </c>
      <c r="AG13" s="859"/>
      <c r="AH13" s="859"/>
      <c r="AI13" s="60"/>
    </row>
    <row r="14" spans="1:39" ht="12.6" customHeight="1" x14ac:dyDescent="0.2">
      <c r="A14" s="18"/>
      <c r="B14" s="653" t="s">
        <v>678</v>
      </c>
      <c r="C14" s="736"/>
      <c r="D14" s="736"/>
      <c r="E14" s="737"/>
      <c r="F14" s="355">
        <f>26.2*X2</f>
        <v>32750</v>
      </c>
      <c r="G14" s="293">
        <f>+F14*$X$1</f>
        <v>32750</v>
      </c>
      <c r="H14" s="456">
        <f>F14+600</f>
        <v>33350</v>
      </c>
      <c r="I14" s="270">
        <f t="shared" ref="I14" si="16">+H14*$X$1</f>
        <v>33350</v>
      </c>
      <c r="J14" s="593">
        <f>F14+250</f>
        <v>33000</v>
      </c>
      <c r="K14" s="270">
        <f t="shared" ref="K14" si="17">+J14*$X$1</f>
        <v>33000</v>
      </c>
      <c r="L14" s="593">
        <f>F14+210</f>
        <v>32960</v>
      </c>
      <c r="M14" s="270">
        <f t="shared" ref="M14" si="18">+L14*$X$1</f>
        <v>32960</v>
      </c>
      <c r="N14" s="593">
        <f>F14+180</f>
        <v>32930</v>
      </c>
      <c r="O14" s="270">
        <f t="shared" ref="O14" si="19">+N14*$X$1</f>
        <v>32930</v>
      </c>
      <c r="P14" s="593">
        <f>F14+140</f>
        <v>32890</v>
      </c>
      <c r="Q14" s="270">
        <f t="shared" ref="Q14" si="20">+P14*$X$1</f>
        <v>32890</v>
      </c>
      <c r="R14" s="593">
        <f>F14+110</f>
        <v>32860</v>
      </c>
      <c r="S14" s="270">
        <f t="shared" ref="S14" si="21">+R14*$X$1</f>
        <v>32860</v>
      </c>
      <c r="T14" s="593">
        <f>F14+90</f>
        <v>32840</v>
      </c>
      <c r="U14" s="270">
        <f t="shared" si="15"/>
        <v>32840</v>
      </c>
      <c r="V14" s="593"/>
      <c r="W14" s="270"/>
      <c r="X14" s="642"/>
      <c r="Y14" s="707"/>
      <c r="Z14" s="707"/>
      <c r="AA14" s="643"/>
      <c r="AB14" s="373">
        <v>18</v>
      </c>
      <c r="AE14" s="71"/>
      <c r="AF14" s="859" t="s">
        <v>351</v>
      </c>
      <c r="AG14" s="859"/>
      <c r="AH14" s="859"/>
      <c r="AI14" s="489"/>
    </row>
    <row r="15" spans="1:39" ht="12.6" customHeight="1" x14ac:dyDescent="0.2">
      <c r="A15" s="18"/>
      <c r="B15" s="653" t="s">
        <v>944</v>
      </c>
      <c r="C15" s="736"/>
      <c r="D15" s="736"/>
      <c r="E15" s="737"/>
      <c r="F15" s="271">
        <v>6920</v>
      </c>
      <c r="G15" s="292">
        <f t="shared" ref="G15" si="22">+F15*$X$1</f>
        <v>6920</v>
      </c>
      <c r="H15" s="457">
        <f>F15+600</f>
        <v>7520</v>
      </c>
      <c r="I15" s="271">
        <f t="shared" ref="I15" si="23">+H15*$X$1</f>
        <v>7520</v>
      </c>
      <c r="J15" s="427">
        <f>F15+250</f>
        <v>7170</v>
      </c>
      <c r="K15" s="271">
        <f t="shared" ref="K15" si="24">+J15*$X$1</f>
        <v>7170</v>
      </c>
      <c r="L15" s="427">
        <f>F15+210</f>
        <v>7130</v>
      </c>
      <c r="M15" s="271">
        <f t="shared" ref="M15" si="25">+L15*$X$1</f>
        <v>7130</v>
      </c>
      <c r="N15" s="427">
        <f>F15+180</f>
        <v>7100</v>
      </c>
      <c r="O15" s="271">
        <f t="shared" ref="O15" si="26">+N15*$X$1</f>
        <v>7100</v>
      </c>
      <c r="P15" s="427">
        <f>F15+140</f>
        <v>7060</v>
      </c>
      <c r="Q15" s="271">
        <f t="shared" ref="Q15" si="27">+P15*$X$1</f>
        <v>7060</v>
      </c>
      <c r="R15" s="427">
        <f>F15+110</f>
        <v>7030</v>
      </c>
      <c r="S15" s="271">
        <f t="shared" ref="S15" si="28">+R15*$X$1</f>
        <v>7030</v>
      </c>
      <c r="T15" s="427">
        <f>F15+90</f>
        <v>7010</v>
      </c>
      <c r="U15" s="271">
        <f t="shared" ref="U15" si="29">+T15*$X$1</f>
        <v>7010</v>
      </c>
      <c r="V15" s="427"/>
      <c r="W15" s="271"/>
      <c r="X15" s="642"/>
      <c r="Y15" s="707"/>
      <c r="Z15" s="707"/>
      <c r="AA15" s="643"/>
      <c r="AB15" s="373">
        <v>19</v>
      </c>
      <c r="AE15" s="71"/>
      <c r="AF15" s="659" t="s">
        <v>24</v>
      </c>
      <c r="AG15" s="659"/>
      <c r="AH15" s="659"/>
      <c r="AI15" s="659"/>
    </row>
    <row r="16" spans="1:39" ht="12.6" customHeight="1" x14ac:dyDescent="0.2">
      <c r="A16" s="18"/>
      <c r="B16" s="716" t="s">
        <v>887</v>
      </c>
      <c r="C16" s="634"/>
      <c r="D16" s="634"/>
      <c r="E16" s="635"/>
      <c r="F16" s="356">
        <f>11*X2</f>
        <v>13750</v>
      </c>
      <c r="G16" s="270">
        <f>+F16*$X$1</f>
        <v>13750</v>
      </c>
      <c r="H16" s="265"/>
      <c r="I16" s="320"/>
      <c r="J16" s="569"/>
      <c r="K16" s="270"/>
      <c r="L16" s="569">
        <f>F16+210</f>
        <v>13960</v>
      </c>
      <c r="M16" s="270">
        <f t="shared" ref="M16" si="30">+L16*$X$1</f>
        <v>13960</v>
      </c>
      <c r="N16" s="569">
        <f>F16+180</f>
        <v>13930</v>
      </c>
      <c r="O16" s="270">
        <f t="shared" ref="O16" si="31">+N16*$X$1</f>
        <v>13930</v>
      </c>
      <c r="P16" s="569">
        <f>F16+140</f>
        <v>13890</v>
      </c>
      <c r="Q16" s="270">
        <f t="shared" ref="Q16" si="32">+P16*$X$1</f>
        <v>13890</v>
      </c>
      <c r="R16" s="569">
        <f>F16+110</f>
        <v>13860</v>
      </c>
      <c r="S16" s="270">
        <f t="shared" ref="S16" si="33">+R16*$X$1</f>
        <v>13860</v>
      </c>
      <c r="T16" s="569">
        <f>F16+90</f>
        <v>13840</v>
      </c>
      <c r="U16" s="270">
        <f t="shared" ref="U16" si="34">+T16*$X$1</f>
        <v>13840</v>
      </c>
      <c r="V16" s="569"/>
      <c r="W16" s="270"/>
      <c r="X16" s="522"/>
      <c r="Y16" s="154"/>
      <c r="Z16" s="154"/>
      <c r="AA16" s="155"/>
      <c r="AB16" s="373">
        <v>22</v>
      </c>
      <c r="AE16" s="71"/>
      <c r="AF16" s="659" t="s">
        <v>836</v>
      </c>
      <c r="AG16" s="659"/>
      <c r="AH16" s="659"/>
      <c r="AI16" s="659"/>
      <c r="AK16" s="64"/>
    </row>
    <row r="17" spans="1:37" ht="12.6" customHeight="1" x14ac:dyDescent="0.2">
      <c r="A17" s="92"/>
      <c r="B17" s="851" t="s">
        <v>25</v>
      </c>
      <c r="C17" s="709"/>
      <c r="D17" s="709"/>
      <c r="E17" s="710"/>
      <c r="F17" s="355">
        <f>4.1*X2</f>
        <v>5125</v>
      </c>
      <c r="G17" s="292">
        <f>+F17*$X$1</f>
        <v>5125</v>
      </c>
      <c r="H17" s="428">
        <f>F17+600</f>
        <v>5725</v>
      </c>
      <c r="I17" s="271">
        <f t="shared" ref="I17:I18" si="35">+H17*$X$1</f>
        <v>5725</v>
      </c>
      <c r="J17" s="427"/>
      <c r="K17" s="273"/>
      <c r="L17" s="427"/>
      <c r="M17" s="271"/>
      <c r="N17" s="427"/>
      <c r="O17" s="271"/>
      <c r="P17" s="96"/>
      <c r="Q17" s="860" t="s">
        <v>148</v>
      </c>
      <c r="R17" s="861"/>
      <c r="S17" s="861"/>
      <c r="T17" s="861"/>
      <c r="U17" s="861"/>
      <c r="V17" s="861"/>
      <c r="W17" s="862"/>
      <c r="X17" s="642"/>
      <c r="Y17" s="707"/>
      <c r="Z17" s="707"/>
      <c r="AA17" s="643"/>
      <c r="AB17" s="373">
        <v>24</v>
      </c>
      <c r="AE17" s="71"/>
      <c r="AF17" s="659" t="s">
        <v>939</v>
      </c>
      <c r="AG17" s="659"/>
      <c r="AH17" s="659"/>
      <c r="AI17" s="659"/>
      <c r="AJ17" s="659"/>
    </row>
    <row r="18" spans="1:37" ht="12.6" customHeight="1" x14ac:dyDescent="0.2">
      <c r="A18" s="119"/>
      <c r="B18" s="716" t="s">
        <v>523</v>
      </c>
      <c r="C18" s="717"/>
      <c r="D18" s="717"/>
      <c r="E18" s="718"/>
      <c r="F18" s="356">
        <f>4.1*X2</f>
        <v>5125</v>
      </c>
      <c r="G18" s="293">
        <f>+F18*$X$1</f>
        <v>5125</v>
      </c>
      <c r="H18" s="305">
        <f>F18+600</f>
        <v>5725</v>
      </c>
      <c r="I18" s="270">
        <f t="shared" si="35"/>
        <v>5725</v>
      </c>
      <c r="J18" s="569"/>
      <c r="K18" s="272"/>
      <c r="L18" s="106"/>
      <c r="M18" s="272"/>
      <c r="N18" s="106">
        <f>F18+40</f>
        <v>5165</v>
      </c>
      <c r="O18" s="270"/>
      <c r="P18" s="265"/>
      <c r="Q18" s="937" t="s">
        <v>148</v>
      </c>
      <c r="R18" s="938"/>
      <c r="S18" s="938"/>
      <c r="T18" s="938"/>
      <c r="U18" s="938"/>
      <c r="V18" s="938"/>
      <c r="W18" s="939"/>
      <c r="X18" s="232"/>
      <c r="Y18" s="183"/>
      <c r="Z18" s="183"/>
      <c r="AA18" s="182"/>
      <c r="AB18" s="373">
        <v>25</v>
      </c>
      <c r="AE18" s="71"/>
      <c r="AF18" s="659" t="s">
        <v>557</v>
      </c>
      <c r="AG18" s="659"/>
      <c r="AH18" s="659"/>
      <c r="AI18" s="659"/>
      <c r="AJ18" s="659"/>
    </row>
    <row r="19" spans="1:37" ht="12.6" customHeight="1" x14ac:dyDescent="0.2">
      <c r="A19" s="118"/>
      <c r="B19" s="851" t="s">
        <v>26</v>
      </c>
      <c r="C19" s="709"/>
      <c r="D19" s="709"/>
      <c r="E19" s="710"/>
      <c r="F19" s="271"/>
      <c r="G19" s="318"/>
      <c r="H19" s="264"/>
      <c r="I19" s="321"/>
      <c r="J19" s="427"/>
      <c r="K19" s="273"/>
      <c r="L19" s="427"/>
      <c r="M19" s="271"/>
      <c r="N19" s="427"/>
      <c r="O19" s="271"/>
      <c r="P19" s="96"/>
      <c r="Q19" s="271"/>
      <c r="R19" s="427"/>
      <c r="S19" s="271"/>
      <c r="T19" s="427"/>
      <c r="U19" s="271"/>
      <c r="V19" s="90"/>
      <c r="W19" s="271"/>
      <c r="X19" s="642"/>
      <c r="Y19" s="707"/>
      <c r="Z19" s="707"/>
      <c r="AA19" s="643"/>
      <c r="AB19" s="34"/>
      <c r="AF19" s="659" t="s">
        <v>361</v>
      </c>
      <c r="AG19" s="659"/>
      <c r="AH19" s="659"/>
      <c r="AI19" s="850"/>
      <c r="AJ19" s="850"/>
    </row>
    <row r="20" spans="1:37" ht="12.6" customHeight="1" x14ac:dyDescent="0.2">
      <c r="A20" s="18"/>
      <c r="B20" s="716" t="s">
        <v>27</v>
      </c>
      <c r="C20" s="634"/>
      <c r="D20" s="634"/>
      <c r="E20" s="635"/>
      <c r="F20" s="270">
        <v>4171</v>
      </c>
      <c r="G20" s="293">
        <f t="shared" ref="G20:G26" si="36">+F20*$X$1</f>
        <v>4171</v>
      </c>
      <c r="H20" s="456">
        <f>F20+600</f>
        <v>4771</v>
      </c>
      <c r="I20" s="270">
        <f t="shared" ref="I20:I21" si="37">+H20*$X$1</f>
        <v>4771</v>
      </c>
      <c r="J20" s="569">
        <f>F20+280</f>
        <v>4451</v>
      </c>
      <c r="K20" s="270">
        <f t="shared" ref="K20" si="38">+J20*$X$1</f>
        <v>4451</v>
      </c>
      <c r="L20" s="569">
        <f>F20+230</f>
        <v>4401</v>
      </c>
      <c r="M20" s="270">
        <f t="shared" ref="M20" si="39">+L20*$X$1</f>
        <v>4401</v>
      </c>
      <c r="N20" s="569">
        <f>F20+190</f>
        <v>4361</v>
      </c>
      <c r="O20" s="270">
        <f t="shared" ref="O20" si="40">+N20*$X$1</f>
        <v>4361</v>
      </c>
      <c r="P20" s="569">
        <f>F20+160</f>
        <v>4331</v>
      </c>
      <c r="Q20" s="270">
        <f t="shared" ref="Q20" si="41">+P20*$X$1</f>
        <v>4331</v>
      </c>
      <c r="R20" s="569">
        <f>F20+130</f>
        <v>4301</v>
      </c>
      <c r="S20" s="270">
        <f t="shared" ref="S20" si="42">+R20*$X$1</f>
        <v>4301</v>
      </c>
      <c r="T20" s="569">
        <f>F20+110</f>
        <v>4281</v>
      </c>
      <c r="U20" s="270">
        <f t="shared" ref="U20" si="43">+T20*$X$1</f>
        <v>4281</v>
      </c>
      <c r="V20" s="569">
        <f>F20+90</f>
        <v>4261</v>
      </c>
      <c r="W20" s="270">
        <f t="shared" ref="W20" si="44">+V20*$X$1</f>
        <v>4261</v>
      </c>
      <c r="X20" s="642"/>
      <c r="Y20" s="707"/>
      <c r="Z20" s="707"/>
      <c r="AA20" s="643"/>
      <c r="AB20" s="373" t="s">
        <v>28</v>
      </c>
      <c r="AE20" s="71"/>
      <c r="AF20" s="659" t="s">
        <v>362</v>
      </c>
      <c r="AG20" s="659"/>
      <c r="AH20" s="659"/>
      <c r="AI20" s="659"/>
      <c r="AJ20" s="72"/>
    </row>
    <row r="21" spans="1:37" ht="12.6" customHeight="1" x14ac:dyDescent="0.2">
      <c r="A21" s="18"/>
      <c r="B21" s="700" t="s">
        <v>29</v>
      </c>
      <c r="C21" s="638"/>
      <c r="D21" s="638"/>
      <c r="E21" s="638"/>
      <c r="F21" s="271">
        <v>4171</v>
      </c>
      <c r="G21" s="292">
        <f t="shared" ref="G21" si="45">+F21*$X$1</f>
        <v>4171</v>
      </c>
      <c r="H21" s="457">
        <f>F21+600</f>
        <v>4771</v>
      </c>
      <c r="I21" s="271">
        <f t="shared" si="37"/>
        <v>4771</v>
      </c>
      <c r="J21" s="427">
        <f>F21+280</f>
        <v>4451</v>
      </c>
      <c r="K21" s="271">
        <f t="shared" ref="K21" si="46">+J21*$X$1</f>
        <v>4451</v>
      </c>
      <c r="L21" s="427">
        <f>F21+230</f>
        <v>4401</v>
      </c>
      <c r="M21" s="271">
        <f t="shared" ref="M21" si="47">+L21*$X$1</f>
        <v>4401</v>
      </c>
      <c r="N21" s="427">
        <f>F21+190</f>
        <v>4361</v>
      </c>
      <c r="O21" s="271">
        <f t="shared" ref="O21" si="48">+N21*$X$1</f>
        <v>4361</v>
      </c>
      <c r="P21" s="427">
        <f>F21+160</f>
        <v>4331</v>
      </c>
      <c r="Q21" s="271">
        <f t="shared" ref="Q21" si="49">+P21*$X$1</f>
        <v>4331</v>
      </c>
      <c r="R21" s="427">
        <f>F21+130</f>
        <v>4301</v>
      </c>
      <c r="S21" s="271">
        <f t="shared" ref="S21" si="50">+R21*$X$1</f>
        <v>4301</v>
      </c>
      <c r="T21" s="427">
        <f>F21+110</f>
        <v>4281</v>
      </c>
      <c r="U21" s="271">
        <f t="shared" ref="U21" si="51">+T21*$X$1</f>
        <v>4281</v>
      </c>
      <c r="V21" s="427">
        <f>F21+90</f>
        <v>4261</v>
      </c>
      <c r="W21" s="271">
        <f t="shared" ref="W21" si="52">+V21*$X$1</f>
        <v>4261</v>
      </c>
      <c r="X21" s="642"/>
      <c r="Y21" s="707"/>
      <c r="Z21" s="707"/>
      <c r="AA21" s="643"/>
      <c r="AB21" s="373" t="s">
        <v>30</v>
      </c>
      <c r="AE21" s="71"/>
      <c r="AF21" s="659" t="s">
        <v>378</v>
      </c>
      <c r="AG21" s="659"/>
      <c r="AH21" s="659"/>
      <c r="AI21" s="659"/>
      <c r="AJ21" s="850"/>
    </row>
    <row r="22" spans="1:37" ht="12.6" customHeight="1" x14ac:dyDescent="0.2">
      <c r="A22" s="18"/>
      <c r="B22" s="768" t="s">
        <v>333</v>
      </c>
      <c r="C22" s="692"/>
      <c r="D22" s="692"/>
      <c r="E22" s="692"/>
      <c r="F22" s="270">
        <v>595</v>
      </c>
      <c r="G22" s="327">
        <f t="shared" si="36"/>
        <v>595</v>
      </c>
      <c r="H22" s="268"/>
      <c r="I22" s="335"/>
      <c r="J22" s="199"/>
      <c r="K22" s="272"/>
      <c r="L22" s="106"/>
      <c r="M22" s="272"/>
      <c r="N22" s="106"/>
      <c r="O22" s="270"/>
      <c r="P22" s="265"/>
      <c r="Q22" s="320"/>
      <c r="R22" s="569"/>
      <c r="S22" s="270"/>
      <c r="T22" s="569"/>
      <c r="U22" s="270"/>
      <c r="V22" s="569"/>
      <c r="W22" s="270"/>
      <c r="X22" s="123"/>
      <c r="Y22" s="123"/>
      <c r="Z22" s="123"/>
      <c r="AA22" s="123"/>
      <c r="AB22" s="373">
        <v>35</v>
      </c>
      <c r="AE22" s="71"/>
      <c r="AF22" s="659" t="s">
        <v>334</v>
      </c>
      <c r="AG22" s="850"/>
      <c r="AH22" s="850"/>
      <c r="AI22" s="850"/>
      <c r="AJ22" s="72"/>
    </row>
    <row r="23" spans="1:37" ht="12.6" customHeight="1" x14ac:dyDescent="0.2">
      <c r="A23" s="18"/>
      <c r="B23" s="700" t="s">
        <v>332</v>
      </c>
      <c r="C23" s="638"/>
      <c r="D23" s="638"/>
      <c r="E23" s="638"/>
      <c r="F23" s="271">
        <v>1930</v>
      </c>
      <c r="G23" s="318">
        <f t="shared" si="36"/>
        <v>1930</v>
      </c>
      <c r="H23" s="264"/>
      <c r="I23" s="321"/>
      <c r="J23" s="113"/>
      <c r="K23" s="271"/>
      <c r="L23" s="427"/>
      <c r="M23" s="271"/>
      <c r="N23" s="427"/>
      <c r="O23" s="271"/>
      <c r="P23" s="264"/>
      <c r="Q23" s="321"/>
      <c r="R23" s="427"/>
      <c r="S23" s="336"/>
      <c r="T23" s="96"/>
      <c r="U23" s="298"/>
      <c r="V23" s="96"/>
      <c r="W23" s="271"/>
      <c r="X23" s="123"/>
      <c r="Y23" s="123"/>
      <c r="Z23" s="123"/>
      <c r="AA23" s="123"/>
      <c r="AB23" s="373">
        <v>36</v>
      </c>
      <c r="AE23" s="71"/>
      <c r="AF23" s="659" t="s">
        <v>470</v>
      </c>
      <c r="AG23" s="659"/>
      <c r="AH23" s="659"/>
      <c r="AI23" s="659"/>
      <c r="AJ23" s="72"/>
    </row>
    <row r="24" spans="1:37" ht="12.6" customHeight="1" x14ac:dyDescent="0.2">
      <c r="A24" s="18"/>
      <c r="B24" s="768" t="s">
        <v>31</v>
      </c>
      <c r="C24" s="692"/>
      <c r="D24" s="692"/>
      <c r="E24" s="692"/>
      <c r="F24" s="270">
        <v>1930</v>
      </c>
      <c r="G24" s="288">
        <f t="shared" si="36"/>
        <v>1930</v>
      </c>
      <c r="H24" s="268"/>
      <c r="I24" s="324"/>
      <c r="J24" s="114"/>
      <c r="K24" s="270"/>
      <c r="L24" s="569"/>
      <c r="M24" s="270"/>
      <c r="N24" s="569"/>
      <c r="O24" s="270"/>
      <c r="P24" s="268"/>
      <c r="Q24" s="324"/>
      <c r="R24" s="569"/>
      <c r="S24" s="301"/>
      <c r="T24" s="569"/>
      <c r="U24" s="270"/>
      <c r="V24" s="569"/>
      <c r="W24" s="270"/>
      <c r="X24" s="123"/>
      <c r="Y24" s="123"/>
      <c r="Z24" s="123"/>
      <c r="AA24" s="123"/>
      <c r="AB24" s="373" t="s">
        <v>32</v>
      </c>
      <c r="AE24" s="71"/>
      <c r="AF24" s="659" t="s">
        <v>33</v>
      </c>
      <c r="AG24" s="659"/>
      <c r="AH24" s="659"/>
      <c r="AI24" s="659"/>
      <c r="AJ24" s="72"/>
    </row>
    <row r="25" spans="1:37" ht="12.6" customHeight="1" x14ac:dyDescent="0.2">
      <c r="A25" s="18"/>
      <c r="B25" s="700" t="s">
        <v>34</v>
      </c>
      <c r="C25" s="638"/>
      <c r="D25" s="638"/>
      <c r="E25" s="638"/>
      <c r="F25" s="271"/>
      <c r="G25" s="318"/>
      <c r="H25" s="264"/>
      <c r="I25" s="321"/>
      <c r="J25" s="113"/>
      <c r="K25" s="273"/>
      <c r="L25" s="90"/>
      <c r="M25" s="273"/>
      <c r="N25" s="90"/>
      <c r="O25" s="273"/>
      <c r="P25" s="90"/>
      <c r="Q25" s="273"/>
      <c r="R25" s="90"/>
      <c r="S25" s="350"/>
      <c r="T25" s="90"/>
      <c r="U25" s="325"/>
      <c r="V25" s="90"/>
      <c r="W25" s="273"/>
      <c r="X25" s="123"/>
      <c r="Y25" s="123"/>
      <c r="Z25" s="123"/>
      <c r="AA25" s="123"/>
      <c r="AB25" s="373" t="s">
        <v>35</v>
      </c>
      <c r="AD25" s="23"/>
      <c r="AE25" s="73"/>
      <c r="AF25" s="659" t="s">
        <v>36</v>
      </c>
      <c r="AG25" s="850"/>
      <c r="AH25" s="850"/>
      <c r="AI25" s="850"/>
      <c r="AJ25" s="72"/>
    </row>
    <row r="26" spans="1:37" ht="12.6" customHeight="1" x14ac:dyDescent="0.2">
      <c r="A26" s="18"/>
      <c r="B26" s="716" t="s">
        <v>37</v>
      </c>
      <c r="C26" s="634"/>
      <c r="D26" s="634"/>
      <c r="E26" s="635"/>
      <c r="F26" s="351">
        <f>8.97*X2</f>
        <v>11212.5</v>
      </c>
      <c r="G26" s="270">
        <f t="shared" si="36"/>
        <v>11212.5</v>
      </c>
      <c r="H26" s="305"/>
      <c r="I26" s="270"/>
      <c r="J26" s="569"/>
      <c r="K26" s="270"/>
      <c r="L26" s="569">
        <f>F26+230</f>
        <v>11442.5</v>
      </c>
      <c r="M26" s="270">
        <f t="shared" ref="M26" si="53">+L26*$X$1</f>
        <v>11442.5</v>
      </c>
      <c r="N26" s="569">
        <f>F26+190</f>
        <v>11402.5</v>
      </c>
      <c r="O26" s="270">
        <f t="shared" ref="O26" si="54">+N26*$X$1</f>
        <v>11402.5</v>
      </c>
      <c r="P26" s="569">
        <f>F26+160</f>
        <v>11372.5</v>
      </c>
      <c r="Q26" s="270">
        <f t="shared" ref="Q26" si="55">+P26*$X$1</f>
        <v>11372.5</v>
      </c>
      <c r="R26" s="569">
        <f>F26+130</f>
        <v>11342.5</v>
      </c>
      <c r="S26" s="270">
        <f t="shared" ref="S26" si="56">+R26*$X$1</f>
        <v>11342.5</v>
      </c>
      <c r="T26" s="569">
        <f>F26+110</f>
        <v>11322.5</v>
      </c>
      <c r="U26" s="270">
        <f t="shared" ref="U26" si="57">+T26*$X$1</f>
        <v>11322.5</v>
      </c>
      <c r="V26" s="569"/>
      <c r="W26" s="270"/>
      <c r="X26" s="642"/>
      <c r="Y26" s="833"/>
      <c r="Z26" s="833"/>
      <c r="AA26" s="787"/>
      <c r="AB26" s="373">
        <v>39</v>
      </c>
      <c r="AE26" s="71"/>
      <c r="AF26" s="659" t="s">
        <v>717</v>
      </c>
      <c r="AG26" s="659"/>
      <c r="AH26" s="659"/>
      <c r="AI26" s="850"/>
      <c r="AJ26" s="850"/>
    </row>
    <row r="27" spans="1:37" ht="12.6" customHeight="1" x14ac:dyDescent="0.2">
      <c r="A27" s="18"/>
      <c r="B27" s="856" t="s">
        <v>38</v>
      </c>
      <c r="C27" s="857"/>
      <c r="D27" s="857"/>
      <c r="E27" s="858"/>
      <c r="F27" s="273"/>
      <c r="G27" s="271"/>
      <c r="H27" s="264"/>
      <c r="I27" s="321"/>
      <c r="J27" s="113"/>
      <c r="K27" s="271"/>
      <c r="L27" s="427"/>
      <c r="M27" s="271"/>
      <c r="N27" s="427"/>
      <c r="O27" s="271"/>
      <c r="P27" s="266"/>
      <c r="Q27" s="271"/>
      <c r="R27" s="427"/>
      <c r="S27" s="271"/>
      <c r="T27" s="427"/>
      <c r="U27" s="271"/>
      <c r="V27" s="427"/>
      <c r="W27" s="271"/>
      <c r="X27" s="122"/>
      <c r="Y27" s="123"/>
      <c r="Z27" s="123"/>
      <c r="AA27" s="123"/>
      <c r="AB27" s="373" t="s">
        <v>39</v>
      </c>
      <c r="AE27" s="71"/>
      <c r="AF27" s="659" t="s">
        <v>40</v>
      </c>
      <c r="AG27" s="659"/>
      <c r="AH27" s="659"/>
      <c r="AI27" s="659"/>
      <c r="AJ27" s="72"/>
    </row>
    <row r="28" spans="1:37" ht="12.6" customHeight="1" x14ac:dyDescent="0.2">
      <c r="A28" s="18"/>
      <c r="B28" s="768" t="s">
        <v>41</v>
      </c>
      <c r="C28" s="692"/>
      <c r="D28" s="692"/>
      <c r="E28" s="692"/>
      <c r="F28" s="351"/>
      <c r="G28" s="270"/>
      <c r="H28" s="265"/>
      <c r="I28" s="320"/>
      <c r="J28" s="561"/>
      <c r="K28" s="270"/>
      <c r="L28" s="561">
        <f>8.2*X2</f>
        <v>10250</v>
      </c>
      <c r="M28" s="270">
        <f t="shared" ref="M28:M30" si="58">+L28*$X$1</f>
        <v>10250</v>
      </c>
      <c r="N28" s="561">
        <f>8*X2</f>
        <v>10000</v>
      </c>
      <c r="O28" s="270">
        <f t="shared" ref="O28:O30" si="59">+N28*$X$1</f>
        <v>10000</v>
      </c>
      <c r="P28" s="299">
        <f>7.9*X2</f>
        <v>9875</v>
      </c>
      <c r="Q28" s="270">
        <f t="shared" ref="Q28:Q30" si="60">+P28*$X$1</f>
        <v>9875</v>
      </c>
      <c r="R28" s="561">
        <f>7.8*X2</f>
        <v>9750</v>
      </c>
      <c r="S28" s="270">
        <f t="shared" ref="S28:S30" si="61">+R28*$X$1</f>
        <v>9750</v>
      </c>
      <c r="T28" s="561">
        <f>7.7*X2</f>
        <v>9625</v>
      </c>
      <c r="U28" s="270">
        <f t="shared" ref="U28:U30" si="62">+T28*$X$1</f>
        <v>9625</v>
      </c>
      <c r="V28" s="561"/>
      <c r="W28" s="270"/>
      <c r="X28" s="828"/>
      <c r="Y28" s="833"/>
      <c r="Z28" s="833"/>
      <c r="AA28" s="787"/>
      <c r="AB28" s="373">
        <v>40</v>
      </c>
      <c r="AE28" s="71"/>
      <c r="AF28" s="659" t="s">
        <v>42</v>
      </c>
      <c r="AG28" s="659"/>
      <c r="AH28" s="659"/>
      <c r="AI28" s="659"/>
      <c r="AJ28" s="850"/>
    </row>
    <row r="29" spans="1:37" ht="12.6" customHeight="1" x14ac:dyDescent="0.2">
      <c r="A29" s="18"/>
      <c r="B29" s="851" t="s">
        <v>340</v>
      </c>
      <c r="C29" s="709"/>
      <c r="D29" s="709"/>
      <c r="E29" s="710"/>
      <c r="F29" s="355">
        <f>10.35*X2</f>
        <v>12937.5</v>
      </c>
      <c r="G29" s="271">
        <f>+F29*$X$1</f>
        <v>12937.5</v>
      </c>
      <c r="H29" s="264"/>
      <c r="I29" s="321"/>
      <c r="J29" s="427"/>
      <c r="K29" s="271"/>
      <c r="L29" s="427">
        <f>F29+210</f>
        <v>13147.5</v>
      </c>
      <c r="M29" s="271">
        <f t="shared" si="58"/>
        <v>13147.5</v>
      </c>
      <c r="N29" s="427">
        <f>F29+180</f>
        <v>13117.5</v>
      </c>
      <c r="O29" s="271">
        <f t="shared" si="59"/>
        <v>13117.5</v>
      </c>
      <c r="P29" s="427">
        <f>F29+140</f>
        <v>13077.5</v>
      </c>
      <c r="Q29" s="271">
        <f t="shared" si="60"/>
        <v>13077.5</v>
      </c>
      <c r="R29" s="427">
        <f>F29+110</f>
        <v>13047.5</v>
      </c>
      <c r="S29" s="271">
        <f t="shared" si="61"/>
        <v>13047.5</v>
      </c>
      <c r="T29" s="427">
        <f>F29+90</f>
        <v>13027.5</v>
      </c>
      <c r="U29" s="271">
        <f t="shared" si="62"/>
        <v>13027.5</v>
      </c>
      <c r="V29" s="427"/>
      <c r="W29" s="271"/>
      <c r="X29" s="203"/>
      <c r="Y29" s="154"/>
      <c r="Z29" s="154"/>
      <c r="AA29" s="155"/>
      <c r="AB29" s="373">
        <v>44</v>
      </c>
      <c r="AE29" s="71"/>
      <c r="AF29" s="659" t="s">
        <v>393</v>
      </c>
      <c r="AG29" s="659"/>
      <c r="AH29" s="659"/>
      <c r="AI29" s="850"/>
      <c r="AJ29" s="850"/>
      <c r="AK29" s="64"/>
    </row>
    <row r="30" spans="1:37" ht="12.6" customHeight="1" x14ac:dyDescent="0.2">
      <c r="A30" s="18"/>
      <c r="B30" s="809" t="s">
        <v>638</v>
      </c>
      <c r="C30" s="640"/>
      <c r="D30" s="640"/>
      <c r="E30" s="640"/>
      <c r="F30" s="351">
        <f>0.51*X2</f>
        <v>637.5</v>
      </c>
      <c r="G30" s="270">
        <f>+F30*$X$1</f>
        <v>637.5</v>
      </c>
      <c r="H30" s="265"/>
      <c r="I30" s="320"/>
      <c r="J30" s="70"/>
      <c r="K30" s="270"/>
      <c r="L30" s="561">
        <f>F30+150</f>
        <v>787.5</v>
      </c>
      <c r="M30" s="270">
        <f t="shared" si="58"/>
        <v>787.5</v>
      </c>
      <c r="N30" s="561">
        <f>F30+110</f>
        <v>747.5</v>
      </c>
      <c r="O30" s="270">
        <f t="shared" si="59"/>
        <v>747.5</v>
      </c>
      <c r="P30" s="561">
        <f>F30+100</f>
        <v>737.5</v>
      </c>
      <c r="Q30" s="270">
        <f t="shared" si="60"/>
        <v>737.5</v>
      </c>
      <c r="R30" s="561">
        <f>F30+80</f>
        <v>717.5</v>
      </c>
      <c r="S30" s="270">
        <f t="shared" si="61"/>
        <v>717.5</v>
      </c>
      <c r="T30" s="561">
        <f>F30+65</f>
        <v>702.5</v>
      </c>
      <c r="U30" s="270">
        <f t="shared" si="62"/>
        <v>702.5</v>
      </c>
      <c r="V30" s="561">
        <f>F30+56</f>
        <v>693.5</v>
      </c>
      <c r="W30" s="270">
        <f t="shared" ref="W30" si="63">+V30*$X$1</f>
        <v>693.5</v>
      </c>
      <c r="X30" s="123"/>
      <c r="Y30" s="123"/>
      <c r="Z30" s="123"/>
      <c r="AA30" s="123"/>
      <c r="AB30" s="373">
        <v>45</v>
      </c>
      <c r="AF30" s="659" t="s">
        <v>716</v>
      </c>
      <c r="AG30" s="659"/>
      <c r="AH30" s="659"/>
      <c r="AI30" s="659"/>
      <c r="AJ30" s="659"/>
    </row>
    <row r="31" spans="1:37" ht="12.6" customHeight="1" x14ac:dyDescent="0.2">
      <c r="A31" s="18"/>
      <c r="B31" s="700" t="s">
        <v>43</v>
      </c>
      <c r="C31" s="638"/>
      <c r="D31" s="638"/>
      <c r="E31" s="638"/>
      <c r="F31" s="271">
        <v>690</v>
      </c>
      <c r="G31" s="292">
        <f t="shared" ref="G31:G39" si="64">+F31*$X$1</f>
        <v>690</v>
      </c>
      <c r="H31" s="806" t="s">
        <v>44</v>
      </c>
      <c r="I31" s="806"/>
      <c r="J31" s="807"/>
      <c r="K31" s="808"/>
      <c r="L31" s="264"/>
      <c r="M31" s="321"/>
      <c r="N31" s="86">
        <v>2040</v>
      </c>
      <c r="O31" s="292">
        <f t="shared" ref="O31:O42" si="65">+N31*$X$1</f>
        <v>2040</v>
      </c>
      <c r="P31" s="266">
        <v>1880</v>
      </c>
      <c r="Q31" s="616">
        <f t="shared" ref="Q31:S53" si="66">+P31*$X$1</f>
        <v>1880</v>
      </c>
      <c r="R31" s="96">
        <v>1736</v>
      </c>
      <c r="S31" s="286">
        <f t="shared" si="66"/>
        <v>1736</v>
      </c>
      <c r="T31" s="614">
        <v>1603</v>
      </c>
      <c r="U31" s="286">
        <f t="shared" ref="U31:U48" si="67">+T31*$X$1</f>
        <v>1603</v>
      </c>
      <c r="V31" s="614">
        <v>1548</v>
      </c>
      <c r="W31" s="271">
        <f t="shared" ref="W31:W48" si="68">+V31*$X$1</f>
        <v>1548</v>
      </c>
      <c r="X31" s="642"/>
      <c r="Y31" s="833"/>
      <c r="Z31" s="833"/>
      <c r="AA31" s="787"/>
      <c r="AB31" s="373" t="s">
        <v>45</v>
      </c>
      <c r="AE31" s="71"/>
    </row>
    <row r="32" spans="1:37" ht="12.6" customHeight="1" x14ac:dyDescent="0.2">
      <c r="A32" s="18"/>
      <c r="B32" s="768" t="s">
        <v>46</v>
      </c>
      <c r="C32" s="692"/>
      <c r="D32" s="692"/>
      <c r="E32" s="692"/>
      <c r="F32" s="270">
        <v>690</v>
      </c>
      <c r="G32" s="293">
        <f t="shared" si="64"/>
        <v>690</v>
      </c>
      <c r="H32" s="793" t="s">
        <v>44</v>
      </c>
      <c r="I32" s="793"/>
      <c r="J32" s="794"/>
      <c r="K32" s="816"/>
      <c r="L32" s="265"/>
      <c r="M32" s="320"/>
      <c r="N32" s="82">
        <v>2040</v>
      </c>
      <c r="O32" s="293">
        <f t="shared" ref="O32:O35" si="69">+N32*$X$1</f>
        <v>2040</v>
      </c>
      <c r="P32" s="299">
        <v>1880</v>
      </c>
      <c r="Q32" s="617">
        <f t="shared" ref="Q32:Q35" si="70">+P32*$X$1</f>
        <v>1880</v>
      </c>
      <c r="R32" s="97">
        <v>1736</v>
      </c>
      <c r="S32" s="246">
        <f t="shared" ref="S32:S35" si="71">+R32*$X$1</f>
        <v>1736</v>
      </c>
      <c r="T32" s="605">
        <v>1603</v>
      </c>
      <c r="U32" s="246">
        <f t="shared" ref="U32:U35" si="72">+T32*$X$1</f>
        <v>1603</v>
      </c>
      <c r="V32" s="605">
        <v>1548</v>
      </c>
      <c r="W32" s="270">
        <f t="shared" ref="W32:W35" si="73">+V32*$X$1</f>
        <v>1548</v>
      </c>
      <c r="X32" s="642"/>
      <c r="Y32" s="833"/>
      <c r="Z32" s="833"/>
      <c r="AA32" s="787"/>
      <c r="AB32" s="373" t="s">
        <v>47</v>
      </c>
    </row>
    <row r="33" spans="1:28" ht="12.6" customHeight="1" x14ac:dyDescent="0.2">
      <c r="A33" s="18"/>
      <c r="B33" s="700" t="s">
        <v>48</v>
      </c>
      <c r="C33" s="638"/>
      <c r="D33" s="638"/>
      <c r="E33" s="638"/>
      <c r="F33" s="271">
        <v>690</v>
      </c>
      <c r="G33" s="292">
        <f t="shared" si="64"/>
        <v>690</v>
      </c>
      <c r="H33" s="834" t="s">
        <v>44</v>
      </c>
      <c r="I33" s="834"/>
      <c r="J33" s="835"/>
      <c r="K33" s="836"/>
      <c r="L33" s="264"/>
      <c r="M33" s="321"/>
      <c r="N33" s="86">
        <v>2040</v>
      </c>
      <c r="O33" s="292">
        <f t="shared" si="69"/>
        <v>2040</v>
      </c>
      <c r="P33" s="266">
        <v>1880</v>
      </c>
      <c r="Q33" s="616">
        <f t="shared" si="70"/>
        <v>1880</v>
      </c>
      <c r="R33" s="96">
        <v>1736</v>
      </c>
      <c r="S33" s="286">
        <f t="shared" si="71"/>
        <v>1736</v>
      </c>
      <c r="T33" s="614">
        <v>1603</v>
      </c>
      <c r="U33" s="286">
        <f t="shared" si="72"/>
        <v>1603</v>
      </c>
      <c r="V33" s="614">
        <v>1548</v>
      </c>
      <c r="W33" s="271">
        <f t="shared" si="73"/>
        <v>1548</v>
      </c>
      <c r="X33" s="642"/>
      <c r="Y33" s="833"/>
      <c r="Z33" s="833"/>
      <c r="AA33" s="787"/>
      <c r="AB33" s="373" t="s">
        <v>49</v>
      </c>
    </row>
    <row r="34" spans="1:28" ht="12.6" customHeight="1" x14ac:dyDescent="0.2">
      <c r="A34" s="18"/>
      <c r="B34" s="768" t="s">
        <v>50</v>
      </c>
      <c r="C34" s="692"/>
      <c r="D34" s="692"/>
      <c r="E34" s="692"/>
      <c r="F34" s="270">
        <v>690</v>
      </c>
      <c r="G34" s="293">
        <f t="shared" si="64"/>
        <v>690</v>
      </c>
      <c r="H34" s="793" t="s">
        <v>44</v>
      </c>
      <c r="I34" s="793"/>
      <c r="J34" s="794"/>
      <c r="K34" s="816"/>
      <c r="L34" s="265"/>
      <c r="M34" s="320"/>
      <c r="N34" s="82">
        <v>2040</v>
      </c>
      <c r="O34" s="293">
        <f t="shared" si="69"/>
        <v>2040</v>
      </c>
      <c r="P34" s="299">
        <v>1880</v>
      </c>
      <c r="Q34" s="617">
        <f t="shared" si="70"/>
        <v>1880</v>
      </c>
      <c r="R34" s="97">
        <v>1736</v>
      </c>
      <c r="S34" s="246">
        <f t="shared" si="71"/>
        <v>1736</v>
      </c>
      <c r="T34" s="605">
        <v>1603</v>
      </c>
      <c r="U34" s="246">
        <f t="shared" si="72"/>
        <v>1603</v>
      </c>
      <c r="V34" s="605">
        <v>1548</v>
      </c>
      <c r="W34" s="270">
        <f t="shared" si="73"/>
        <v>1548</v>
      </c>
      <c r="X34" s="642"/>
      <c r="Y34" s="833"/>
      <c r="Z34" s="833"/>
      <c r="AA34" s="787"/>
      <c r="AB34" s="373" t="s">
        <v>51</v>
      </c>
    </row>
    <row r="35" spans="1:28" ht="12.6" customHeight="1" x14ac:dyDescent="0.2">
      <c r="A35" s="18"/>
      <c r="B35" s="700" t="s">
        <v>52</v>
      </c>
      <c r="C35" s="638"/>
      <c r="D35" s="638"/>
      <c r="E35" s="638"/>
      <c r="F35" s="271">
        <v>690</v>
      </c>
      <c r="G35" s="292">
        <f t="shared" si="64"/>
        <v>690</v>
      </c>
      <c r="H35" s="834" t="s">
        <v>44</v>
      </c>
      <c r="I35" s="834"/>
      <c r="J35" s="835"/>
      <c r="K35" s="836"/>
      <c r="L35" s="264"/>
      <c r="M35" s="321"/>
      <c r="N35" s="86">
        <v>2040</v>
      </c>
      <c r="O35" s="292">
        <f t="shared" si="69"/>
        <v>2040</v>
      </c>
      <c r="P35" s="266">
        <v>1880</v>
      </c>
      <c r="Q35" s="616">
        <f t="shared" si="70"/>
        <v>1880</v>
      </c>
      <c r="R35" s="96">
        <v>1736</v>
      </c>
      <c r="S35" s="286">
        <f t="shared" si="71"/>
        <v>1736</v>
      </c>
      <c r="T35" s="614">
        <v>1603</v>
      </c>
      <c r="U35" s="286">
        <f t="shared" si="72"/>
        <v>1603</v>
      </c>
      <c r="V35" s="614">
        <v>1548</v>
      </c>
      <c r="W35" s="271">
        <f t="shared" si="73"/>
        <v>1548</v>
      </c>
      <c r="X35" s="642"/>
      <c r="Y35" s="833"/>
      <c r="Z35" s="833"/>
      <c r="AA35" s="787"/>
      <c r="AB35" s="373" t="s">
        <v>53</v>
      </c>
    </row>
    <row r="36" spans="1:28" ht="12.6" customHeight="1" x14ac:dyDescent="0.25">
      <c r="A36" s="18"/>
      <c r="B36" s="768" t="s">
        <v>54</v>
      </c>
      <c r="C36" s="692"/>
      <c r="D36" s="692"/>
      <c r="E36" s="692"/>
      <c r="F36" s="270">
        <v>690</v>
      </c>
      <c r="G36" s="293">
        <f t="shared" si="64"/>
        <v>690</v>
      </c>
      <c r="H36" s="793" t="s">
        <v>44</v>
      </c>
      <c r="I36" s="793"/>
      <c r="J36" s="794"/>
      <c r="K36" s="816"/>
      <c r="L36" s="265"/>
      <c r="M36" s="320"/>
      <c r="N36" s="82">
        <v>1770</v>
      </c>
      <c r="O36" s="293">
        <f t="shared" si="65"/>
        <v>1770</v>
      </c>
      <c r="P36" s="299">
        <v>1623</v>
      </c>
      <c r="Q36" s="617">
        <f t="shared" si="66"/>
        <v>1623</v>
      </c>
      <c r="R36" s="605">
        <v>1488</v>
      </c>
      <c r="S36" s="246">
        <f t="shared" si="66"/>
        <v>1488</v>
      </c>
      <c r="T36" s="605">
        <v>1386</v>
      </c>
      <c r="U36" s="246">
        <f t="shared" si="67"/>
        <v>1386</v>
      </c>
      <c r="V36" s="605">
        <v>1317</v>
      </c>
      <c r="W36" s="270">
        <f t="shared" si="68"/>
        <v>1317</v>
      </c>
      <c r="X36" s="642"/>
      <c r="Y36" s="673"/>
      <c r="Z36" s="673"/>
      <c r="AA36" s="674"/>
      <c r="AB36" s="373" t="s">
        <v>430</v>
      </c>
    </row>
    <row r="37" spans="1:28" ht="12.6" customHeight="1" x14ac:dyDescent="0.2">
      <c r="A37" s="18"/>
      <c r="B37" s="700" t="s">
        <v>55</v>
      </c>
      <c r="C37" s="638"/>
      <c r="D37" s="638"/>
      <c r="E37" s="638"/>
      <c r="F37" s="271">
        <v>690</v>
      </c>
      <c r="G37" s="292">
        <f t="shared" si="64"/>
        <v>690</v>
      </c>
      <c r="H37" s="834" t="s">
        <v>44</v>
      </c>
      <c r="I37" s="834"/>
      <c r="J37" s="835"/>
      <c r="K37" s="836"/>
      <c r="L37" s="264"/>
      <c r="M37" s="321"/>
      <c r="N37" s="86">
        <v>1560</v>
      </c>
      <c r="O37" s="292">
        <f t="shared" ref="O37" si="74">+N37*$X$1</f>
        <v>1560</v>
      </c>
      <c r="P37" s="266">
        <v>1427</v>
      </c>
      <c r="Q37" s="616">
        <f t="shared" ref="Q37" si="75">+P37*$X$1</f>
        <v>1427</v>
      </c>
      <c r="R37" s="96">
        <v>1301</v>
      </c>
      <c r="S37" s="286">
        <f t="shared" ref="S37" si="76">+R37*$X$1</f>
        <v>1301</v>
      </c>
      <c r="T37" s="614">
        <v>1200</v>
      </c>
      <c r="U37" s="286">
        <f t="shared" ref="U37" si="77">+T37*$X$1</f>
        <v>1200</v>
      </c>
      <c r="V37" s="614">
        <v>1075</v>
      </c>
      <c r="W37" s="271">
        <f t="shared" ref="W37" si="78">+V37*$X$1</f>
        <v>1075</v>
      </c>
      <c r="X37" s="642"/>
      <c r="Y37" s="673"/>
      <c r="Z37" s="673"/>
      <c r="AA37" s="674"/>
      <c r="AB37" s="373" t="s">
        <v>428</v>
      </c>
    </row>
    <row r="38" spans="1:28" ht="12.6" customHeight="1" x14ac:dyDescent="0.25">
      <c r="A38" s="18"/>
      <c r="B38" s="768" t="s">
        <v>56</v>
      </c>
      <c r="C38" s="692"/>
      <c r="D38" s="692"/>
      <c r="E38" s="692"/>
      <c r="F38" s="270">
        <v>690</v>
      </c>
      <c r="G38" s="293">
        <f t="shared" si="64"/>
        <v>690</v>
      </c>
      <c r="H38" s="793" t="s">
        <v>44</v>
      </c>
      <c r="I38" s="793"/>
      <c r="J38" s="794"/>
      <c r="K38" s="816"/>
      <c r="L38" s="265"/>
      <c r="M38" s="320"/>
      <c r="N38" s="82">
        <v>1560</v>
      </c>
      <c r="O38" s="293">
        <f t="shared" ref="O38" si="79">+N38*$X$1</f>
        <v>1560</v>
      </c>
      <c r="P38" s="299">
        <v>1427</v>
      </c>
      <c r="Q38" s="617">
        <f t="shared" ref="Q38" si="80">+P38*$X$1</f>
        <v>1427</v>
      </c>
      <c r="R38" s="97">
        <v>1301</v>
      </c>
      <c r="S38" s="246">
        <f t="shared" ref="S38" si="81">+R38*$X$1</f>
        <v>1301</v>
      </c>
      <c r="T38" s="605">
        <v>1200</v>
      </c>
      <c r="U38" s="246">
        <f t="shared" ref="U38" si="82">+T38*$X$1</f>
        <v>1200</v>
      </c>
      <c r="V38" s="605">
        <v>1075</v>
      </c>
      <c r="W38" s="270">
        <f t="shared" ref="W38" si="83">+V38*$X$1</f>
        <v>1075</v>
      </c>
      <c r="X38" s="642"/>
      <c r="Y38" s="673"/>
      <c r="Z38" s="673"/>
      <c r="AA38" s="674"/>
      <c r="AB38" s="373" t="s">
        <v>431</v>
      </c>
    </row>
    <row r="39" spans="1:28" ht="12.6" customHeight="1" x14ac:dyDescent="0.25">
      <c r="A39" s="18"/>
      <c r="B39" s="700" t="s">
        <v>57</v>
      </c>
      <c r="C39" s="638"/>
      <c r="D39" s="638"/>
      <c r="E39" s="638"/>
      <c r="F39" s="271">
        <v>690</v>
      </c>
      <c r="G39" s="292">
        <f t="shared" si="64"/>
        <v>690</v>
      </c>
      <c r="H39" s="834" t="s">
        <v>44</v>
      </c>
      <c r="I39" s="834"/>
      <c r="J39" s="835"/>
      <c r="K39" s="836"/>
      <c r="L39" s="264"/>
      <c r="M39" s="321"/>
      <c r="N39" s="86">
        <v>2110</v>
      </c>
      <c r="O39" s="292">
        <f t="shared" si="65"/>
        <v>2110</v>
      </c>
      <c r="P39" s="266">
        <v>1950</v>
      </c>
      <c r="Q39" s="616">
        <f t="shared" si="66"/>
        <v>1950</v>
      </c>
      <c r="R39" s="614">
        <v>1795</v>
      </c>
      <c r="S39" s="286">
        <f t="shared" si="66"/>
        <v>1795</v>
      </c>
      <c r="T39" s="614">
        <v>1681</v>
      </c>
      <c r="U39" s="286">
        <f t="shared" si="67"/>
        <v>1681</v>
      </c>
      <c r="V39" s="614">
        <v>1608</v>
      </c>
      <c r="W39" s="271">
        <f t="shared" si="68"/>
        <v>1608</v>
      </c>
      <c r="X39" s="642"/>
      <c r="Y39" s="673"/>
      <c r="Z39" s="673"/>
      <c r="AA39" s="674"/>
      <c r="AB39" s="373" t="s">
        <v>429</v>
      </c>
    </row>
    <row r="40" spans="1:28" ht="12.6" customHeight="1" x14ac:dyDescent="0.2">
      <c r="A40" s="18"/>
      <c r="B40" s="768" t="s">
        <v>432</v>
      </c>
      <c r="C40" s="692"/>
      <c r="D40" s="692"/>
      <c r="E40" s="692"/>
      <c r="F40" s="270">
        <v>690</v>
      </c>
      <c r="G40" s="293">
        <f t="shared" ref="G40" si="84">+F40*$X$1</f>
        <v>690</v>
      </c>
      <c r="H40" s="793" t="s">
        <v>44</v>
      </c>
      <c r="I40" s="793"/>
      <c r="J40" s="794"/>
      <c r="K40" s="816"/>
      <c r="L40" s="265"/>
      <c r="M40" s="320"/>
      <c r="N40" s="82">
        <v>2080</v>
      </c>
      <c r="O40" s="293">
        <f t="shared" ref="O40:O41" si="85">+N40*$X$1</f>
        <v>2080</v>
      </c>
      <c r="P40" s="299">
        <v>1916</v>
      </c>
      <c r="Q40" s="617">
        <f t="shared" si="66"/>
        <v>1916</v>
      </c>
      <c r="R40" s="605">
        <v>1767</v>
      </c>
      <c r="S40" s="246">
        <f t="shared" si="66"/>
        <v>1767</v>
      </c>
      <c r="T40" s="605">
        <v>1671</v>
      </c>
      <c r="U40" s="246">
        <f t="shared" si="67"/>
        <v>1671</v>
      </c>
      <c r="V40" s="605">
        <v>1572</v>
      </c>
      <c r="W40" s="270">
        <f t="shared" si="68"/>
        <v>1572</v>
      </c>
      <c r="X40" s="642"/>
      <c r="Y40" s="673"/>
      <c r="Z40" s="673"/>
      <c r="AA40" s="674"/>
      <c r="AB40" s="373" t="s">
        <v>434</v>
      </c>
    </row>
    <row r="41" spans="1:28" ht="12.6" customHeight="1" x14ac:dyDescent="0.2">
      <c r="A41" s="18"/>
      <c r="B41" s="700" t="s">
        <v>433</v>
      </c>
      <c r="C41" s="638"/>
      <c r="D41" s="638"/>
      <c r="E41" s="638"/>
      <c r="F41" s="271">
        <v>690</v>
      </c>
      <c r="G41" s="292">
        <f t="shared" ref="G41" si="86">+F41*$X$1</f>
        <v>690</v>
      </c>
      <c r="H41" s="834" t="s">
        <v>44</v>
      </c>
      <c r="I41" s="834"/>
      <c r="J41" s="835"/>
      <c r="K41" s="836"/>
      <c r="L41" s="264"/>
      <c r="M41" s="321"/>
      <c r="N41" s="86">
        <v>1770</v>
      </c>
      <c r="O41" s="292">
        <f t="shared" si="85"/>
        <v>1770</v>
      </c>
      <c r="P41" s="266">
        <v>1623</v>
      </c>
      <c r="Q41" s="616">
        <f t="shared" ref="Q41" si="87">+P41*$X$1</f>
        <v>1623</v>
      </c>
      <c r="R41" s="614">
        <v>1488</v>
      </c>
      <c r="S41" s="286">
        <f t="shared" ref="S41" si="88">+R41*$X$1</f>
        <v>1488</v>
      </c>
      <c r="T41" s="614">
        <v>1386</v>
      </c>
      <c r="U41" s="286">
        <f t="shared" ref="U41" si="89">+T41*$X$1</f>
        <v>1386</v>
      </c>
      <c r="V41" s="614">
        <v>1317</v>
      </c>
      <c r="W41" s="271">
        <f t="shared" ref="W41" si="90">+V41*$X$1</f>
        <v>1317</v>
      </c>
      <c r="X41" s="642"/>
      <c r="Y41" s="673"/>
      <c r="Z41" s="673"/>
      <c r="AA41" s="674"/>
      <c r="AB41" s="373" t="s">
        <v>435</v>
      </c>
    </row>
    <row r="42" spans="1:28" ht="12.6" customHeight="1" x14ac:dyDescent="0.2">
      <c r="A42" s="18"/>
      <c r="B42" s="768" t="s">
        <v>58</v>
      </c>
      <c r="C42" s="692"/>
      <c r="D42" s="692"/>
      <c r="E42" s="692"/>
      <c r="F42" s="270">
        <v>1500</v>
      </c>
      <c r="G42" s="293">
        <f t="shared" ref="G42:G50" si="91">+F42*$X$1</f>
        <v>1500</v>
      </c>
      <c r="H42" s="853" t="s">
        <v>59</v>
      </c>
      <c r="I42" s="853"/>
      <c r="J42" s="854"/>
      <c r="K42" s="855"/>
      <c r="L42" s="265"/>
      <c r="M42" s="320"/>
      <c r="N42" s="82">
        <v>2640</v>
      </c>
      <c r="O42" s="293">
        <f t="shared" si="65"/>
        <v>2640</v>
      </c>
      <c r="P42" s="299">
        <v>2443</v>
      </c>
      <c r="Q42" s="617">
        <f t="shared" si="66"/>
        <v>2443</v>
      </c>
      <c r="R42" s="605">
        <v>2245</v>
      </c>
      <c r="S42" s="246">
        <f t="shared" si="66"/>
        <v>2245</v>
      </c>
      <c r="T42" s="605">
        <v>2092</v>
      </c>
      <c r="U42" s="246">
        <f t="shared" si="67"/>
        <v>2092</v>
      </c>
      <c r="V42" s="605">
        <v>2004</v>
      </c>
      <c r="W42" s="270">
        <f t="shared" si="68"/>
        <v>2004</v>
      </c>
      <c r="X42" s="642"/>
      <c r="Y42" s="673"/>
      <c r="Z42" s="673"/>
      <c r="AA42" s="674"/>
      <c r="AB42" s="374" t="s">
        <v>60</v>
      </c>
    </row>
    <row r="43" spans="1:28" ht="12.6" customHeight="1" x14ac:dyDescent="0.2">
      <c r="A43" s="18"/>
      <c r="B43" s="700" t="s">
        <v>61</v>
      </c>
      <c r="C43" s="638"/>
      <c r="D43" s="638"/>
      <c r="E43" s="638"/>
      <c r="F43" s="271">
        <v>1500</v>
      </c>
      <c r="G43" s="292">
        <f t="shared" si="91"/>
        <v>1500</v>
      </c>
      <c r="H43" s="940" t="s">
        <v>59</v>
      </c>
      <c r="I43" s="940"/>
      <c r="J43" s="941"/>
      <c r="K43" s="942"/>
      <c r="L43" s="264"/>
      <c r="M43" s="321"/>
      <c r="N43" s="86">
        <v>2640</v>
      </c>
      <c r="O43" s="292">
        <f t="shared" ref="O43:O44" si="92">+N43*$X$1</f>
        <v>2640</v>
      </c>
      <c r="P43" s="266">
        <v>2443</v>
      </c>
      <c r="Q43" s="616">
        <f t="shared" ref="Q43:Q44" si="93">+P43*$X$1</f>
        <v>2443</v>
      </c>
      <c r="R43" s="614">
        <v>2245</v>
      </c>
      <c r="S43" s="286">
        <f t="shared" ref="S43:S44" si="94">+R43*$X$1</f>
        <v>2245</v>
      </c>
      <c r="T43" s="614">
        <v>2092</v>
      </c>
      <c r="U43" s="286">
        <f t="shared" ref="U43:U44" si="95">+T43*$X$1</f>
        <v>2092</v>
      </c>
      <c r="V43" s="614">
        <v>2004</v>
      </c>
      <c r="W43" s="271">
        <f t="shared" ref="W43:W44" si="96">+V43*$X$1</f>
        <v>2004</v>
      </c>
      <c r="X43" s="642"/>
      <c r="Y43" s="673"/>
      <c r="Z43" s="673"/>
      <c r="AA43" s="674"/>
      <c r="AB43" s="374" t="s">
        <v>62</v>
      </c>
    </row>
    <row r="44" spans="1:28" ht="12.6" customHeight="1" x14ac:dyDescent="0.2">
      <c r="A44" s="18"/>
      <c r="B44" s="768" t="s">
        <v>63</v>
      </c>
      <c r="C44" s="692"/>
      <c r="D44" s="692"/>
      <c r="E44" s="692"/>
      <c r="F44" s="270">
        <v>1500</v>
      </c>
      <c r="G44" s="293">
        <f t="shared" si="91"/>
        <v>1500</v>
      </c>
      <c r="H44" s="793" t="s">
        <v>59</v>
      </c>
      <c r="I44" s="793"/>
      <c r="J44" s="794"/>
      <c r="K44" s="816"/>
      <c r="L44" s="265"/>
      <c r="M44" s="320"/>
      <c r="N44" s="82">
        <v>2640</v>
      </c>
      <c r="O44" s="293">
        <f t="shared" si="92"/>
        <v>2640</v>
      </c>
      <c r="P44" s="299">
        <v>2443</v>
      </c>
      <c r="Q44" s="617">
        <f t="shared" si="93"/>
        <v>2443</v>
      </c>
      <c r="R44" s="605">
        <v>2245</v>
      </c>
      <c r="S44" s="246">
        <f t="shared" si="94"/>
        <v>2245</v>
      </c>
      <c r="T44" s="605">
        <v>2092</v>
      </c>
      <c r="U44" s="246">
        <f t="shared" si="95"/>
        <v>2092</v>
      </c>
      <c r="V44" s="605">
        <v>2004</v>
      </c>
      <c r="W44" s="270">
        <f t="shared" si="96"/>
        <v>2004</v>
      </c>
      <c r="X44" s="642"/>
      <c r="Y44" s="673"/>
      <c r="Z44" s="673"/>
      <c r="AA44" s="674"/>
      <c r="AB44" s="374" t="s">
        <v>64</v>
      </c>
    </row>
    <row r="45" spans="1:28" ht="12.6" customHeight="1" x14ac:dyDescent="0.2">
      <c r="A45" s="18"/>
      <c r="B45" s="700" t="s">
        <v>520</v>
      </c>
      <c r="C45" s="638"/>
      <c r="D45" s="638"/>
      <c r="E45" s="638"/>
      <c r="F45" s="271">
        <v>1614</v>
      </c>
      <c r="G45" s="292">
        <f t="shared" ref="G45" si="97">+F45*$X$1</f>
        <v>1614</v>
      </c>
      <c r="H45" s="806" t="s">
        <v>59</v>
      </c>
      <c r="I45" s="806"/>
      <c r="J45" s="807"/>
      <c r="K45" s="808"/>
      <c r="L45" s="264"/>
      <c r="M45" s="321"/>
      <c r="N45" s="86">
        <v>2790</v>
      </c>
      <c r="O45" s="292">
        <f t="shared" ref="O45" si="98">+N45*$X$1</f>
        <v>2790</v>
      </c>
      <c r="P45" s="266">
        <v>2590</v>
      </c>
      <c r="Q45" s="616">
        <f t="shared" ref="Q45" si="99">+P45*$X$1</f>
        <v>2590</v>
      </c>
      <c r="R45" s="614">
        <v>2370</v>
      </c>
      <c r="S45" s="286">
        <f t="shared" ref="S45" si="100">+R45*$X$1</f>
        <v>2370</v>
      </c>
      <c r="T45" s="614">
        <v>2224</v>
      </c>
      <c r="U45" s="286">
        <f t="shared" ref="U45" si="101">+T45*$X$1</f>
        <v>2224</v>
      </c>
      <c r="V45" s="614">
        <v>2119</v>
      </c>
      <c r="W45" s="271">
        <f t="shared" ref="W45" si="102">+V45*$X$1</f>
        <v>2119</v>
      </c>
      <c r="X45" s="642"/>
      <c r="Y45" s="673"/>
      <c r="Z45" s="673"/>
      <c r="AA45" s="674"/>
      <c r="AB45" s="375" t="s">
        <v>530</v>
      </c>
    </row>
    <row r="46" spans="1:28" ht="12.6" customHeight="1" x14ac:dyDescent="0.2">
      <c r="A46" s="18"/>
      <c r="B46" s="768" t="s">
        <v>521</v>
      </c>
      <c r="C46" s="692"/>
      <c r="D46" s="692"/>
      <c r="E46" s="692"/>
      <c r="F46" s="270">
        <v>1614</v>
      </c>
      <c r="G46" s="293">
        <f t="shared" ref="G46" si="103">+F46*$X$1</f>
        <v>1614</v>
      </c>
      <c r="H46" s="853" t="s">
        <v>59</v>
      </c>
      <c r="I46" s="853"/>
      <c r="J46" s="854"/>
      <c r="K46" s="855"/>
      <c r="L46" s="265"/>
      <c r="M46" s="320"/>
      <c r="N46" s="82">
        <v>2790</v>
      </c>
      <c r="O46" s="293">
        <f t="shared" ref="O46:O47" si="104">+N46*$X$1</f>
        <v>2790</v>
      </c>
      <c r="P46" s="299">
        <v>2590</v>
      </c>
      <c r="Q46" s="617">
        <f t="shared" ref="Q46:Q47" si="105">+P46*$X$1</f>
        <v>2590</v>
      </c>
      <c r="R46" s="605">
        <v>2370</v>
      </c>
      <c r="S46" s="246">
        <f t="shared" ref="S46:S47" si="106">+R46*$X$1</f>
        <v>2370</v>
      </c>
      <c r="T46" s="605">
        <v>2224</v>
      </c>
      <c r="U46" s="246">
        <f t="shared" ref="U46:U47" si="107">+T46*$X$1</f>
        <v>2224</v>
      </c>
      <c r="V46" s="605">
        <v>2119</v>
      </c>
      <c r="W46" s="270">
        <f t="shared" ref="W46:W47" si="108">+V46*$X$1</f>
        <v>2119</v>
      </c>
      <c r="X46" s="642"/>
      <c r="Y46" s="673"/>
      <c r="Z46" s="673"/>
      <c r="AA46" s="674"/>
      <c r="AB46" s="375" t="s">
        <v>531</v>
      </c>
    </row>
    <row r="47" spans="1:28" ht="12.6" customHeight="1" x14ac:dyDescent="0.2">
      <c r="A47" s="18"/>
      <c r="B47" s="700" t="s">
        <v>522</v>
      </c>
      <c r="C47" s="638"/>
      <c r="D47" s="638"/>
      <c r="E47" s="638"/>
      <c r="F47" s="271">
        <v>1614</v>
      </c>
      <c r="G47" s="292">
        <f t="shared" ref="G47" si="109">+F47*$X$1</f>
        <v>1614</v>
      </c>
      <c r="H47" s="806" t="s">
        <v>59</v>
      </c>
      <c r="I47" s="806"/>
      <c r="J47" s="807"/>
      <c r="K47" s="808"/>
      <c r="L47" s="264"/>
      <c r="M47" s="321"/>
      <c r="N47" s="86">
        <v>2790</v>
      </c>
      <c r="O47" s="292">
        <f t="shared" si="104"/>
        <v>2790</v>
      </c>
      <c r="P47" s="266">
        <v>2590</v>
      </c>
      <c r="Q47" s="616">
        <f t="shared" si="105"/>
        <v>2590</v>
      </c>
      <c r="R47" s="614">
        <v>2370</v>
      </c>
      <c r="S47" s="286">
        <f t="shared" si="106"/>
        <v>2370</v>
      </c>
      <c r="T47" s="614">
        <v>2224</v>
      </c>
      <c r="U47" s="286">
        <f t="shared" si="107"/>
        <v>2224</v>
      </c>
      <c r="V47" s="614">
        <v>2119</v>
      </c>
      <c r="W47" s="271">
        <f t="shared" si="108"/>
        <v>2119</v>
      </c>
      <c r="X47" s="642"/>
      <c r="Y47" s="673"/>
      <c r="Z47" s="673"/>
      <c r="AA47" s="674"/>
      <c r="AB47" s="375" t="s">
        <v>532</v>
      </c>
    </row>
    <row r="48" spans="1:28" ht="12.6" customHeight="1" x14ac:dyDescent="0.2">
      <c r="A48" s="18"/>
      <c r="B48" s="768" t="s">
        <v>65</v>
      </c>
      <c r="C48" s="692"/>
      <c r="D48" s="692"/>
      <c r="E48" s="692"/>
      <c r="F48" s="270">
        <v>2025</v>
      </c>
      <c r="G48" s="293">
        <f t="shared" si="91"/>
        <v>2025</v>
      </c>
      <c r="H48" s="793" t="s">
        <v>59</v>
      </c>
      <c r="I48" s="793"/>
      <c r="J48" s="794"/>
      <c r="K48" s="816"/>
      <c r="L48" s="265"/>
      <c r="M48" s="320"/>
      <c r="N48" s="70">
        <v>3665</v>
      </c>
      <c r="O48" s="288">
        <f t="shared" ref="O48" si="110">+N48*$X$1</f>
        <v>3665</v>
      </c>
      <c r="P48" s="299">
        <v>3394</v>
      </c>
      <c r="Q48" s="301">
        <f t="shared" si="66"/>
        <v>3394</v>
      </c>
      <c r="R48" s="605">
        <v>3125</v>
      </c>
      <c r="S48" s="270">
        <f t="shared" si="66"/>
        <v>3125</v>
      </c>
      <c r="T48" s="605">
        <v>2905</v>
      </c>
      <c r="U48" s="270">
        <f t="shared" si="67"/>
        <v>2905</v>
      </c>
      <c r="V48" s="605">
        <v>2800</v>
      </c>
      <c r="W48" s="270">
        <f t="shared" si="68"/>
        <v>2800</v>
      </c>
      <c r="X48" s="642"/>
      <c r="Y48" s="673"/>
      <c r="Z48" s="673"/>
      <c r="AA48" s="674"/>
      <c r="AB48" s="375" t="s">
        <v>66</v>
      </c>
    </row>
    <row r="49" spans="1:35" ht="12.6" customHeight="1" x14ac:dyDescent="0.2">
      <c r="A49" s="18"/>
      <c r="B49" s="700" t="s">
        <v>67</v>
      </c>
      <c r="C49" s="638"/>
      <c r="D49" s="638"/>
      <c r="E49" s="638"/>
      <c r="F49" s="271">
        <v>2025</v>
      </c>
      <c r="G49" s="292">
        <f t="shared" si="91"/>
        <v>2025</v>
      </c>
      <c r="H49" s="806" t="s">
        <v>59</v>
      </c>
      <c r="I49" s="806"/>
      <c r="J49" s="807"/>
      <c r="K49" s="808"/>
      <c r="L49" s="264"/>
      <c r="M49" s="321"/>
      <c r="N49" s="85">
        <v>3665</v>
      </c>
      <c r="O49" s="318">
        <f t="shared" ref="O49:O50" si="111">+N49*$X$1</f>
        <v>3665</v>
      </c>
      <c r="P49" s="266">
        <v>3394</v>
      </c>
      <c r="Q49" s="300">
        <f t="shared" ref="Q49:Q50" si="112">+P49*$X$1</f>
        <v>3394</v>
      </c>
      <c r="R49" s="614">
        <v>3125</v>
      </c>
      <c r="S49" s="271">
        <f t="shared" ref="S49:S50" si="113">+R49*$X$1</f>
        <v>3125</v>
      </c>
      <c r="T49" s="614">
        <v>2905</v>
      </c>
      <c r="U49" s="271">
        <f t="shared" ref="U49:U50" si="114">+T49*$X$1</f>
        <v>2905</v>
      </c>
      <c r="V49" s="614">
        <v>2800</v>
      </c>
      <c r="W49" s="271">
        <f t="shared" ref="W49:W50" si="115">+V49*$X$1</f>
        <v>2800</v>
      </c>
      <c r="X49" s="642"/>
      <c r="Y49" s="673"/>
      <c r="Z49" s="673"/>
      <c r="AA49" s="674"/>
      <c r="AB49" s="375" t="s">
        <v>68</v>
      </c>
    </row>
    <row r="50" spans="1:35" ht="12.6" customHeight="1" x14ac:dyDescent="0.2">
      <c r="A50" s="18"/>
      <c r="B50" s="768" t="s">
        <v>69</v>
      </c>
      <c r="C50" s="692"/>
      <c r="D50" s="692"/>
      <c r="E50" s="692"/>
      <c r="F50" s="270">
        <v>2025</v>
      </c>
      <c r="G50" s="317">
        <f t="shared" si="91"/>
        <v>2025</v>
      </c>
      <c r="H50" s="793" t="s">
        <v>59</v>
      </c>
      <c r="I50" s="793"/>
      <c r="J50" s="794"/>
      <c r="K50" s="795"/>
      <c r="L50" s="265"/>
      <c r="M50" s="320"/>
      <c r="N50" s="70">
        <v>3665</v>
      </c>
      <c r="O50" s="288">
        <f t="shared" si="111"/>
        <v>3665</v>
      </c>
      <c r="P50" s="299">
        <v>3394</v>
      </c>
      <c r="Q50" s="301">
        <f t="shared" si="112"/>
        <v>3394</v>
      </c>
      <c r="R50" s="605">
        <v>3125</v>
      </c>
      <c r="S50" s="270">
        <f t="shared" si="113"/>
        <v>3125</v>
      </c>
      <c r="T50" s="605">
        <v>2905</v>
      </c>
      <c r="U50" s="270">
        <f t="shared" si="114"/>
        <v>2905</v>
      </c>
      <c r="V50" s="605">
        <v>2800</v>
      </c>
      <c r="W50" s="270">
        <f t="shared" si="115"/>
        <v>2800</v>
      </c>
      <c r="X50" s="642"/>
      <c r="Y50" s="673"/>
      <c r="Z50" s="673"/>
      <c r="AA50" s="674"/>
      <c r="AB50" s="375" t="s">
        <v>70</v>
      </c>
    </row>
    <row r="51" spans="1:35" ht="12.6" customHeight="1" x14ac:dyDescent="0.2">
      <c r="A51" s="18"/>
      <c r="B51" s="700" t="s">
        <v>407</v>
      </c>
      <c r="C51" s="638"/>
      <c r="D51" s="638"/>
      <c r="E51" s="800"/>
      <c r="F51" s="571"/>
      <c r="G51" s="576"/>
      <c r="H51" s="576"/>
      <c r="I51" s="576"/>
      <c r="J51" s="250"/>
      <c r="K51" s="264"/>
      <c r="L51" s="281"/>
      <c r="M51" s="271"/>
      <c r="N51" s="282"/>
      <c r="O51" s="328"/>
      <c r="P51" s="264"/>
      <c r="Q51" s="300"/>
      <c r="R51" s="90"/>
      <c r="S51" s="325"/>
      <c r="T51" s="90"/>
      <c r="U51" s="325"/>
      <c r="V51" s="90"/>
      <c r="W51" s="271"/>
      <c r="X51" s="123"/>
      <c r="Y51" s="123"/>
      <c r="Z51" s="123"/>
      <c r="AA51" s="123"/>
      <c r="AB51" s="35">
        <v>48</v>
      </c>
      <c r="AC51" s="376" t="s">
        <v>71</v>
      </c>
      <c r="AD51" s="376" t="s">
        <v>72</v>
      </c>
      <c r="AE51" s="376" t="s">
        <v>73</v>
      </c>
    </row>
    <row r="52" spans="1:35" ht="12.6" customHeight="1" x14ac:dyDescent="0.2">
      <c r="A52" s="18"/>
      <c r="B52" s="837" t="s">
        <v>74</v>
      </c>
      <c r="C52" s="838"/>
      <c r="D52" s="838"/>
      <c r="E52" s="838"/>
      <c r="F52" s="567"/>
      <c r="G52" s="575"/>
      <c r="H52" s="575"/>
      <c r="I52" s="575"/>
      <c r="J52" s="17"/>
      <c r="K52" s="17"/>
      <c r="L52" s="251"/>
      <c r="M52" s="249"/>
      <c r="N52" s="202"/>
      <c r="O52" s="225"/>
      <c r="P52" s="109"/>
      <c r="Q52" s="253"/>
      <c r="R52" s="225"/>
      <c r="S52" s="225"/>
      <c r="T52" s="225"/>
      <c r="U52" s="225"/>
      <c r="V52" s="87"/>
      <c r="W52" s="87"/>
      <c r="X52" s="156"/>
      <c r="Y52" s="156"/>
      <c r="Z52" s="156"/>
      <c r="AA52" s="156"/>
      <c r="AB52" s="184">
        <v>54</v>
      </c>
    </row>
    <row r="53" spans="1:35" ht="12.6" customHeight="1" x14ac:dyDescent="0.2">
      <c r="A53" s="18"/>
      <c r="B53" s="700" t="s">
        <v>75</v>
      </c>
      <c r="C53" s="638"/>
      <c r="D53" s="638"/>
      <c r="E53" s="638"/>
      <c r="F53" s="271">
        <v>1096</v>
      </c>
      <c r="G53" s="286">
        <f t="shared" ref="G53:G56" si="116">+F53*$X$1</f>
        <v>1096</v>
      </c>
      <c r="H53" s="116"/>
      <c r="I53" s="271"/>
      <c r="J53" s="427">
        <f>F53+300</f>
        <v>1396</v>
      </c>
      <c r="K53" s="271">
        <f t="shared" ref="K53" si="117">+J53*$X$1</f>
        <v>1396</v>
      </c>
      <c r="L53" s="427">
        <f>F53+230</f>
        <v>1326</v>
      </c>
      <c r="M53" s="271">
        <f t="shared" ref="M53" si="118">+L53*$X$1</f>
        <v>1326</v>
      </c>
      <c r="N53" s="96">
        <f>F53+180</f>
        <v>1276</v>
      </c>
      <c r="O53" s="286">
        <f t="shared" ref="O53" si="119">+N53*$X$1</f>
        <v>1276</v>
      </c>
      <c r="P53" s="96">
        <f>F53+150</f>
        <v>1246</v>
      </c>
      <c r="Q53" s="271">
        <f t="shared" si="66"/>
        <v>1246</v>
      </c>
      <c r="R53" s="96">
        <f>F53+125</f>
        <v>1221</v>
      </c>
      <c r="S53" s="286">
        <f t="shared" ref="S53" si="120">+R53*$X$1</f>
        <v>1221</v>
      </c>
      <c r="T53" s="96">
        <f>F53+110</f>
        <v>1206</v>
      </c>
      <c r="U53" s="286">
        <f t="shared" ref="U53" si="121">+T53*$X$1</f>
        <v>1206</v>
      </c>
      <c r="V53" s="96">
        <f>F53+96</f>
        <v>1192</v>
      </c>
      <c r="W53" s="271">
        <f t="shared" ref="W53" si="122">+V53*$X$1</f>
        <v>1192</v>
      </c>
      <c r="X53" s="122"/>
      <c r="Y53" s="123"/>
      <c r="Z53" s="123"/>
      <c r="AA53" s="123"/>
      <c r="AB53" s="373">
        <v>60</v>
      </c>
    </row>
    <row r="54" spans="1:35" ht="12.6" customHeight="1" x14ac:dyDescent="0.2">
      <c r="A54" s="18"/>
      <c r="B54" s="768" t="s">
        <v>500</v>
      </c>
      <c r="C54" s="692"/>
      <c r="D54" s="692"/>
      <c r="E54" s="692"/>
      <c r="F54" s="270">
        <v>1276</v>
      </c>
      <c r="G54" s="246">
        <f t="shared" si="116"/>
        <v>1276</v>
      </c>
      <c r="H54" s="115"/>
      <c r="I54" s="270"/>
      <c r="J54" s="569">
        <f>F54+300</f>
        <v>1576</v>
      </c>
      <c r="K54" s="270">
        <f t="shared" ref="K54:K56" si="123">+J54*$X$1</f>
        <v>1576</v>
      </c>
      <c r="L54" s="569">
        <f>F54+230</f>
        <v>1506</v>
      </c>
      <c r="M54" s="270">
        <f t="shared" ref="M54:M56" si="124">+L54*$X$1</f>
        <v>1506</v>
      </c>
      <c r="N54" s="97">
        <f>F54+180</f>
        <v>1456</v>
      </c>
      <c r="O54" s="246">
        <f t="shared" ref="O54:O56" si="125">+N54*$X$1</f>
        <v>1456</v>
      </c>
      <c r="P54" s="97">
        <f>F54+150</f>
        <v>1426</v>
      </c>
      <c r="Q54" s="270">
        <f t="shared" ref="Q54:Q56" si="126">+P54*$X$1</f>
        <v>1426</v>
      </c>
      <c r="R54" s="97">
        <f>F54+125</f>
        <v>1401</v>
      </c>
      <c r="S54" s="246">
        <f t="shared" ref="S54:S56" si="127">+R54*$X$1</f>
        <v>1401</v>
      </c>
      <c r="T54" s="97">
        <f>F54+110</f>
        <v>1386</v>
      </c>
      <c r="U54" s="246">
        <f t="shared" ref="U54:U56" si="128">+T54*$X$1</f>
        <v>1386</v>
      </c>
      <c r="V54" s="97">
        <f>F54+96</f>
        <v>1372</v>
      </c>
      <c r="W54" s="270">
        <f t="shared" ref="W54:W56" si="129">+V54*$X$1</f>
        <v>1372</v>
      </c>
      <c r="X54" s="122"/>
      <c r="Y54" s="123"/>
      <c r="Z54" s="123"/>
      <c r="AA54" s="123"/>
      <c r="AB54" s="373">
        <v>61</v>
      </c>
    </row>
    <row r="55" spans="1:35" ht="12.6" customHeight="1" x14ac:dyDescent="0.2">
      <c r="A55" s="18"/>
      <c r="B55" s="819" t="s">
        <v>76</v>
      </c>
      <c r="C55" s="699"/>
      <c r="D55" s="699"/>
      <c r="E55" s="699"/>
      <c r="F55" s="273">
        <v>1157</v>
      </c>
      <c r="G55" s="325">
        <f t="shared" si="116"/>
        <v>1157</v>
      </c>
      <c r="H55" s="400"/>
      <c r="I55" s="271"/>
      <c r="J55" s="427">
        <f>F55+300</f>
        <v>1457</v>
      </c>
      <c r="K55" s="271">
        <f t="shared" si="123"/>
        <v>1457</v>
      </c>
      <c r="L55" s="427">
        <f>F55+230</f>
        <v>1387</v>
      </c>
      <c r="M55" s="271">
        <f t="shared" si="124"/>
        <v>1387</v>
      </c>
      <c r="N55" s="96">
        <f>F55+180</f>
        <v>1337</v>
      </c>
      <c r="O55" s="286">
        <f t="shared" si="125"/>
        <v>1337</v>
      </c>
      <c r="P55" s="96">
        <f>F55+150</f>
        <v>1307</v>
      </c>
      <c r="Q55" s="271">
        <f t="shared" si="126"/>
        <v>1307</v>
      </c>
      <c r="R55" s="96">
        <f>F55+125</f>
        <v>1282</v>
      </c>
      <c r="S55" s="286">
        <f t="shared" si="127"/>
        <v>1282</v>
      </c>
      <c r="T55" s="96">
        <f>F55+110</f>
        <v>1267</v>
      </c>
      <c r="U55" s="286">
        <f t="shared" si="128"/>
        <v>1267</v>
      </c>
      <c r="V55" s="96">
        <f>F55+96</f>
        <v>1253</v>
      </c>
      <c r="W55" s="271">
        <f t="shared" si="129"/>
        <v>1253</v>
      </c>
      <c r="X55" s="122"/>
      <c r="Y55" s="123"/>
      <c r="Z55" s="123"/>
      <c r="AA55" s="123"/>
      <c r="AB55" s="373">
        <v>62</v>
      </c>
    </row>
    <row r="56" spans="1:35" ht="12.6" customHeight="1" x14ac:dyDescent="0.2">
      <c r="A56" s="18"/>
      <c r="B56" s="768" t="s">
        <v>77</v>
      </c>
      <c r="C56" s="746"/>
      <c r="D56" s="746"/>
      <c r="E56" s="746"/>
      <c r="F56" s="270">
        <v>1337</v>
      </c>
      <c r="G56" s="270">
        <f t="shared" si="116"/>
        <v>1337</v>
      </c>
      <c r="H56" s="115"/>
      <c r="I56" s="270"/>
      <c r="J56" s="569">
        <f>F56+300</f>
        <v>1637</v>
      </c>
      <c r="K56" s="270">
        <f t="shared" si="123"/>
        <v>1637</v>
      </c>
      <c r="L56" s="569">
        <f>F56+230</f>
        <v>1567</v>
      </c>
      <c r="M56" s="270">
        <f t="shared" si="124"/>
        <v>1567</v>
      </c>
      <c r="N56" s="97">
        <f>F56+180</f>
        <v>1517</v>
      </c>
      <c r="O56" s="246">
        <f t="shared" si="125"/>
        <v>1517</v>
      </c>
      <c r="P56" s="97">
        <f>F56+150</f>
        <v>1487</v>
      </c>
      <c r="Q56" s="270">
        <f t="shared" si="126"/>
        <v>1487</v>
      </c>
      <c r="R56" s="97">
        <f>F56+125</f>
        <v>1462</v>
      </c>
      <c r="S56" s="246">
        <f t="shared" si="127"/>
        <v>1462</v>
      </c>
      <c r="T56" s="97">
        <f>F56+110</f>
        <v>1447</v>
      </c>
      <c r="U56" s="246">
        <f t="shared" si="128"/>
        <v>1447</v>
      </c>
      <c r="V56" s="97">
        <f>F56+96</f>
        <v>1433</v>
      </c>
      <c r="W56" s="270">
        <f t="shared" si="129"/>
        <v>1433</v>
      </c>
      <c r="X56" s="122"/>
      <c r="Y56" s="123"/>
      <c r="Z56" s="123"/>
      <c r="AA56" s="123"/>
      <c r="AB56" s="373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00" t="s">
        <v>496</v>
      </c>
      <c r="C57" s="638"/>
      <c r="D57" s="638"/>
      <c r="E57" s="638"/>
      <c r="F57" s="271">
        <v>1396</v>
      </c>
      <c r="G57" s="271">
        <f t="shared" ref="G57" si="130">+F57*$X$1</f>
        <v>1396</v>
      </c>
      <c r="H57" s="116"/>
      <c r="I57" s="271"/>
      <c r="J57" s="427">
        <f>F57+360</f>
        <v>1756</v>
      </c>
      <c r="K57" s="271">
        <f t="shared" ref="K57" si="131">+J57*$X$1</f>
        <v>1756</v>
      </c>
      <c r="L57" s="427">
        <f>F57+280</f>
        <v>1676</v>
      </c>
      <c r="M57" s="271">
        <f t="shared" ref="M57:M59" si="132">+L57*$X$1</f>
        <v>1676</v>
      </c>
      <c r="N57" s="96">
        <f>F57+220</f>
        <v>1616</v>
      </c>
      <c r="O57" s="286">
        <f t="shared" ref="O57:O59" si="133">+N57*$X$1</f>
        <v>1616</v>
      </c>
      <c r="P57" s="96">
        <f>F57+190</f>
        <v>1586</v>
      </c>
      <c r="Q57" s="271">
        <f t="shared" ref="Q57:Q59" si="134">+P57*$X$1</f>
        <v>1586</v>
      </c>
      <c r="R57" s="96">
        <f>F57+170</f>
        <v>1566</v>
      </c>
      <c r="S57" s="286">
        <f t="shared" ref="S57:S59" si="135">+R57*$X$1</f>
        <v>1566</v>
      </c>
      <c r="T57" s="96">
        <f>F57+156</f>
        <v>1552</v>
      </c>
      <c r="U57" s="286">
        <f t="shared" ref="U57:U59" si="136">+T57*$X$1</f>
        <v>1552</v>
      </c>
      <c r="V57" s="96">
        <f>F57+147</f>
        <v>1543</v>
      </c>
      <c r="W57" s="271">
        <f t="shared" ref="W57:W59" si="137">+V57*$X$1</f>
        <v>1543</v>
      </c>
      <c r="X57" s="122"/>
      <c r="Y57" s="123"/>
      <c r="Z57" s="123"/>
      <c r="AA57" s="123"/>
      <c r="AB57" s="373">
        <v>64</v>
      </c>
    </row>
    <row r="58" spans="1:35" ht="12.6" customHeight="1" x14ac:dyDescent="0.2">
      <c r="A58" s="18"/>
      <c r="B58" s="852" t="s">
        <v>825</v>
      </c>
      <c r="C58" s="715"/>
      <c r="D58" s="715"/>
      <c r="E58" s="715"/>
      <c r="F58" s="490">
        <v>310</v>
      </c>
      <c r="G58" s="490">
        <f t="shared" ref="G58:G69" si="138">+F58*$X$1</f>
        <v>310</v>
      </c>
      <c r="H58" s="492"/>
      <c r="I58" s="494"/>
      <c r="J58" s="500"/>
      <c r="K58" s="490"/>
      <c r="L58" s="560">
        <f t="shared" ref="L58:L63" si="139">F58+150</f>
        <v>460</v>
      </c>
      <c r="M58" s="491">
        <f t="shared" si="132"/>
        <v>460</v>
      </c>
      <c r="N58" s="560">
        <f t="shared" ref="N58:N66" si="140">F58+110</f>
        <v>420</v>
      </c>
      <c r="O58" s="491">
        <f t="shared" si="133"/>
        <v>420</v>
      </c>
      <c r="P58" s="560">
        <f t="shared" ref="P58:P66" si="141">F58+100</f>
        <v>410</v>
      </c>
      <c r="Q58" s="491">
        <f t="shared" si="134"/>
        <v>410</v>
      </c>
      <c r="R58" s="560">
        <f t="shared" ref="R58:R66" si="142">F58+80</f>
        <v>390</v>
      </c>
      <c r="S58" s="491">
        <f t="shared" si="135"/>
        <v>390</v>
      </c>
      <c r="T58" s="560">
        <f t="shared" ref="T58:T66" si="143">F58+65</f>
        <v>375</v>
      </c>
      <c r="U58" s="491">
        <f t="shared" si="136"/>
        <v>375</v>
      </c>
      <c r="V58" s="560">
        <f t="shared" ref="V58:V66" si="144">F58+56</f>
        <v>366</v>
      </c>
      <c r="W58" s="491">
        <f t="shared" si="137"/>
        <v>366</v>
      </c>
      <c r="X58" s="123"/>
      <c r="Y58" s="123"/>
      <c r="Z58" s="123"/>
      <c r="AA58" s="123"/>
      <c r="AB58" s="373">
        <v>85</v>
      </c>
    </row>
    <row r="59" spans="1:35" ht="12.6" customHeight="1" x14ac:dyDescent="0.2">
      <c r="A59" s="18"/>
      <c r="B59" s="775" t="s">
        <v>962</v>
      </c>
      <c r="C59" s="664"/>
      <c r="D59" s="664"/>
      <c r="E59" s="664"/>
      <c r="F59" s="298">
        <v>1210</v>
      </c>
      <c r="G59" s="465">
        <f t="shared" si="138"/>
        <v>1210</v>
      </c>
      <c r="H59" s="264"/>
      <c r="I59" s="321"/>
      <c r="J59" s="408"/>
      <c r="K59" s="298"/>
      <c r="L59" s="427">
        <f t="shared" si="139"/>
        <v>1360</v>
      </c>
      <c r="M59" s="271">
        <f t="shared" si="132"/>
        <v>1360</v>
      </c>
      <c r="N59" s="427">
        <f t="shared" si="140"/>
        <v>1320</v>
      </c>
      <c r="O59" s="271">
        <f t="shared" si="133"/>
        <v>1320</v>
      </c>
      <c r="P59" s="427">
        <f t="shared" si="141"/>
        <v>1310</v>
      </c>
      <c r="Q59" s="271">
        <f t="shared" si="134"/>
        <v>1310</v>
      </c>
      <c r="R59" s="427">
        <f t="shared" si="142"/>
        <v>1290</v>
      </c>
      <c r="S59" s="271">
        <f t="shared" si="135"/>
        <v>1290</v>
      </c>
      <c r="T59" s="427">
        <f t="shared" si="143"/>
        <v>1275</v>
      </c>
      <c r="U59" s="271">
        <f t="shared" si="136"/>
        <v>1275</v>
      </c>
      <c r="V59" s="427">
        <f t="shared" si="144"/>
        <v>1266</v>
      </c>
      <c r="W59" s="271">
        <f t="shared" si="137"/>
        <v>1266</v>
      </c>
      <c r="X59" s="123"/>
      <c r="Y59" s="123"/>
      <c r="Z59" s="123"/>
      <c r="AA59" s="123"/>
      <c r="AB59" s="375" t="s">
        <v>968</v>
      </c>
    </row>
    <row r="60" spans="1:35" ht="12.6" customHeight="1" x14ac:dyDescent="0.2">
      <c r="A60" s="18"/>
      <c r="B60" s="809" t="s">
        <v>963</v>
      </c>
      <c r="C60" s="640"/>
      <c r="D60" s="640"/>
      <c r="E60" s="640"/>
      <c r="F60" s="287">
        <v>870</v>
      </c>
      <c r="G60" s="317">
        <f t="shared" ref="G60" si="145">+F60*$X$1</f>
        <v>870</v>
      </c>
      <c r="H60" s="265"/>
      <c r="I60" s="320"/>
      <c r="J60" s="407"/>
      <c r="K60" s="287"/>
      <c r="L60" s="561">
        <f t="shared" si="139"/>
        <v>1020</v>
      </c>
      <c r="M60" s="270">
        <f t="shared" ref="M60:M61" si="146">+L60*$X$1</f>
        <v>1020</v>
      </c>
      <c r="N60" s="561">
        <f t="shared" si="140"/>
        <v>980</v>
      </c>
      <c r="O60" s="270">
        <f t="shared" ref="O60:O61" si="147">+N60*$X$1</f>
        <v>980</v>
      </c>
      <c r="P60" s="561">
        <f t="shared" si="141"/>
        <v>970</v>
      </c>
      <c r="Q60" s="270">
        <f t="shared" ref="Q60:Q61" si="148">+P60*$X$1</f>
        <v>970</v>
      </c>
      <c r="R60" s="561">
        <f t="shared" si="142"/>
        <v>950</v>
      </c>
      <c r="S60" s="270">
        <f t="shared" ref="S60:S61" si="149">+R60*$X$1</f>
        <v>950</v>
      </c>
      <c r="T60" s="561">
        <f t="shared" si="143"/>
        <v>935</v>
      </c>
      <c r="U60" s="270">
        <f t="shared" ref="U60:U61" si="150">+T60*$X$1</f>
        <v>935</v>
      </c>
      <c r="V60" s="561">
        <f t="shared" si="144"/>
        <v>926</v>
      </c>
      <c r="W60" s="270">
        <f t="shared" ref="W60:W61" si="151">+V60*$X$1</f>
        <v>926</v>
      </c>
      <c r="X60" s="123"/>
      <c r="Y60" s="123"/>
      <c r="Z60" s="123"/>
      <c r="AA60" s="123"/>
      <c r="AB60" s="375" t="s">
        <v>969</v>
      </c>
    </row>
    <row r="61" spans="1:35" ht="12.6" customHeight="1" x14ac:dyDescent="0.2">
      <c r="A61" s="18"/>
      <c r="B61" s="775" t="s">
        <v>964</v>
      </c>
      <c r="C61" s="664"/>
      <c r="D61" s="664"/>
      <c r="E61" s="664"/>
      <c r="F61" s="298">
        <v>933</v>
      </c>
      <c r="G61" s="465">
        <f t="shared" ref="G61:G63" si="152">+F61*$X$1</f>
        <v>933</v>
      </c>
      <c r="H61" s="264"/>
      <c r="I61" s="321"/>
      <c r="J61" s="408"/>
      <c r="K61" s="298"/>
      <c r="L61" s="427">
        <f t="shared" si="139"/>
        <v>1083</v>
      </c>
      <c r="M61" s="271">
        <f t="shared" si="146"/>
        <v>1083</v>
      </c>
      <c r="N61" s="427">
        <f t="shared" si="140"/>
        <v>1043</v>
      </c>
      <c r="O61" s="271">
        <f t="shared" si="147"/>
        <v>1043</v>
      </c>
      <c r="P61" s="427">
        <f t="shared" si="141"/>
        <v>1033</v>
      </c>
      <c r="Q61" s="271">
        <f t="shared" si="148"/>
        <v>1033</v>
      </c>
      <c r="R61" s="427">
        <f t="shared" si="142"/>
        <v>1013</v>
      </c>
      <c r="S61" s="271">
        <f t="shared" si="149"/>
        <v>1013</v>
      </c>
      <c r="T61" s="427">
        <f t="shared" si="143"/>
        <v>998</v>
      </c>
      <c r="U61" s="271">
        <f t="shared" si="150"/>
        <v>998</v>
      </c>
      <c r="V61" s="427">
        <f t="shared" si="144"/>
        <v>989</v>
      </c>
      <c r="W61" s="271">
        <f t="shared" si="151"/>
        <v>989</v>
      </c>
      <c r="X61" s="123"/>
      <c r="Y61" s="123"/>
      <c r="Z61" s="123"/>
      <c r="AA61" s="123"/>
      <c r="AB61" s="375" t="s">
        <v>966</v>
      </c>
    </row>
    <row r="62" spans="1:35" ht="12.6" customHeight="1" x14ac:dyDescent="0.2">
      <c r="A62" s="18"/>
      <c r="B62" s="809" t="s">
        <v>965</v>
      </c>
      <c r="C62" s="640"/>
      <c r="D62" s="640"/>
      <c r="E62" s="640"/>
      <c r="F62" s="287">
        <v>680</v>
      </c>
      <c r="G62" s="317">
        <f t="shared" ref="G62" si="153">+F62*$X$1</f>
        <v>680</v>
      </c>
      <c r="H62" s="265"/>
      <c r="I62" s="320"/>
      <c r="J62" s="407"/>
      <c r="K62" s="287"/>
      <c r="L62" s="605">
        <f t="shared" ref="L62" si="154">F62+150</f>
        <v>830</v>
      </c>
      <c r="M62" s="270">
        <f t="shared" ref="M62" si="155">+L62*$X$1</f>
        <v>830</v>
      </c>
      <c r="N62" s="605">
        <f t="shared" ref="N62" si="156">F62+110</f>
        <v>790</v>
      </c>
      <c r="O62" s="270">
        <f t="shared" ref="O62" si="157">+N62*$X$1</f>
        <v>790</v>
      </c>
      <c r="P62" s="605">
        <f t="shared" ref="P62" si="158">F62+100</f>
        <v>780</v>
      </c>
      <c r="Q62" s="270">
        <f t="shared" ref="Q62" si="159">+P62*$X$1</f>
        <v>780</v>
      </c>
      <c r="R62" s="605">
        <f t="shared" ref="R62" si="160">F62+80</f>
        <v>760</v>
      </c>
      <c r="S62" s="270">
        <f t="shared" ref="S62" si="161">+R62*$X$1</f>
        <v>760</v>
      </c>
      <c r="T62" s="605">
        <f t="shared" ref="T62" si="162">F62+65</f>
        <v>745</v>
      </c>
      <c r="U62" s="270">
        <f t="shared" ref="U62" si="163">+T62*$X$1</f>
        <v>745</v>
      </c>
      <c r="V62" s="605">
        <f t="shared" ref="V62" si="164">F62+56</f>
        <v>736</v>
      </c>
      <c r="W62" s="270">
        <f t="shared" ref="W62" si="165">+V62*$X$1</f>
        <v>736</v>
      </c>
      <c r="X62" s="123"/>
      <c r="Y62" s="123"/>
      <c r="Z62" s="123"/>
      <c r="AA62" s="123"/>
      <c r="AB62" s="375" t="s">
        <v>967</v>
      </c>
    </row>
    <row r="63" spans="1:35" ht="12.6" customHeight="1" x14ac:dyDescent="0.2">
      <c r="A63" s="18"/>
      <c r="B63" s="775" t="s">
        <v>746</v>
      </c>
      <c r="C63" s="664"/>
      <c r="D63" s="664"/>
      <c r="E63" s="664"/>
      <c r="F63" s="352">
        <f>2.55*X2</f>
        <v>3187.5</v>
      </c>
      <c r="G63" s="271">
        <f t="shared" si="152"/>
        <v>3187.5</v>
      </c>
      <c r="H63" s="85"/>
      <c r="I63" s="271"/>
      <c r="J63" s="85">
        <f>F63+200</f>
        <v>3387.5</v>
      </c>
      <c r="K63" s="271">
        <f t="shared" ref="K63" si="166">+J63*$X$1</f>
        <v>3387.5</v>
      </c>
      <c r="L63" s="427">
        <f t="shared" si="139"/>
        <v>3337.5</v>
      </c>
      <c r="M63" s="271">
        <f t="shared" ref="M63" si="167">+L63*$X$1</f>
        <v>3337.5</v>
      </c>
      <c r="N63" s="427">
        <f t="shared" si="140"/>
        <v>3297.5</v>
      </c>
      <c r="O63" s="271">
        <f t="shared" ref="O63" si="168">+N63*$X$1</f>
        <v>3297.5</v>
      </c>
      <c r="P63" s="427">
        <f t="shared" si="141"/>
        <v>3287.5</v>
      </c>
      <c r="Q63" s="271">
        <f t="shared" ref="Q63" si="169">+P63*$X$1</f>
        <v>3287.5</v>
      </c>
      <c r="R63" s="427">
        <f t="shared" si="142"/>
        <v>3267.5</v>
      </c>
      <c r="S63" s="271">
        <f t="shared" ref="S63" si="170">+R63*$X$1</f>
        <v>3267.5</v>
      </c>
      <c r="T63" s="427">
        <f t="shared" si="143"/>
        <v>3252.5</v>
      </c>
      <c r="U63" s="271">
        <f t="shared" ref="U63" si="171">+T63*$X$1</f>
        <v>3252.5</v>
      </c>
      <c r="V63" s="427">
        <f t="shared" si="144"/>
        <v>3243.5</v>
      </c>
      <c r="W63" s="271">
        <f t="shared" ref="W63" si="172">+V63*$X$1</f>
        <v>3243.5</v>
      </c>
      <c r="X63" s="123"/>
      <c r="Y63" s="123"/>
      <c r="Z63" s="123"/>
      <c r="AA63" s="123"/>
      <c r="AB63" s="373" t="s">
        <v>747</v>
      </c>
    </row>
    <row r="64" spans="1:35" ht="12.6" customHeight="1" x14ac:dyDescent="0.2">
      <c r="A64" s="18"/>
      <c r="B64" s="716" t="s">
        <v>971</v>
      </c>
      <c r="C64" s="717"/>
      <c r="D64" s="717"/>
      <c r="E64" s="718"/>
      <c r="F64" s="287">
        <v>1110</v>
      </c>
      <c r="G64" s="317">
        <f t="shared" si="138"/>
        <v>1110</v>
      </c>
      <c r="H64" s="265"/>
      <c r="I64" s="320"/>
      <c r="J64" s="70">
        <f>F64+220</f>
        <v>1330</v>
      </c>
      <c r="K64" s="270">
        <f t="shared" ref="K64" si="173">+J64*$X$1</f>
        <v>1330</v>
      </c>
      <c r="L64" s="605">
        <f>F64+160</f>
        <v>1270</v>
      </c>
      <c r="M64" s="270">
        <f t="shared" ref="M64" si="174">+L64*$X$1</f>
        <v>1270</v>
      </c>
      <c r="N64" s="605">
        <f>F64+120</f>
        <v>1230</v>
      </c>
      <c r="O64" s="270">
        <f t="shared" ref="O64" si="175">+N64*$X$1</f>
        <v>1230</v>
      </c>
      <c r="P64" s="605">
        <f>F64+110</f>
        <v>1220</v>
      </c>
      <c r="Q64" s="270">
        <f t="shared" ref="Q64" si="176">+P64*$X$1</f>
        <v>1220</v>
      </c>
      <c r="R64" s="605">
        <f>F64+90</f>
        <v>1200</v>
      </c>
      <c r="S64" s="270">
        <f t="shared" ref="S64" si="177">+R64*$X$1</f>
        <v>1200</v>
      </c>
      <c r="T64" s="605">
        <f>F64+80</f>
        <v>1190</v>
      </c>
      <c r="U64" s="270">
        <f t="shared" ref="U64" si="178">+T64*$X$1</f>
        <v>1190</v>
      </c>
      <c r="V64" s="605">
        <f>F64+70</f>
        <v>1180</v>
      </c>
      <c r="W64" s="270">
        <f t="shared" ref="W64" si="179">+V64*$X$1</f>
        <v>1180</v>
      </c>
      <c r="X64" s="123"/>
      <c r="Y64" s="123"/>
      <c r="Z64" s="123"/>
      <c r="AA64" s="123"/>
      <c r="AB64" s="373">
        <v>89</v>
      </c>
    </row>
    <row r="65" spans="1:38" ht="12.6" customHeight="1" x14ac:dyDescent="0.2">
      <c r="A65" s="18"/>
      <c r="B65" s="700" t="s">
        <v>477</v>
      </c>
      <c r="C65" s="638"/>
      <c r="D65" s="638"/>
      <c r="E65" s="638"/>
      <c r="F65" s="271">
        <v>611</v>
      </c>
      <c r="G65" s="465">
        <f t="shared" si="138"/>
        <v>611</v>
      </c>
      <c r="H65" s="264"/>
      <c r="I65" s="321"/>
      <c r="J65" s="85"/>
      <c r="K65" s="286"/>
      <c r="L65" s="427"/>
      <c r="M65" s="286"/>
      <c r="N65" s="427">
        <f t="shared" si="140"/>
        <v>721</v>
      </c>
      <c r="O65" s="271">
        <f t="shared" ref="O65:O66" si="180">+N65*$X$1</f>
        <v>721</v>
      </c>
      <c r="P65" s="427">
        <f t="shared" si="141"/>
        <v>711</v>
      </c>
      <c r="Q65" s="271">
        <f t="shared" ref="Q65:Q66" si="181">+P65*$X$1</f>
        <v>711</v>
      </c>
      <c r="R65" s="427">
        <f t="shared" si="142"/>
        <v>691</v>
      </c>
      <c r="S65" s="271">
        <f t="shared" ref="S65:S66" si="182">+R65*$X$1</f>
        <v>691</v>
      </c>
      <c r="T65" s="427">
        <f t="shared" si="143"/>
        <v>676</v>
      </c>
      <c r="U65" s="271">
        <f t="shared" ref="U65:U66" si="183">+T65*$X$1</f>
        <v>676</v>
      </c>
      <c r="V65" s="427">
        <f t="shared" si="144"/>
        <v>667</v>
      </c>
      <c r="W65" s="271">
        <f t="shared" ref="W65:W66" si="184">+V65*$X$1</f>
        <v>667</v>
      </c>
      <c r="X65" s="135"/>
      <c r="Y65" s="135"/>
      <c r="Z65" s="135" t="s">
        <v>78</v>
      </c>
      <c r="AA65" s="123"/>
      <c r="AB65" s="373">
        <v>91</v>
      </c>
    </row>
    <row r="66" spans="1:38" ht="12.6" customHeight="1" x14ac:dyDescent="0.2">
      <c r="A66" s="18"/>
      <c r="B66" s="837" t="s">
        <v>79</v>
      </c>
      <c r="C66" s="838"/>
      <c r="D66" s="838"/>
      <c r="E66" s="839"/>
      <c r="F66" s="270">
        <v>290</v>
      </c>
      <c r="G66" s="293">
        <f t="shared" si="138"/>
        <v>290</v>
      </c>
      <c r="H66" s="265"/>
      <c r="I66" s="320"/>
      <c r="J66" s="70"/>
      <c r="K66" s="246"/>
      <c r="L66" s="605"/>
      <c r="M66" s="246"/>
      <c r="N66" s="605">
        <f t="shared" si="140"/>
        <v>400</v>
      </c>
      <c r="O66" s="270">
        <f t="shared" si="180"/>
        <v>400</v>
      </c>
      <c r="P66" s="605">
        <f t="shared" si="141"/>
        <v>390</v>
      </c>
      <c r="Q66" s="270">
        <f t="shared" si="181"/>
        <v>390</v>
      </c>
      <c r="R66" s="605">
        <f t="shared" si="142"/>
        <v>370</v>
      </c>
      <c r="S66" s="270">
        <f t="shared" si="182"/>
        <v>370</v>
      </c>
      <c r="T66" s="605">
        <f t="shared" si="143"/>
        <v>355</v>
      </c>
      <c r="U66" s="270">
        <f t="shared" si="183"/>
        <v>355</v>
      </c>
      <c r="V66" s="605">
        <f t="shared" si="144"/>
        <v>346</v>
      </c>
      <c r="W66" s="270">
        <f t="shared" si="184"/>
        <v>346</v>
      </c>
      <c r="X66" s="135"/>
      <c r="Y66" s="135"/>
      <c r="Z66" s="135"/>
      <c r="AA66" s="123"/>
      <c r="AB66" s="373" t="s">
        <v>80</v>
      </c>
    </row>
    <row r="67" spans="1:38" ht="12.6" customHeight="1" x14ac:dyDescent="0.2">
      <c r="A67" s="18"/>
      <c r="B67" s="810" t="s">
        <v>329</v>
      </c>
      <c r="C67" s="811"/>
      <c r="D67" s="811"/>
      <c r="E67" s="812"/>
      <c r="F67" s="271"/>
      <c r="G67" s="292"/>
      <c r="H67" s="264"/>
      <c r="I67" s="264"/>
      <c r="J67" s="85"/>
      <c r="K67" s="89"/>
      <c r="L67" s="427"/>
      <c r="M67" s="286"/>
      <c r="N67" s="96"/>
      <c r="O67" s="286"/>
      <c r="P67" s="96"/>
      <c r="Q67" s="271"/>
      <c r="R67" s="96"/>
      <c r="S67" s="286"/>
      <c r="T67" s="96"/>
      <c r="U67" s="286"/>
      <c r="V67" s="96"/>
      <c r="W67" s="271"/>
      <c r="X67" s="135"/>
      <c r="Y67" s="135"/>
      <c r="Z67" s="135"/>
      <c r="AA67" s="123"/>
      <c r="AB67" s="34"/>
    </row>
    <row r="68" spans="1:38" ht="12.6" customHeight="1" x14ac:dyDescent="0.2">
      <c r="A68" s="18"/>
      <c r="B68" s="837" t="s">
        <v>330</v>
      </c>
      <c r="C68" s="838"/>
      <c r="D68" s="838"/>
      <c r="E68" s="839"/>
      <c r="F68" s="270"/>
      <c r="G68" s="293"/>
      <c r="H68" s="265"/>
      <c r="I68" s="265"/>
      <c r="J68" s="70"/>
      <c r="K68" s="91"/>
      <c r="L68" s="605"/>
      <c r="M68" s="246"/>
      <c r="N68" s="97"/>
      <c r="O68" s="246"/>
      <c r="P68" s="97"/>
      <c r="Q68" s="270"/>
      <c r="R68" s="97"/>
      <c r="S68" s="246"/>
      <c r="T68" s="97"/>
      <c r="U68" s="246"/>
      <c r="V68" s="97"/>
      <c r="W68" s="270"/>
      <c r="X68" s="135"/>
      <c r="Y68" s="135"/>
      <c r="Z68" s="135"/>
      <c r="AA68" s="123"/>
      <c r="AB68" s="34"/>
    </row>
    <row r="69" spans="1:38" ht="12.6" customHeight="1" x14ac:dyDescent="0.2">
      <c r="A69" s="18"/>
      <c r="B69" s="700" t="s">
        <v>81</v>
      </c>
      <c r="C69" s="638"/>
      <c r="D69" s="638"/>
      <c r="E69" s="638"/>
      <c r="F69" s="271">
        <v>5690</v>
      </c>
      <c r="G69" s="292">
        <f t="shared" si="138"/>
        <v>5690</v>
      </c>
      <c r="H69" s="85">
        <f>F69+600</f>
        <v>6290</v>
      </c>
      <c r="I69" s="271">
        <f>+H69*$X$1</f>
        <v>6290</v>
      </c>
      <c r="J69" s="85">
        <f>F69+200</f>
        <v>5890</v>
      </c>
      <c r="K69" s="271">
        <f t="shared" ref="K69" si="185">+J69*$X$1</f>
        <v>5890</v>
      </c>
      <c r="L69" s="427">
        <f>F69+150</f>
        <v>5840</v>
      </c>
      <c r="M69" s="271">
        <f t="shared" ref="M69" si="186">+L69*$X$1</f>
        <v>5840</v>
      </c>
      <c r="N69" s="427">
        <f>F69+110</f>
        <v>5800</v>
      </c>
      <c r="O69" s="271">
        <f t="shared" ref="O69" si="187">+N69*$X$1</f>
        <v>5800</v>
      </c>
      <c r="P69" s="427">
        <f>F69+100</f>
        <v>5790</v>
      </c>
      <c r="Q69" s="271">
        <f t="shared" ref="Q69" si="188">+P69*$X$1</f>
        <v>5790</v>
      </c>
      <c r="R69" s="427">
        <f>F69+80</f>
        <v>5770</v>
      </c>
      <c r="S69" s="271">
        <f t="shared" ref="S69" si="189">+R69*$X$1</f>
        <v>5770</v>
      </c>
      <c r="T69" s="427">
        <f>F69+65</f>
        <v>5755</v>
      </c>
      <c r="U69" s="271">
        <f t="shared" ref="U69" si="190">+T69*$X$1</f>
        <v>5755</v>
      </c>
      <c r="V69" s="427">
        <f>F69+56</f>
        <v>5746</v>
      </c>
      <c r="W69" s="271">
        <f t="shared" ref="W69" si="191">+V69*$X$1</f>
        <v>5746</v>
      </c>
      <c r="X69" s="125"/>
      <c r="Y69" s="123"/>
      <c r="Z69" s="123"/>
      <c r="AA69" s="123"/>
      <c r="AB69" s="373">
        <v>92</v>
      </c>
    </row>
    <row r="70" spans="1:38" ht="12.6" customHeight="1" x14ac:dyDescent="0.25">
      <c r="A70" s="56"/>
      <c r="B70" s="768" t="s">
        <v>445</v>
      </c>
      <c r="C70" s="746"/>
      <c r="D70" s="746"/>
      <c r="E70" s="746"/>
      <c r="F70" s="270"/>
      <c r="G70" s="246"/>
      <c r="H70" s="100"/>
      <c r="I70" s="820" t="s">
        <v>453</v>
      </c>
      <c r="J70" s="821"/>
      <c r="K70" s="821"/>
      <c r="L70" s="822"/>
      <c r="M70" s="823"/>
      <c r="N70" s="605">
        <v>850</v>
      </c>
      <c r="O70" s="293">
        <f>+N70*$X$1</f>
        <v>850</v>
      </c>
      <c r="P70" s="299">
        <v>847</v>
      </c>
      <c r="Q70" s="288">
        <f>+P70*$X$1</f>
        <v>847</v>
      </c>
      <c r="R70" s="605">
        <v>795</v>
      </c>
      <c r="S70" s="246">
        <f>+R70*$X$1</f>
        <v>795</v>
      </c>
      <c r="T70" s="605">
        <v>755</v>
      </c>
      <c r="U70" s="270">
        <f>+T70*$X$1</f>
        <v>755</v>
      </c>
      <c r="V70" s="605">
        <v>692</v>
      </c>
      <c r="W70" s="270">
        <f>+V70*$X$1</f>
        <v>692</v>
      </c>
      <c r="X70" s="799"/>
      <c r="Y70" s="799"/>
      <c r="Z70" s="799"/>
      <c r="AA70" s="799"/>
      <c r="AB70" s="184" t="s">
        <v>446</v>
      </c>
    </row>
    <row r="71" spans="1:38" ht="12.6" customHeight="1" x14ac:dyDescent="0.25">
      <c r="A71" s="56"/>
      <c r="B71" s="700" t="s">
        <v>319</v>
      </c>
      <c r="C71" s="630"/>
      <c r="D71" s="630"/>
      <c r="E71" s="630"/>
      <c r="F71" s="271"/>
      <c r="G71" s="286"/>
      <c r="H71" s="238"/>
      <c r="I71" s="944" t="s">
        <v>453</v>
      </c>
      <c r="J71" s="945"/>
      <c r="K71" s="945"/>
      <c r="L71" s="946"/>
      <c r="M71" s="947"/>
      <c r="N71" s="427">
        <v>912</v>
      </c>
      <c r="O71" s="292">
        <f>+N71*$X$1</f>
        <v>912</v>
      </c>
      <c r="P71" s="276">
        <v>909</v>
      </c>
      <c r="Q71" s="318">
        <f>+P71*$X$1</f>
        <v>909</v>
      </c>
      <c r="R71" s="427">
        <v>853</v>
      </c>
      <c r="S71" s="286">
        <f>+R71*$X$1</f>
        <v>853</v>
      </c>
      <c r="T71" s="427">
        <v>827</v>
      </c>
      <c r="U71" s="271">
        <f>+T71*$X$1</f>
        <v>827</v>
      </c>
      <c r="V71" s="427">
        <v>750</v>
      </c>
      <c r="W71" s="271">
        <f>+V71*$X$1</f>
        <v>750</v>
      </c>
      <c r="X71" s="799"/>
      <c r="Y71" s="799"/>
      <c r="Z71" s="799"/>
      <c r="AA71" s="799"/>
      <c r="AB71" s="184" t="s">
        <v>82</v>
      </c>
    </row>
    <row r="72" spans="1:38" ht="12.6" customHeight="1" x14ac:dyDescent="0.25">
      <c r="A72" s="56"/>
      <c r="B72" s="768" t="s">
        <v>447</v>
      </c>
      <c r="C72" s="746"/>
      <c r="D72" s="746"/>
      <c r="E72" s="746"/>
      <c r="F72" s="270"/>
      <c r="G72" s="246"/>
      <c r="H72" s="100"/>
      <c r="I72" s="820" t="s">
        <v>453</v>
      </c>
      <c r="J72" s="821"/>
      <c r="K72" s="821"/>
      <c r="L72" s="822"/>
      <c r="M72" s="823"/>
      <c r="N72" s="605">
        <v>1270</v>
      </c>
      <c r="O72" s="293">
        <f>+N72*$X$1</f>
        <v>1270</v>
      </c>
      <c r="P72" s="277">
        <v>1265</v>
      </c>
      <c r="Q72" s="288">
        <f>+P72*$X$1</f>
        <v>1265</v>
      </c>
      <c r="R72" s="605">
        <v>1207</v>
      </c>
      <c r="S72" s="246">
        <f>+R72*$X$1</f>
        <v>1207</v>
      </c>
      <c r="T72" s="605">
        <v>1180</v>
      </c>
      <c r="U72" s="270">
        <f>+T72*$X$1</f>
        <v>1180</v>
      </c>
      <c r="V72" s="605">
        <v>1103</v>
      </c>
      <c r="W72" s="270">
        <f>+V72*$X$1</f>
        <v>1103</v>
      </c>
      <c r="X72" s="799"/>
      <c r="Y72" s="799"/>
      <c r="Z72" s="799"/>
      <c r="AA72" s="799"/>
      <c r="AB72" s="184" t="s">
        <v>448</v>
      </c>
    </row>
    <row r="73" spans="1:38" ht="12.6" customHeight="1" x14ac:dyDescent="0.25">
      <c r="A73" s="18"/>
      <c r="B73" s="700" t="s">
        <v>320</v>
      </c>
      <c r="C73" s="630"/>
      <c r="D73" s="630"/>
      <c r="E73" s="630"/>
      <c r="F73" s="271"/>
      <c r="G73" s="286"/>
      <c r="H73" s="238"/>
      <c r="I73" s="817"/>
      <c r="J73" s="818"/>
      <c r="K73" s="818"/>
      <c r="L73" s="264"/>
      <c r="M73" s="321"/>
      <c r="N73" s="427"/>
      <c r="O73" s="292"/>
      <c r="P73" s="427"/>
      <c r="Q73" s="271"/>
      <c r="R73" s="427"/>
      <c r="S73" s="286"/>
      <c r="T73" s="427"/>
      <c r="U73" s="271"/>
      <c r="V73" s="90"/>
      <c r="W73" s="271"/>
      <c r="X73" s="799"/>
      <c r="Y73" s="799"/>
      <c r="Z73" s="799"/>
      <c r="AA73" s="799"/>
      <c r="AB73" s="184" t="s">
        <v>83</v>
      </c>
      <c r="AH73" s="4"/>
      <c r="AI73" s="4"/>
      <c r="AJ73" s="4"/>
    </row>
    <row r="74" spans="1:38" s="6" customFormat="1" ht="12.6" customHeight="1" x14ac:dyDescent="0.25">
      <c r="A74" s="56"/>
      <c r="B74" s="943" t="s">
        <v>376</v>
      </c>
      <c r="C74" s="634"/>
      <c r="D74" s="634"/>
      <c r="E74" s="635"/>
      <c r="F74" s="270"/>
      <c r="G74" s="246"/>
      <c r="H74" s="605"/>
      <c r="I74" s="293"/>
      <c r="J74" s="296"/>
      <c r="K74" s="333"/>
      <c r="L74" s="608">
        <v>2410</v>
      </c>
      <c r="M74" s="270">
        <f>+L74*$X$1</f>
        <v>2410</v>
      </c>
      <c r="N74" s="605">
        <v>2140</v>
      </c>
      <c r="O74" s="293">
        <f>+N74*$X$1</f>
        <v>2140</v>
      </c>
      <c r="P74" s="357">
        <v>1961</v>
      </c>
      <c r="Q74" s="288">
        <f>+P74*$X$1</f>
        <v>1961</v>
      </c>
      <c r="R74" s="605">
        <v>1958</v>
      </c>
      <c r="S74" s="246">
        <f>+R74*$X$1</f>
        <v>1958</v>
      </c>
      <c r="T74" s="605">
        <v>1890</v>
      </c>
      <c r="U74" s="270">
        <f>+T74*$X$1</f>
        <v>1890</v>
      </c>
      <c r="V74" s="603"/>
      <c r="W74" s="331"/>
      <c r="X74" s="236"/>
      <c r="Y74" s="237"/>
      <c r="Z74" s="237"/>
      <c r="AA74" s="237"/>
      <c r="AB74" s="184" t="s">
        <v>84</v>
      </c>
      <c r="AC74" s="8"/>
      <c r="AD74" s="8"/>
      <c r="AE74" s="8"/>
      <c r="AF74" s="8"/>
      <c r="AG74" s="8"/>
      <c r="AH74" s="55"/>
      <c r="AI74" s="24"/>
      <c r="AJ74" s="55"/>
      <c r="AK74" s="8"/>
      <c r="AL74" s="8"/>
    </row>
    <row r="75" spans="1:38" s="6" customFormat="1" ht="12.6" customHeight="1" x14ac:dyDescent="0.25">
      <c r="A75" s="56"/>
      <c r="B75" s="796" t="s">
        <v>377</v>
      </c>
      <c r="C75" s="797"/>
      <c r="D75" s="797"/>
      <c r="E75" s="798"/>
      <c r="F75" s="271"/>
      <c r="G75" s="610"/>
      <c r="H75" s="427"/>
      <c r="I75" s="611"/>
      <c r="J75" s="274"/>
      <c r="K75" s="334"/>
      <c r="L75" s="612">
        <v>3250</v>
      </c>
      <c r="M75" s="271">
        <f>+L75*$X$1</f>
        <v>3250</v>
      </c>
      <c r="N75" s="427">
        <v>2996</v>
      </c>
      <c r="O75" s="611">
        <f>+N75*$X$1</f>
        <v>2996</v>
      </c>
      <c r="P75" s="358">
        <v>2913</v>
      </c>
      <c r="Q75" s="318">
        <f>+P75*$X$1</f>
        <v>2913</v>
      </c>
      <c r="R75" s="427">
        <v>2909</v>
      </c>
      <c r="S75" s="610">
        <f>+R75*$X$1</f>
        <v>2909</v>
      </c>
      <c r="T75" s="427">
        <v>2713</v>
      </c>
      <c r="U75" s="271">
        <f>+T75*$X$1</f>
        <v>2713</v>
      </c>
      <c r="V75" s="604"/>
      <c r="W75" s="332"/>
      <c r="X75" s="801"/>
      <c r="Y75" s="802"/>
      <c r="Z75" s="802"/>
      <c r="AA75" s="802"/>
      <c r="AB75" s="184" t="s">
        <v>85</v>
      </c>
      <c r="AC75" s="8"/>
      <c r="AD75" s="8"/>
      <c r="AE75" s="8"/>
      <c r="AF75" s="8"/>
      <c r="AG75" s="8"/>
      <c r="AH75" s="55"/>
      <c r="AI75" s="55"/>
      <c r="AJ75" s="55"/>
      <c r="AK75" s="8"/>
      <c r="AL75" s="8"/>
    </row>
    <row r="76" spans="1:38" ht="12.6" customHeight="1" x14ac:dyDescent="0.2">
      <c r="A76" s="92"/>
      <c r="B76" s="102"/>
      <c r="C76" s="66"/>
      <c r="D76" s="66"/>
      <c r="E76" s="66"/>
      <c r="F76" s="175"/>
      <c r="G76" s="175"/>
      <c r="H76" s="175"/>
      <c r="I76" s="175"/>
      <c r="J76" s="175"/>
      <c r="K76" s="175"/>
      <c r="L76" s="103"/>
      <c r="M76" s="103"/>
      <c r="N76" s="104"/>
      <c r="O76" s="104"/>
      <c r="P76" s="104"/>
      <c r="Q76" s="105"/>
      <c r="R76" s="84"/>
      <c r="S76" s="62"/>
      <c r="T76" s="62"/>
      <c r="U76" s="62"/>
      <c r="V76" s="62"/>
      <c r="W76" s="62"/>
      <c r="X76" s="75"/>
      <c r="AB76" s="101"/>
    </row>
    <row r="77" spans="1:38" ht="12.6" customHeight="1" x14ac:dyDescent="0.2">
      <c r="A77" s="92"/>
      <c r="B77" s="102"/>
      <c r="C77" s="570"/>
      <c r="D77" s="570"/>
      <c r="E77" s="570"/>
      <c r="F77" s="226"/>
      <c r="G77" s="226"/>
      <c r="H77" s="226"/>
      <c r="I77" s="226"/>
      <c r="J77" s="226"/>
      <c r="K77" s="226"/>
      <c r="L77" s="103"/>
      <c r="M77" s="103"/>
      <c r="N77" s="104"/>
      <c r="O77" s="104"/>
      <c r="P77" s="104"/>
      <c r="Q77" s="105"/>
      <c r="R77" s="84"/>
      <c r="S77" s="62"/>
      <c r="T77" s="62"/>
      <c r="U77" s="62"/>
      <c r="V77" s="62"/>
      <c r="W77" s="62"/>
      <c r="X77" s="75"/>
      <c r="AB77" s="101"/>
    </row>
    <row r="78" spans="1:38" ht="12.6" customHeight="1" x14ac:dyDescent="0.2">
      <c r="A78" s="92"/>
      <c r="B78" s="102"/>
      <c r="C78" s="227"/>
      <c r="D78" s="227"/>
      <c r="E78" s="227"/>
      <c r="F78" s="226"/>
      <c r="G78" s="226"/>
      <c r="H78" s="226"/>
      <c r="I78" s="226"/>
      <c r="J78" s="226"/>
      <c r="K78" s="226"/>
      <c r="L78" s="103"/>
      <c r="M78" s="103"/>
      <c r="N78" s="104"/>
      <c r="O78" s="104"/>
      <c r="P78" s="104"/>
      <c r="Q78" s="105"/>
      <c r="R78" s="84"/>
      <c r="S78" s="62"/>
      <c r="T78" s="62"/>
      <c r="U78" s="62"/>
      <c r="V78" s="62"/>
      <c r="W78" s="62"/>
      <c r="X78" s="75"/>
      <c r="AB78" s="101"/>
    </row>
    <row r="79" spans="1:38" ht="15.75" customHeight="1" x14ac:dyDescent="0.2">
      <c r="A79" s="18"/>
      <c r="B79" s="660" t="s">
        <v>11</v>
      </c>
      <c r="C79" s="935" t="s">
        <v>12</v>
      </c>
      <c r="D79" s="936"/>
      <c r="E79" s="936"/>
      <c r="F79" s="763" t="s">
        <v>13</v>
      </c>
      <c r="G79" s="763" t="s">
        <v>13</v>
      </c>
      <c r="H79" s="661" t="s">
        <v>770</v>
      </c>
      <c r="I79" s="661"/>
      <c r="J79" s="662"/>
      <c r="K79" s="662"/>
      <c r="L79" s="662"/>
      <c r="M79" s="662"/>
      <c r="N79" s="662"/>
      <c r="O79" s="662"/>
      <c r="P79" s="662"/>
      <c r="Q79" s="662"/>
      <c r="R79" s="662"/>
      <c r="S79" s="662"/>
      <c r="T79" s="662"/>
      <c r="U79" s="662"/>
      <c r="V79" s="662"/>
      <c r="W79" s="662"/>
      <c r="X79" s="679" t="s">
        <v>14</v>
      </c>
      <c r="Y79" s="680"/>
      <c r="Z79" s="680"/>
      <c r="AA79" s="681"/>
      <c r="AB79" s="677" t="s">
        <v>15</v>
      </c>
      <c r="AF79" s="675" t="s">
        <v>3</v>
      </c>
      <c r="AG79" s="676"/>
      <c r="AH79" s="676"/>
    </row>
    <row r="80" spans="1:38" ht="12" customHeight="1" x14ac:dyDescent="0.2">
      <c r="A80" s="18"/>
      <c r="B80" s="660"/>
      <c r="C80" s="936"/>
      <c r="D80" s="936"/>
      <c r="E80" s="936"/>
      <c r="F80" s="764"/>
      <c r="G80" s="764"/>
      <c r="H80" s="436"/>
      <c r="I80" s="434" t="s">
        <v>279</v>
      </c>
      <c r="J80" s="436"/>
      <c r="K80" s="434" t="s">
        <v>17</v>
      </c>
      <c r="L80" s="437"/>
      <c r="M80" s="437" t="s">
        <v>18</v>
      </c>
      <c r="N80" s="437"/>
      <c r="O80" s="434" t="s">
        <v>19</v>
      </c>
      <c r="P80" s="437"/>
      <c r="Q80" s="437" t="s">
        <v>280</v>
      </c>
      <c r="R80" s="437"/>
      <c r="S80" s="437" t="s">
        <v>20</v>
      </c>
      <c r="T80" s="437"/>
      <c r="U80" s="437" t="s">
        <v>21</v>
      </c>
      <c r="V80" s="437"/>
      <c r="W80" s="437" t="s">
        <v>22</v>
      </c>
      <c r="X80" s="682"/>
      <c r="Y80" s="683"/>
      <c r="Z80" s="683"/>
      <c r="AA80" s="684"/>
      <c r="AB80" s="678"/>
    </row>
    <row r="81" spans="1:34" ht="12.6" customHeight="1" x14ac:dyDescent="0.2">
      <c r="A81" s="18"/>
      <c r="B81" s="663" t="s">
        <v>86</v>
      </c>
      <c r="C81" s="664"/>
      <c r="D81" s="664"/>
      <c r="E81" s="847"/>
      <c r="F81" s="840" t="s">
        <v>636</v>
      </c>
      <c r="G81" s="841"/>
      <c r="H81" s="841"/>
      <c r="I81" s="841"/>
      <c r="J81" s="531"/>
      <c r="K81" s="526"/>
      <c r="L81" s="529"/>
      <c r="M81" s="298"/>
      <c r="N81" s="96"/>
      <c r="O81" s="465"/>
      <c r="P81" s="530"/>
      <c r="Q81" s="465"/>
      <c r="R81" s="96"/>
      <c r="S81" s="298"/>
      <c r="T81" s="96"/>
      <c r="U81" s="298"/>
      <c r="V81" s="96"/>
      <c r="W81" s="298"/>
      <c r="X81" s="123"/>
      <c r="Y81" s="123"/>
      <c r="Z81" s="123"/>
      <c r="AA81" s="123"/>
      <c r="AB81" s="380" t="s">
        <v>87</v>
      </c>
      <c r="AC81" s="376" t="s">
        <v>88</v>
      </c>
      <c r="AD81" s="376" t="s">
        <v>89</v>
      </c>
      <c r="AE81" s="376" t="s">
        <v>90</v>
      </c>
      <c r="AF81" s="376" t="s">
        <v>91</v>
      </c>
      <c r="AG81" s="376" t="s">
        <v>92</v>
      </c>
    </row>
    <row r="82" spans="1:34" ht="12.6" customHeight="1" x14ac:dyDescent="0.2">
      <c r="A82" s="18"/>
      <c r="B82" s="691" t="s">
        <v>93</v>
      </c>
      <c r="C82" s="692"/>
      <c r="D82" s="692"/>
      <c r="E82" s="815"/>
      <c r="F82" s="842"/>
      <c r="G82" s="841"/>
      <c r="H82" s="841"/>
      <c r="I82" s="841"/>
      <c r="J82" s="252"/>
      <c r="K82" s="265"/>
      <c r="L82" s="455"/>
      <c r="M82" s="270"/>
      <c r="N82" s="97"/>
      <c r="O82" s="293"/>
      <c r="P82" s="299"/>
      <c r="Q82" s="288"/>
      <c r="R82" s="97"/>
      <c r="S82" s="246"/>
      <c r="T82" s="97"/>
      <c r="U82" s="270"/>
      <c r="V82" s="523"/>
      <c r="W82" s="270"/>
      <c r="X82" s="126"/>
      <c r="Y82" s="126"/>
      <c r="Z82" s="126"/>
      <c r="AA82" s="126"/>
      <c r="AB82" s="380" t="s">
        <v>94</v>
      </c>
      <c r="AC82" s="376" t="s">
        <v>95</v>
      </c>
      <c r="AD82" s="376" t="s">
        <v>96</v>
      </c>
      <c r="AE82" s="376" t="s">
        <v>97</v>
      </c>
      <c r="AF82" s="376" t="s">
        <v>98</v>
      </c>
      <c r="AG82" s="376" t="s">
        <v>99</v>
      </c>
      <c r="AH82" s="376" t="s">
        <v>100</v>
      </c>
    </row>
    <row r="83" spans="1:34" ht="12.6" customHeight="1" x14ac:dyDescent="0.25">
      <c r="A83" s="18"/>
      <c r="B83" s="629" t="s">
        <v>101</v>
      </c>
      <c r="C83" s="638"/>
      <c r="D83" s="638"/>
      <c r="E83" s="800"/>
      <c r="F83" s="842"/>
      <c r="G83" s="841"/>
      <c r="H83" s="841"/>
      <c r="I83" s="841"/>
      <c r="J83" s="252"/>
      <c r="K83" s="264"/>
      <c r="L83" s="283"/>
      <c r="M83" s="271"/>
      <c r="N83" s="427"/>
      <c r="O83" s="292"/>
      <c r="P83" s="266"/>
      <c r="Q83" s="318"/>
      <c r="R83" s="427"/>
      <c r="S83" s="286"/>
      <c r="T83" s="427"/>
      <c r="U83" s="271"/>
      <c r="V83" s="427"/>
      <c r="W83" s="271"/>
      <c r="X83" s="824"/>
      <c r="Y83" s="825"/>
      <c r="Z83" s="825"/>
      <c r="AA83" s="177"/>
      <c r="AB83" s="380" t="s">
        <v>102</v>
      </c>
      <c r="AC83" s="376" t="s">
        <v>103</v>
      </c>
      <c r="AD83" s="376" t="s">
        <v>104</v>
      </c>
      <c r="AE83" s="376" t="s">
        <v>105</v>
      </c>
      <c r="AF83" s="376" t="s">
        <v>106</v>
      </c>
      <c r="AG83" s="381" t="s">
        <v>107</v>
      </c>
      <c r="AH83" s="376" t="s">
        <v>108</v>
      </c>
    </row>
    <row r="84" spans="1:34" ht="12.6" customHeight="1" x14ac:dyDescent="0.25">
      <c r="A84" s="18"/>
      <c r="B84" s="691" t="s">
        <v>109</v>
      </c>
      <c r="C84" s="692"/>
      <c r="D84" s="692"/>
      <c r="E84" s="815"/>
      <c r="F84" s="842"/>
      <c r="G84" s="841"/>
      <c r="H84" s="841"/>
      <c r="I84" s="841"/>
      <c r="J84" s="252"/>
      <c r="K84" s="265"/>
      <c r="L84" s="455"/>
      <c r="M84" s="270"/>
      <c r="N84" s="523"/>
      <c r="O84" s="293"/>
      <c r="P84" s="299"/>
      <c r="Q84" s="288"/>
      <c r="R84" s="523"/>
      <c r="S84" s="246"/>
      <c r="T84" s="523"/>
      <c r="U84" s="270"/>
      <c r="V84" s="523"/>
      <c r="W84" s="270"/>
      <c r="X84" s="824"/>
      <c r="Y84" s="825"/>
      <c r="Z84" s="825"/>
      <c r="AA84" s="177"/>
      <c r="AB84" s="380" t="s">
        <v>110</v>
      </c>
      <c r="AC84" s="382" t="s">
        <v>111</v>
      </c>
      <c r="AD84" s="382" t="s">
        <v>112</v>
      </c>
      <c r="AE84" s="382" t="s">
        <v>113</v>
      </c>
      <c r="AF84" s="382" t="s">
        <v>114</v>
      </c>
      <c r="AG84" s="30"/>
    </row>
    <row r="85" spans="1:34" ht="12.6" customHeight="1" x14ac:dyDescent="0.2">
      <c r="A85" s="18"/>
      <c r="B85" s="629" t="s">
        <v>115</v>
      </c>
      <c r="C85" s="638"/>
      <c r="D85" s="638"/>
      <c r="E85" s="800"/>
      <c r="F85" s="842"/>
      <c r="G85" s="841"/>
      <c r="H85" s="841"/>
      <c r="I85" s="841"/>
      <c r="J85" s="252"/>
      <c r="K85" s="264"/>
      <c r="L85" s="283"/>
      <c r="M85" s="271"/>
      <c r="N85" s="427"/>
      <c r="O85" s="292"/>
      <c r="P85" s="266"/>
      <c r="Q85" s="318"/>
      <c r="R85" s="427"/>
      <c r="S85" s="286"/>
      <c r="T85" s="427"/>
      <c r="U85" s="271"/>
      <c r="V85" s="427"/>
      <c r="W85" s="271"/>
      <c r="X85" s="140"/>
      <c r="Y85" s="140"/>
      <c r="Z85" s="140"/>
      <c r="AA85" s="140"/>
      <c r="AB85" s="31" t="s">
        <v>116</v>
      </c>
      <c r="AC85" s="376" t="s">
        <v>117</v>
      </c>
      <c r="AD85" s="376" t="s">
        <v>118</v>
      </c>
      <c r="AE85" s="376" t="s">
        <v>119</v>
      </c>
      <c r="AF85" s="376" t="s">
        <v>120</v>
      </c>
      <c r="AG85" s="376" t="s">
        <v>121</v>
      </c>
    </row>
    <row r="86" spans="1:34" ht="12.6" customHeight="1" x14ac:dyDescent="0.2">
      <c r="A86" s="18"/>
      <c r="B86" s="691" t="s">
        <v>122</v>
      </c>
      <c r="C86" s="692"/>
      <c r="D86" s="692"/>
      <c r="E86" s="815"/>
      <c r="F86" s="842"/>
      <c r="G86" s="841"/>
      <c r="H86" s="841"/>
      <c r="I86" s="841"/>
      <c r="J86" s="252"/>
      <c r="K86" s="265"/>
      <c r="L86" s="455"/>
      <c r="M86" s="270"/>
      <c r="N86" s="523"/>
      <c r="O86" s="293"/>
      <c r="P86" s="299"/>
      <c r="Q86" s="288"/>
      <c r="R86" s="523"/>
      <c r="S86" s="246"/>
      <c r="T86" s="523"/>
      <c r="U86" s="270"/>
      <c r="V86" s="523"/>
      <c r="W86" s="270"/>
      <c r="X86" s="140"/>
      <c r="Y86" s="140"/>
      <c r="Z86" s="140"/>
      <c r="AA86" s="140"/>
      <c r="AB86" s="31" t="s">
        <v>123</v>
      </c>
      <c r="AC86" s="382" t="s">
        <v>124</v>
      </c>
      <c r="AD86" s="382" t="s">
        <v>125</v>
      </c>
      <c r="AE86" s="382" t="s">
        <v>126</v>
      </c>
    </row>
    <row r="87" spans="1:34" ht="12.6" customHeight="1" x14ac:dyDescent="0.25">
      <c r="A87" s="18"/>
      <c r="B87" s="629" t="s">
        <v>127</v>
      </c>
      <c r="C87" s="638"/>
      <c r="D87" s="638"/>
      <c r="E87" s="800"/>
      <c r="F87" s="842"/>
      <c r="G87" s="841"/>
      <c r="H87" s="841"/>
      <c r="I87" s="841"/>
      <c r="J87" s="250"/>
      <c r="K87" s="264"/>
      <c r="L87" s="283"/>
      <c r="M87" s="271"/>
      <c r="N87" s="427"/>
      <c r="O87" s="292"/>
      <c r="P87" s="266"/>
      <c r="Q87" s="318"/>
      <c r="R87" s="427"/>
      <c r="S87" s="286"/>
      <c r="T87" s="427"/>
      <c r="U87" s="271"/>
      <c r="V87" s="427"/>
      <c r="W87" s="271"/>
      <c r="X87" s="824"/>
      <c r="Y87" s="825"/>
      <c r="Z87" s="825"/>
      <c r="AA87" s="177"/>
      <c r="AB87" s="31" t="s">
        <v>128</v>
      </c>
      <c r="AC87" s="376" t="s">
        <v>129</v>
      </c>
      <c r="AD87" s="376" t="s">
        <v>130</v>
      </c>
      <c r="AE87" s="376" t="s">
        <v>131</v>
      </c>
      <c r="AF87" s="376" t="s">
        <v>132</v>
      </c>
      <c r="AG87" s="376" t="s">
        <v>133</v>
      </c>
      <c r="AH87" s="376" t="s">
        <v>134</v>
      </c>
    </row>
    <row r="88" spans="1:34" ht="12.6" customHeight="1" x14ac:dyDescent="0.25">
      <c r="A88" s="18"/>
      <c r="B88" s="691" t="s">
        <v>135</v>
      </c>
      <c r="C88" s="692"/>
      <c r="D88" s="692"/>
      <c r="E88" s="815"/>
      <c r="F88" s="842"/>
      <c r="G88" s="841"/>
      <c r="H88" s="841"/>
      <c r="I88" s="841"/>
      <c r="J88" s="252"/>
      <c r="K88" s="265"/>
      <c r="L88" s="455"/>
      <c r="M88" s="270"/>
      <c r="N88" s="523"/>
      <c r="O88" s="293"/>
      <c r="P88" s="299"/>
      <c r="Q88" s="288"/>
      <c r="R88" s="523"/>
      <c r="S88" s="246"/>
      <c r="T88" s="523"/>
      <c r="U88" s="270"/>
      <c r="V88" s="523"/>
      <c r="W88" s="270"/>
      <c r="X88" s="824"/>
      <c r="Y88" s="825"/>
      <c r="Z88" s="825"/>
      <c r="AA88" s="177"/>
      <c r="AB88" s="378" t="s">
        <v>136</v>
      </c>
      <c r="AC88" s="63"/>
      <c r="AD88" s="63"/>
      <c r="AE88" s="63"/>
      <c r="AF88" s="63"/>
      <c r="AG88" s="63"/>
    </row>
    <row r="89" spans="1:34" ht="12.6" customHeight="1" x14ac:dyDescent="0.2">
      <c r="A89" s="18"/>
      <c r="B89" s="629" t="s">
        <v>137</v>
      </c>
      <c r="C89" s="638"/>
      <c r="D89" s="638"/>
      <c r="E89" s="800"/>
      <c r="F89" s="842"/>
      <c r="G89" s="841"/>
      <c r="H89" s="841"/>
      <c r="I89" s="841"/>
      <c r="J89" s="250"/>
      <c r="K89" s="264"/>
      <c r="L89" s="283"/>
      <c r="M89" s="271"/>
      <c r="N89" s="427"/>
      <c r="O89" s="292"/>
      <c r="P89" s="266"/>
      <c r="Q89" s="318"/>
      <c r="R89" s="427"/>
      <c r="S89" s="286"/>
      <c r="T89" s="427"/>
      <c r="U89" s="271"/>
      <c r="V89" s="427"/>
      <c r="W89" s="271"/>
      <c r="X89" s="139"/>
      <c r="Y89" s="139"/>
      <c r="Z89" s="139"/>
      <c r="AA89" s="139"/>
      <c r="AB89" s="376" t="s">
        <v>138</v>
      </c>
      <c r="AC89" s="63"/>
      <c r="AD89" s="63"/>
      <c r="AE89" s="63"/>
      <c r="AF89" s="63"/>
      <c r="AG89" s="63"/>
    </row>
    <row r="90" spans="1:34" ht="12.6" customHeight="1" x14ac:dyDescent="0.2">
      <c r="A90" s="18"/>
      <c r="B90" s="691" t="s">
        <v>139</v>
      </c>
      <c r="C90" s="692"/>
      <c r="D90" s="692"/>
      <c r="E90" s="815"/>
      <c r="F90" s="842"/>
      <c r="G90" s="841"/>
      <c r="H90" s="841"/>
      <c r="I90" s="841"/>
      <c r="J90" s="252"/>
      <c r="K90" s="265"/>
      <c r="L90" s="455"/>
      <c r="M90" s="270"/>
      <c r="N90" s="523"/>
      <c r="O90" s="293"/>
      <c r="P90" s="299"/>
      <c r="Q90" s="293"/>
      <c r="R90" s="523"/>
      <c r="S90" s="293"/>
      <c r="T90" s="523"/>
      <c r="U90" s="270"/>
      <c r="V90" s="523"/>
      <c r="W90" s="270"/>
      <c r="X90" s="139"/>
      <c r="Y90" s="139"/>
      <c r="Z90" s="139"/>
      <c r="AA90" s="139"/>
      <c r="AB90" s="376" t="s">
        <v>140</v>
      </c>
      <c r="AC90" s="63"/>
      <c r="AD90" s="63"/>
      <c r="AE90" s="63"/>
      <c r="AF90" s="63"/>
      <c r="AG90" s="63"/>
    </row>
    <row r="91" spans="1:34" ht="12.6" customHeight="1" x14ac:dyDescent="0.2">
      <c r="A91" s="18"/>
      <c r="B91" s="629" t="s">
        <v>141</v>
      </c>
      <c r="C91" s="638"/>
      <c r="D91" s="638"/>
      <c r="E91" s="800"/>
      <c r="F91" s="843"/>
      <c r="G91" s="844"/>
      <c r="H91" s="844"/>
      <c r="I91" s="844"/>
      <c r="J91" s="250"/>
      <c r="K91" s="264"/>
      <c r="L91" s="283"/>
      <c r="M91" s="271"/>
      <c r="N91" s="427"/>
      <c r="O91" s="328"/>
      <c r="P91" s="266"/>
      <c r="Q91" s="318"/>
      <c r="R91" s="90"/>
      <c r="S91" s="325"/>
      <c r="T91" s="427"/>
      <c r="U91" s="271"/>
      <c r="V91" s="427"/>
      <c r="W91" s="271"/>
      <c r="X91" s="123"/>
      <c r="Y91" s="123"/>
      <c r="Z91" s="123"/>
      <c r="AA91" s="123"/>
      <c r="AB91" s="379" t="s">
        <v>142</v>
      </c>
      <c r="AC91" s="376" t="s">
        <v>143</v>
      </c>
      <c r="AD91" s="376" t="s">
        <v>144</v>
      </c>
      <c r="AE91" s="376" t="s">
        <v>145</v>
      </c>
      <c r="AF91" s="376" t="s">
        <v>146</v>
      </c>
      <c r="AG91" s="376" t="s">
        <v>147</v>
      </c>
    </row>
    <row r="92" spans="1:34" ht="12.6" customHeight="1" x14ac:dyDescent="0.2">
      <c r="A92" s="18"/>
      <c r="B92" s="691" t="s">
        <v>441</v>
      </c>
      <c r="C92" s="692"/>
      <c r="D92" s="692"/>
      <c r="E92" s="692"/>
      <c r="F92" s="270"/>
      <c r="G92" s="288"/>
      <c r="H92" s="252"/>
      <c r="I92" s="528"/>
      <c r="J92" s="523"/>
      <c r="K92" s="270"/>
      <c r="L92" s="523"/>
      <c r="M92" s="270"/>
      <c r="N92" s="523"/>
      <c r="O92" s="270"/>
      <c r="P92" s="523"/>
      <c r="Q92" s="270"/>
      <c r="R92" s="523"/>
      <c r="S92" s="270"/>
      <c r="T92" s="523"/>
      <c r="U92" s="270"/>
      <c r="V92" s="70"/>
      <c r="W92" s="323"/>
      <c r="X92" s="150"/>
      <c r="Y92" s="126"/>
      <c r="Z92" s="126"/>
      <c r="AA92" s="129"/>
      <c r="AB92" s="377">
        <v>117</v>
      </c>
    </row>
    <row r="93" spans="1:34" ht="12.6" customHeight="1" x14ac:dyDescent="0.2">
      <c r="A93" s="18"/>
      <c r="B93" s="708" t="s">
        <v>459</v>
      </c>
      <c r="C93" s="709"/>
      <c r="D93" s="709"/>
      <c r="E93" s="710"/>
      <c r="F93" s="271"/>
      <c r="G93" s="318"/>
      <c r="H93" s="250"/>
      <c r="I93" s="264"/>
      <c r="J93" s="427"/>
      <c r="K93" s="271"/>
      <c r="L93" s="427"/>
      <c r="M93" s="271"/>
      <c r="N93" s="427"/>
      <c r="O93" s="271"/>
      <c r="P93" s="427"/>
      <c r="Q93" s="271"/>
      <c r="R93" s="427"/>
      <c r="S93" s="271"/>
      <c r="T93" s="427"/>
      <c r="U93" s="271"/>
      <c r="V93" s="85"/>
      <c r="W93" s="322"/>
      <c r="X93" s="150"/>
      <c r="Y93" s="126"/>
      <c r="Z93" s="126"/>
      <c r="AA93" s="129"/>
      <c r="AB93" s="377"/>
    </row>
    <row r="94" spans="1:34" ht="12.6" customHeight="1" x14ac:dyDescent="0.2">
      <c r="A94" s="18"/>
      <c r="B94" s="691" t="s">
        <v>442</v>
      </c>
      <c r="C94" s="692"/>
      <c r="D94" s="692"/>
      <c r="E94" s="692"/>
      <c r="F94" s="270"/>
      <c r="G94" s="288"/>
      <c r="H94" s="252"/>
      <c r="I94" s="265"/>
      <c r="J94" s="523"/>
      <c r="K94" s="270"/>
      <c r="L94" s="523"/>
      <c r="M94" s="270"/>
      <c r="N94" s="523"/>
      <c r="O94" s="270"/>
      <c r="P94" s="523"/>
      <c r="Q94" s="270"/>
      <c r="R94" s="523"/>
      <c r="S94" s="270"/>
      <c r="T94" s="523"/>
      <c r="U94" s="270"/>
      <c r="V94" s="70"/>
      <c r="W94" s="323"/>
      <c r="X94" s="150"/>
      <c r="Y94" s="126"/>
      <c r="Z94" s="126"/>
      <c r="AA94" s="129"/>
      <c r="AB94" s="377">
        <v>129</v>
      </c>
    </row>
    <row r="95" spans="1:34" ht="12.6" customHeight="1" x14ac:dyDescent="0.2">
      <c r="A95" s="98"/>
      <c r="B95" s="714" t="s">
        <v>370</v>
      </c>
      <c r="C95" s="715"/>
      <c r="D95" s="715"/>
      <c r="E95" s="715"/>
      <c r="F95" s="490">
        <v>480</v>
      </c>
      <c r="G95" s="498">
        <f t="shared" ref="G95:G100" si="192">+F95*$X$1</f>
        <v>480</v>
      </c>
      <c r="H95" s="492"/>
      <c r="I95" s="492"/>
      <c r="J95" s="584">
        <f>F95+200</f>
        <v>680</v>
      </c>
      <c r="K95" s="585">
        <f>+J95*$X$1</f>
        <v>680</v>
      </c>
      <c r="L95" s="586">
        <f>F95+150</f>
        <v>630</v>
      </c>
      <c r="M95" s="585">
        <f t="shared" ref="M95:M97" si="193">+L95*$X$1</f>
        <v>630</v>
      </c>
      <c r="N95" s="499">
        <f>F95+7.2</f>
        <v>487.2</v>
      </c>
      <c r="O95" s="845" t="s">
        <v>148</v>
      </c>
      <c r="P95" s="846"/>
      <c r="Q95" s="846"/>
      <c r="R95" s="846"/>
      <c r="S95" s="846"/>
      <c r="T95" s="846"/>
      <c r="U95" s="846"/>
      <c r="V95" s="846"/>
      <c r="W95" s="846"/>
      <c r="X95" s="151"/>
      <c r="Y95" s="126"/>
      <c r="Z95" s="126"/>
      <c r="AA95" s="129"/>
      <c r="AB95" s="383">
        <v>247</v>
      </c>
    </row>
    <row r="96" spans="1:34" ht="12.6" customHeight="1" x14ac:dyDescent="0.2">
      <c r="A96" s="92"/>
      <c r="B96" s="633" t="s">
        <v>473</v>
      </c>
      <c r="C96" s="634"/>
      <c r="D96" s="634"/>
      <c r="E96" s="635"/>
      <c r="F96" s="351">
        <f>2.631*X2</f>
        <v>3288.7499999999995</v>
      </c>
      <c r="G96" s="293">
        <f>+F96*$X$1</f>
        <v>3288.7499999999995</v>
      </c>
      <c r="H96" s="265"/>
      <c r="I96" s="265"/>
      <c r="J96" s="70">
        <f>F96+200</f>
        <v>3488.7499999999995</v>
      </c>
      <c r="K96" s="270">
        <f t="shared" ref="K96" si="194">+J96*$X$1</f>
        <v>3488.7499999999995</v>
      </c>
      <c r="L96" s="605">
        <f t="shared" ref="L96" si="195">F96+150</f>
        <v>3438.7499999999995</v>
      </c>
      <c r="M96" s="270">
        <f t="shared" si="193"/>
        <v>3438.7499999999995</v>
      </c>
      <c r="N96" s="605">
        <f t="shared" ref="N96" si="196">F96+110</f>
        <v>3398.7499999999995</v>
      </c>
      <c r="O96" s="270">
        <f t="shared" ref="O96" si="197">+N96*$X$1</f>
        <v>3398.7499999999995</v>
      </c>
      <c r="P96" s="605">
        <f t="shared" ref="P96" si="198">F96+100</f>
        <v>3388.7499999999995</v>
      </c>
      <c r="Q96" s="270">
        <f t="shared" ref="Q96" si="199">+P96*$X$1</f>
        <v>3388.7499999999995</v>
      </c>
      <c r="R96" s="605">
        <f t="shared" ref="R96" si="200">F96+80</f>
        <v>3368.7499999999995</v>
      </c>
      <c r="S96" s="270">
        <f t="shared" ref="S96" si="201">+R96*$X$1</f>
        <v>3368.7499999999995</v>
      </c>
      <c r="T96" s="605">
        <f t="shared" ref="T96" si="202">F96+65</f>
        <v>3353.7499999999995</v>
      </c>
      <c r="U96" s="270">
        <f t="shared" ref="U96" si="203">+T96*$X$1</f>
        <v>3353.7499999999995</v>
      </c>
      <c r="V96" s="605">
        <f t="shared" ref="V96" si="204">F96+56</f>
        <v>3344.7499999999995</v>
      </c>
      <c r="W96" s="270">
        <f t="shared" ref="W96" si="205">+V96*$X$1</f>
        <v>3344.7499999999995</v>
      </c>
      <c r="X96" s="151"/>
      <c r="Y96" s="126"/>
      <c r="Z96" s="126"/>
      <c r="AA96" s="129"/>
      <c r="AB96" s="383">
        <v>249</v>
      </c>
    </row>
    <row r="97" spans="1:29" ht="12.6" customHeight="1" x14ac:dyDescent="0.2">
      <c r="A97" s="98"/>
      <c r="B97" s="696" t="s">
        <v>369</v>
      </c>
      <c r="C97" s="697"/>
      <c r="D97" s="697"/>
      <c r="E97" s="697"/>
      <c r="F97" s="491">
        <v>120</v>
      </c>
      <c r="G97" s="496">
        <f t="shared" si="192"/>
        <v>120</v>
      </c>
      <c r="H97" s="497"/>
      <c r="I97" s="497"/>
      <c r="J97" s="493">
        <f>F97+260</f>
        <v>380</v>
      </c>
      <c r="K97" s="491">
        <f t="shared" ref="K97" si="206">+J97*$X$1</f>
        <v>380</v>
      </c>
      <c r="L97" s="566">
        <f>F97+200</f>
        <v>320</v>
      </c>
      <c r="M97" s="491">
        <f t="shared" si="193"/>
        <v>320</v>
      </c>
      <c r="N97" s="566">
        <f>F97+200</f>
        <v>320</v>
      </c>
      <c r="O97" s="491">
        <f t="shared" ref="O97" si="207">+N97*$X$1</f>
        <v>320</v>
      </c>
      <c r="P97" s="566">
        <f>F97+170</f>
        <v>290</v>
      </c>
      <c r="Q97" s="491">
        <f t="shared" ref="Q97" si="208">+P97*$X$1</f>
        <v>290</v>
      </c>
      <c r="R97" s="566">
        <f>F97+140</f>
        <v>260</v>
      </c>
      <c r="S97" s="491">
        <f t="shared" ref="S97" si="209">+R97*$X$1</f>
        <v>260</v>
      </c>
      <c r="T97" s="566">
        <f>F97+120</f>
        <v>240</v>
      </c>
      <c r="U97" s="491">
        <f t="shared" ref="U97" si="210">+T97*$X$1</f>
        <v>240</v>
      </c>
      <c r="V97" s="566">
        <f>F97+100</f>
        <v>220</v>
      </c>
      <c r="W97" s="491">
        <f t="shared" ref="W97" si="211">+V97*$X$1</f>
        <v>220</v>
      </c>
      <c r="X97" s="152"/>
      <c r="Y97" s="126"/>
      <c r="Z97" s="126"/>
      <c r="AA97" s="129"/>
      <c r="AB97" s="384">
        <v>251</v>
      </c>
    </row>
    <row r="98" spans="1:29" ht="12.6" customHeight="1" x14ac:dyDescent="0.2">
      <c r="A98" s="18"/>
      <c r="B98" s="691" t="s">
        <v>341</v>
      </c>
      <c r="C98" s="692"/>
      <c r="D98" s="692"/>
      <c r="E98" s="692"/>
      <c r="F98" s="270">
        <v>690</v>
      </c>
      <c r="G98" s="270">
        <f t="shared" si="192"/>
        <v>690</v>
      </c>
      <c r="H98" s="265"/>
      <c r="I98" s="265"/>
      <c r="J98" s="107">
        <f t="shared" ref="J98:J105" si="212">F98+200</f>
        <v>890</v>
      </c>
      <c r="K98" s="270">
        <f t="shared" ref="K98:K102" si="213">+J98*$X$1</f>
        <v>890</v>
      </c>
      <c r="L98" s="605"/>
      <c r="M98" s="605"/>
      <c r="N98" s="605">
        <f>F98+23</f>
        <v>713</v>
      </c>
      <c r="O98" s="605"/>
      <c r="P98" s="265"/>
      <c r="Q98" s="265"/>
      <c r="R98" s="605">
        <f>F98+15</f>
        <v>705</v>
      </c>
      <c r="S98" s="605"/>
      <c r="T98" s="605">
        <f>F98+12</f>
        <v>702</v>
      </c>
      <c r="U98" s="605"/>
      <c r="V98" s="605">
        <f>F98+10</f>
        <v>700</v>
      </c>
      <c r="W98" s="605"/>
      <c r="X98" s="152"/>
      <c r="Y98" s="126"/>
      <c r="Z98" s="126"/>
      <c r="AA98" s="129"/>
      <c r="AB98" s="384" t="s">
        <v>149</v>
      </c>
    </row>
    <row r="99" spans="1:29" ht="12.6" customHeight="1" x14ac:dyDescent="0.2">
      <c r="A99" s="18"/>
      <c r="B99" s="708" t="s">
        <v>463</v>
      </c>
      <c r="C99" s="831"/>
      <c r="D99" s="831"/>
      <c r="E99" s="832"/>
      <c r="F99" s="352">
        <f>12.04*X2</f>
        <v>15049.999999999998</v>
      </c>
      <c r="G99" s="271">
        <f t="shared" si="192"/>
        <v>15049.999999999998</v>
      </c>
      <c r="H99" s="619">
        <f>F99+600</f>
        <v>15649.999999999998</v>
      </c>
      <c r="I99" s="271">
        <f t="shared" ref="I99:I104" si="214">+H99*$X$1</f>
        <v>15649.999999999998</v>
      </c>
      <c r="J99" s="85">
        <f t="shared" si="212"/>
        <v>15249.999999999998</v>
      </c>
      <c r="K99" s="271">
        <f t="shared" si="213"/>
        <v>15249.999999999998</v>
      </c>
      <c r="L99" s="619">
        <f t="shared" ref="L99:L102" si="215">F99+150</f>
        <v>15199.999999999998</v>
      </c>
      <c r="M99" s="271">
        <f t="shared" ref="M99:M102" si="216">+L99*$X$1</f>
        <v>15199.999999999998</v>
      </c>
      <c r="N99" s="619">
        <f t="shared" ref="N99:N102" si="217">F99+110</f>
        <v>15159.999999999998</v>
      </c>
      <c r="O99" s="271">
        <f t="shared" ref="O99:O102" si="218">+N99*$X$1</f>
        <v>15159.999999999998</v>
      </c>
      <c r="P99" s="619">
        <f t="shared" ref="P99:P102" si="219">F99+100</f>
        <v>15149.999999999998</v>
      </c>
      <c r="Q99" s="271">
        <f t="shared" ref="Q99:Q102" si="220">+P99*$X$1</f>
        <v>15149.999999999998</v>
      </c>
      <c r="R99" s="619">
        <f t="shared" ref="R99:R102" si="221">F99+80</f>
        <v>15129.999999999998</v>
      </c>
      <c r="S99" s="271">
        <f t="shared" ref="S99:S102" si="222">+R99*$X$1</f>
        <v>15129.999999999998</v>
      </c>
      <c r="T99" s="619">
        <f t="shared" ref="T99:T102" si="223">F99+65</f>
        <v>15114.999999999998</v>
      </c>
      <c r="U99" s="271">
        <f t="shared" ref="U99:U102" si="224">+T99*$X$1</f>
        <v>15114.999999999998</v>
      </c>
      <c r="V99" s="619">
        <f t="shared" ref="V99:V102" si="225">F99+56</f>
        <v>15105.999999999998</v>
      </c>
      <c r="W99" s="271">
        <f t="shared" ref="W99:W102" si="226">+V99*$X$1</f>
        <v>15105.999999999998</v>
      </c>
      <c r="X99" s="153"/>
      <c r="Y99" s="126"/>
      <c r="Z99" s="126"/>
      <c r="AA99" s="129"/>
      <c r="AB99" s="384">
        <v>268</v>
      </c>
    </row>
    <row r="100" spans="1:29" ht="12.6" customHeight="1" x14ac:dyDescent="0.2">
      <c r="A100" s="18"/>
      <c r="B100" s="691" t="s">
        <v>625</v>
      </c>
      <c r="C100" s="692"/>
      <c r="D100" s="692"/>
      <c r="E100" s="692"/>
      <c r="F100" s="351">
        <f>4.49*X2</f>
        <v>5612.5</v>
      </c>
      <c r="G100" s="270">
        <f t="shared" si="192"/>
        <v>5612.5</v>
      </c>
      <c r="H100" s="605">
        <f t="shared" ref="H100:H102" si="227">F100+600</f>
        <v>6212.5</v>
      </c>
      <c r="I100" s="270">
        <f t="shared" si="214"/>
        <v>6212.5</v>
      </c>
      <c r="J100" s="70">
        <f t="shared" si="212"/>
        <v>5812.5</v>
      </c>
      <c r="K100" s="270">
        <f t="shared" si="213"/>
        <v>5812.5</v>
      </c>
      <c r="L100" s="605">
        <f t="shared" si="215"/>
        <v>5762.5</v>
      </c>
      <c r="M100" s="270">
        <f t="shared" si="216"/>
        <v>5762.5</v>
      </c>
      <c r="N100" s="605">
        <f t="shared" si="217"/>
        <v>5722.5</v>
      </c>
      <c r="O100" s="270">
        <f t="shared" si="218"/>
        <v>5722.5</v>
      </c>
      <c r="P100" s="605">
        <f t="shared" si="219"/>
        <v>5712.5</v>
      </c>
      <c r="Q100" s="270">
        <f t="shared" si="220"/>
        <v>5712.5</v>
      </c>
      <c r="R100" s="605">
        <f t="shared" si="221"/>
        <v>5692.5</v>
      </c>
      <c r="S100" s="270">
        <f t="shared" si="222"/>
        <v>5692.5</v>
      </c>
      <c r="T100" s="605">
        <f t="shared" si="223"/>
        <v>5677.5</v>
      </c>
      <c r="U100" s="270">
        <f t="shared" si="224"/>
        <v>5677.5</v>
      </c>
      <c r="V100" s="605">
        <f t="shared" si="225"/>
        <v>5668.5</v>
      </c>
      <c r="W100" s="270">
        <f t="shared" si="226"/>
        <v>5668.5</v>
      </c>
      <c r="X100" s="153"/>
      <c r="Y100" s="130"/>
      <c r="Z100" s="126"/>
      <c r="AA100" s="129"/>
      <c r="AB100" s="384">
        <v>270</v>
      </c>
      <c r="AC100" s="30"/>
    </row>
    <row r="101" spans="1:29" ht="12.6" customHeight="1" x14ac:dyDescent="0.2">
      <c r="A101" s="18"/>
      <c r="B101" s="629" t="s">
        <v>150</v>
      </c>
      <c r="C101" s="638"/>
      <c r="D101" s="638"/>
      <c r="E101" s="638"/>
      <c r="F101" s="352">
        <f>13.1*X2</f>
        <v>16375</v>
      </c>
      <c r="G101" s="271">
        <f t="shared" ref="G101:G102" si="228">+F101*$X$1</f>
        <v>16375</v>
      </c>
      <c r="H101" s="619">
        <f t="shared" si="227"/>
        <v>16975</v>
      </c>
      <c r="I101" s="271">
        <f t="shared" si="214"/>
        <v>16975</v>
      </c>
      <c r="J101" s="85">
        <f t="shared" si="212"/>
        <v>16575</v>
      </c>
      <c r="K101" s="271">
        <f t="shared" si="213"/>
        <v>16575</v>
      </c>
      <c r="L101" s="619">
        <f t="shared" si="215"/>
        <v>16525</v>
      </c>
      <c r="M101" s="271">
        <f t="shared" si="216"/>
        <v>16525</v>
      </c>
      <c r="N101" s="619">
        <f t="shared" si="217"/>
        <v>16485</v>
      </c>
      <c r="O101" s="271">
        <f t="shared" si="218"/>
        <v>16485</v>
      </c>
      <c r="P101" s="619">
        <f t="shared" si="219"/>
        <v>16475</v>
      </c>
      <c r="Q101" s="271">
        <f t="shared" si="220"/>
        <v>16475</v>
      </c>
      <c r="R101" s="619">
        <f t="shared" si="221"/>
        <v>16455</v>
      </c>
      <c r="S101" s="271">
        <f t="shared" si="222"/>
        <v>16455</v>
      </c>
      <c r="T101" s="619">
        <f t="shared" si="223"/>
        <v>16440</v>
      </c>
      <c r="U101" s="271">
        <f t="shared" si="224"/>
        <v>16440</v>
      </c>
      <c r="V101" s="619">
        <f t="shared" si="225"/>
        <v>16431</v>
      </c>
      <c r="W101" s="271">
        <f t="shared" si="226"/>
        <v>16431</v>
      </c>
      <c r="X101" s="152"/>
      <c r="Y101" s="126"/>
      <c r="Z101" s="126"/>
      <c r="AA101" s="129"/>
      <c r="AB101" s="384">
        <v>273</v>
      </c>
      <c r="AC101" s="30"/>
    </row>
    <row r="102" spans="1:29" ht="12.6" customHeight="1" x14ac:dyDescent="0.2">
      <c r="A102" s="18"/>
      <c r="B102" s="691" t="s">
        <v>151</v>
      </c>
      <c r="C102" s="692"/>
      <c r="D102" s="692"/>
      <c r="E102" s="692"/>
      <c r="F102" s="351">
        <f>8.7*X2</f>
        <v>10875</v>
      </c>
      <c r="G102" s="270">
        <f t="shared" si="228"/>
        <v>10875</v>
      </c>
      <c r="H102" s="605">
        <f t="shared" si="227"/>
        <v>11475</v>
      </c>
      <c r="I102" s="270">
        <f t="shared" si="214"/>
        <v>11475</v>
      </c>
      <c r="J102" s="70">
        <f t="shared" si="212"/>
        <v>11075</v>
      </c>
      <c r="K102" s="270">
        <f t="shared" si="213"/>
        <v>11075</v>
      </c>
      <c r="L102" s="605">
        <f t="shared" si="215"/>
        <v>11025</v>
      </c>
      <c r="M102" s="270">
        <f t="shared" si="216"/>
        <v>11025</v>
      </c>
      <c r="N102" s="605">
        <f t="shared" si="217"/>
        <v>10985</v>
      </c>
      <c r="O102" s="270">
        <f t="shared" si="218"/>
        <v>10985</v>
      </c>
      <c r="P102" s="605">
        <f t="shared" si="219"/>
        <v>10975</v>
      </c>
      <c r="Q102" s="270">
        <f t="shared" si="220"/>
        <v>10975</v>
      </c>
      <c r="R102" s="605">
        <f t="shared" si="221"/>
        <v>10955</v>
      </c>
      <c r="S102" s="270">
        <f t="shared" si="222"/>
        <v>10955</v>
      </c>
      <c r="T102" s="605">
        <f t="shared" si="223"/>
        <v>10940</v>
      </c>
      <c r="U102" s="270">
        <f t="shared" si="224"/>
        <v>10940</v>
      </c>
      <c r="V102" s="605">
        <f t="shared" si="225"/>
        <v>10931</v>
      </c>
      <c r="W102" s="270">
        <f t="shared" si="226"/>
        <v>10931</v>
      </c>
      <c r="X102" s="153"/>
      <c r="Y102" s="130"/>
      <c r="Z102" s="126"/>
      <c r="AA102" s="129"/>
      <c r="AB102" s="384">
        <v>278</v>
      </c>
      <c r="AC102" s="30"/>
    </row>
    <row r="103" spans="1:29" ht="12.6" customHeight="1" x14ac:dyDescent="0.2">
      <c r="A103" s="18"/>
      <c r="B103" s="631" t="s">
        <v>915</v>
      </c>
      <c r="C103" s="632"/>
      <c r="D103" s="632"/>
      <c r="E103" s="632"/>
      <c r="F103" s="352">
        <f>1.55*X2</f>
        <v>1937.5</v>
      </c>
      <c r="G103" s="271">
        <f>+F103*$X$1</f>
        <v>1937.5</v>
      </c>
      <c r="H103" s="85"/>
      <c r="I103" s="271"/>
      <c r="J103" s="85">
        <f t="shared" si="212"/>
        <v>2137.5</v>
      </c>
      <c r="K103" s="271">
        <f t="shared" ref="K103:K105" si="229">+J103*$X$1</f>
        <v>2137.5</v>
      </c>
      <c r="L103" s="619">
        <f t="shared" ref="L103:L105" si="230">F103+150</f>
        <v>2087.5</v>
      </c>
      <c r="M103" s="271">
        <f t="shared" ref="M103:M105" si="231">+L103*$X$1</f>
        <v>2087.5</v>
      </c>
      <c r="N103" s="619">
        <f t="shared" ref="N103:N105" si="232">F103+110</f>
        <v>2047.5</v>
      </c>
      <c r="O103" s="271">
        <f t="shared" ref="O103:O105" si="233">+N103*$X$1</f>
        <v>2047.5</v>
      </c>
      <c r="P103" s="619">
        <f t="shared" ref="P103:P105" si="234">F103+100</f>
        <v>2037.5</v>
      </c>
      <c r="Q103" s="271">
        <f t="shared" ref="Q103:Q105" si="235">+P103*$X$1</f>
        <v>2037.5</v>
      </c>
      <c r="R103" s="619">
        <f t="shared" ref="R103:R105" si="236">F103+80</f>
        <v>2017.5</v>
      </c>
      <c r="S103" s="271">
        <f t="shared" ref="S103:S105" si="237">+R103*$X$1</f>
        <v>2017.5</v>
      </c>
      <c r="T103" s="619">
        <f t="shared" ref="T103:T105" si="238">F103+65</f>
        <v>2002.5</v>
      </c>
      <c r="U103" s="271">
        <f t="shared" ref="U103:U105" si="239">+T103*$X$1</f>
        <v>2002.5</v>
      </c>
      <c r="V103" s="619">
        <f t="shared" ref="V103:V105" si="240">F103+56</f>
        <v>1993.5</v>
      </c>
      <c r="W103" s="271">
        <f t="shared" ref="W103:W105" si="241">+V103*$X$1</f>
        <v>1993.5</v>
      </c>
      <c r="X103" s="150"/>
      <c r="Y103" s="130"/>
      <c r="Z103" s="126"/>
      <c r="AA103" s="129"/>
      <c r="AB103" s="384">
        <v>285</v>
      </c>
      <c r="AC103" s="30"/>
    </row>
    <row r="104" spans="1:29" ht="12.6" customHeight="1" x14ac:dyDescent="0.2">
      <c r="A104" s="18"/>
      <c r="B104" s="848" t="s">
        <v>152</v>
      </c>
      <c r="C104" s="849"/>
      <c r="D104" s="849"/>
      <c r="E104" s="849"/>
      <c r="F104" s="351">
        <f>2.03*X2</f>
        <v>2537.4999999999995</v>
      </c>
      <c r="G104" s="270">
        <f>+F104*$X$1</f>
        <v>2537.4999999999995</v>
      </c>
      <c r="H104" s="605">
        <f>F104+600</f>
        <v>3137.4999999999995</v>
      </c>
      <c r="I104" s="270">
        <f t="shared" si="214"/>
        <v>3137.4999999999995</v>
      </c>
      <c r="J104" s="70">
        <f t="shared" si="212"/>
        <v>2737.4999999999995</v>
      </c>
      <c r="K104" s="270">
        <f t="shared" si="229"/>
        <v>2737.4999999999995</v>
      </c>
      <c r="L104" s="605">
        <f t="shared" si="230"/>
        <v>2687.4999999999995</v>
      </c>
      <c r="M104" s="270">
        <f t="shared" si="231"/>
        <v>2687.4999999999995</v>
      </c>
      <c r="N104" s="605">
        <f t="shared" si="232"/>
        <v>2647.4999999999995</v>
      </c>
      <c r="O104" s="270">
        <f t="shared" si="233"/>
        <v>2647.4999999999995</v>
      </c>
      <c r="P104" s="605">
        <f t="shared" si="234"/>
        <v>2637.4999999999995</v>
      </c>
      <c r="Q104" s="270">
        <f t="shared" si="235"/>
        <v>2637.4999999999995</v>
      </c>
      <c r="R104" s="605">
        <f t="shared" si="236"/>
        <v>2617.4999999999995</v>
      </c>
      <c r="S104" s="270">
        <f t="shared" si="237"/>
        <v>2617.4999999999995</v>
      </c>
      <c r="T104" s="605">
        <f t="shared" si="238"/>
        <v>2602.4999999999995</v>
      </c>
      <c r="U104" s="270">
        <f t="shared" si="239"/>
        <v>2602.4999999999995</v>
      </c>
      <c r="V104" s="605">
        <f t="shared" si="240"/>
        <v>2593.4999999999995</v>
      </c>
      <c r="W104" s="270">
        <f t="shared" si="241"/>
        <v>2593.4999999999995</v>
      </c>
      <c r="X104" s="150"/>
      <c r="Y104" s="130"/>
      <c r="Z104" s="126"/>
      <c r="AA104" s="129"/>
      <c r="AB104" s="384">
        <v>288</v>
      </c>
      <c r="AC104" s="30"/>
    </row>
    <row r="105" spans="1:29" ht="12.6" customHeight="1" x14ac:dyDescent="0.2">
      <c r="A105" s="18"/>
      <c r="B105" s="629" t="s">
        <v>153</v>
      </c>
      <c r="C105" s="638"/>
      <c r="D105" s="638"/>
      <c r="E105" s="638"/>
      <c r="F105" s="271">
        <v>460</v>
      </c>
      <c r="G105" s="271">
        <f>+F105*$X$1</f>
        <v>460</v>
      </c>
      <c r="H105" s="85"/>
      <c r="I105" s="271"/>
      <c r="J105" s="85">
        <f t="shared" si="212"/>
        <v>660</v>
      </c>
      <c r="K105" s="271">
        <f t="shared" si="229"/>
        <v>660</v>
      </c>
      <c r="L105" s="619">
        <f t="shared" si="230"/>
        <v>610</v>
      </c>
      <c r="M105" s="271">
        <f t="shared" si="231"/>
        <v>610</v>
      </c>
      <c r="N105" s="619">
        <f t="shared" si="232"/>
        <v>570</v>
      </c>
      <c r="O105" s="271">
        <f t="shared" si="233"/>
        <v>570</v>
      </c>
      <c r="P105" s="619">
        <f t="shared" si="234"/>
        <v>560</v>
      </c>
      <c r="Q105" s="271">
        <f t="shared" si="235"/>
        <v>560</v>
      </c>
      <c r="R105" s="619">
        <f t="shared" si="236"/>
        <v>540</v>
      </c>
      <c r="S105" s="271">
        <f t="shared" si="237"/>
        <v>540</v>
      </c>
      <c r="T105" s="619">
        <f t="shared" si="238"/>
        <v>525</v>
      </c>
      <c r="U105" s="271">
        <f t="shared" si="239"/>
        <v>525</v>
      </c>
      <c r="V105" s="619">
        <f t="shared" si="240"/>
        <v>516</v>
      </c>
      <c r="W105" s="271">
        <f t="shared" si="241"/>
        <v>516</v>
      </c>
      <c r="X105" s="150"/>
      <c r="Y105" s="130"/>
      <c r="Z105" s="126"/>
      <c r="AA105" s="129"/>
      <c r="AB105" s="384">
        <v>289</v>
      </c>
      <c r="AC105" s="30"/>
    </row>
    <row r="106" spans="1:29" ht="12.6" customHeight="1" x14ac:dyDescent="0.2">
      <c r="A106" s="18"/>
      <c r="B106" s="691" t="s">
        <v>154</v>
      </c>
      <c r="C106" s="692"/>
      <c r="D106" s="692"/>
      <c r="E106" s="692"/>
      <c r="F106" s="271"/>
      <c r="G106" s="779" t="s">
        <v>935</v>
      </c>
      <c r="H106" s="780"/>
      <c r="I106" s="780"/>
      <c r="J106" s="780"/>
      <c r="K106" s="780"/>
      <c r="L106" s="780"/>
      <c r="M106" s="780"/>
      <c r="N106" s="620">
        <v>750</v>
      </c>
      <c r="O106" s="270">
        <f t="shared" ref="O106:Q109" si="242">+N106*$X$1</f>
        <v>750</v>
      </c>
      <c r="P106" s="299">
        <v>724</v>
      </c>
      <c r="Q106" s="270">
        <f t="shared" si="242"/>
        <v>724</v>
      </c>
      <c r="R106" s="70">
        <v>664</v>
      </c>
      <c r="S106" s="270">
        <f t="shared" ref="S106:S109" si="243">+R106*$X$1</f>
        <v>664</v>
      </c>
      <c r="T106" s="605">
        <v>625</v>
      </c>
      <c r="U106" s="270">
        <f t="shared" ref="U106:U109" si="244">+T106*$X$1</f>
        <v>625</v>
      </c>
      <c r="V106" s="605">
        <v>534</v>
      </c>
      <c r="W106" s="270">
        <f t="shared" ref="W106:W109" si="245">+V106*$X$1</f>
        <v>534</v>
      </c>
      <c r="X106" s="803"/>
      <c r="Y106" s="804"/>
      <c r="Z106" s="804"/>
      <c r="AA106" s="805"/>
      <c r="AB106" s="384">
        <v>290</v>
      </c>
    </row>
    <row r="107" spans="1:29" ht="12.6" customHeight="1" x14ac:dyDescent="0.2">
      <c r="A107" s="18"/>
      <c r="B107" s="629" t="s">
        <v>381</v>
      </c>
      <c r="C107" s="638"/>
      <c r="D107" s="638"/>
      <c r="E107" s="638"/>
      <c r="F107" s="271"/>
      <c r="G107" s="779" t="s">
        <v>556</v>
      </c>
      <c r="H107" s="780"/>
      <c r="I107" s="780"/>
      <c r="J107" s="780"/>
      <c r="K107" s="780"/>
      <c r="L107" s="780"/>
      <c r="M107" s="781"/>
      <c r="N107" s="621">
        <v>910</v>
      </c>
      <c r="O107" s="271">
        <f t="shared" si="242"/>
        <v>910</v>
      </c>
      <c r="P107" s="266">
        <v>875</v>
      </c>
      <c r="Q107" s="271">
        <f t="shared" si="242"/>
        <v>875</v>
      </c>
      <c r="R107" s="85">
        <v>805</v>
      </c>
      <c r="S107" s="271">
        <f t="shared" si="243"/>
        <v>805</v>
      </c>
      <c r="T107" s="622">
        <v>757</v>
      </c>
      <c r="U107" s="271">
        <f t="shared" si="244"/>
        <v>757</v>
      </c>
      <c r="V107" s="622">
        <v>647</v>
      </c>
      <c r="W107" s="271">
        <f t="shared" si="245"/>
        <v>647</v>
      </c>
      <c r="X107" s="803"/>
      <c r="Y107" s="804"/>
      <c r="Z107" s="804"/>
      <c r="AA107" s="805"/>
      <c r="AB107" s="384" t="s">
        <v>155</v>
      </c>
    </row>
    <row r="108" spans="1:29" ht="12.6" customHeight="1" x14ac:dyDescent="0.2">
      <c r="A108" s="18"/>
      <c r="B108" s="691" t="s">
        <v>382</v>
      </c>
      <c r="C108" s="692"/>
      <c r="D108" s="692"/>
      <c r="E108" s="692"/>
      <c r="F108" s="271"/>
      <c r="G108" s="779" t="s">
        <v>555</v>
      </c>
      <c r="H108" s="780"/>
      <c r="I108" s="780"/>
      <c r="J108" s="780"/>
      <c r="K108" s="780"/>
      <c r="L108" s="780"/>
      <c r="M108" s="781"/>
      <c r="N108" s="299">
        <v>930</v>
      </c>
      <c r="O108" s="270">
        <f t="shared" ref="O108:O109" si="246">+N108*$X$1</f>
        <v>930</v>
      </c>
      <c r="P108" s="299">
        <v>903</v>
      </c>
      <c r="Q108" s="270">
        <f t="shared" si="242"/>
        <v>903</v>
      </c>
      <c r="R108" s="620">
        <v>831</v>
      </c>
      <c r="S108" s="270">
        <f t="shared" si="243"/>
        <v>831</v>
      </c>
      <c r="T108" s="605">
        <v>782</v>
      </c>
      <c r="U108" s="270">
        <f t="shared" si="244"/>
        <v>782</v>
      </c>
      <c r="V108" s="605">
        <v>667</v>
      </c>
      <c r="W108" s="270">
        <f t="shared" si="245"/>
        <v>667</v>
      </c>
      <c r="X108" s="803"/>
      <c r="Y108" s="804"/>
      <c r="Z108" s="804"/>
      <c r="AA108" s="805"/>
      <c r="AB108" s="384">
        <v>291</v>
      </c>
    </row>
    <row r="109" spans="1:29" ht="12.6" customHeight="1" x14ac:dyDescent="0.2">
      <c r="A109" s="18"/>
      <c r="B109" s="629" t="s">
        <v>383</v>
      </c>
      <c r="C109" s="638"/>
      <c r="D109" s="638"/>
      <c r="E109" s="638"/>
      <c r="F109" s="271"/>
      <c r="G109" s="779" t="s">
        <v>556</v>
      </c>
      <c r="H109" s="780"/>
      <c r="I109" s="780"/>
      <c r="J109" s="780"/>
      <c r="K109" s="780"/>
      <c r="L109" s="780"/>
      <c r="M109" s="781"/>
      <c r="N109" s="266">
        <v>1160</v>
      </c>
      <c r="O109" s="271">
        <f t="shared" si="246"/>
        <v>1160</v>
      </c>
      <c r="P109" s="266">
        <v>1130</v>
      </c>
      <c r="Q109" s="271">
        <f t="shared" si="242"/>
        <v>1130</v>
      </c>
      <c r="R109" s="85">
        <v>1042</v>
      </c>
      <c r="S109" s="271">
        <f t="shared" si="243"/>
        <v>1042</v>
      </c>
      <c r="T109" s="622">
        <v>981</v>
      </c>
      <c r="U109" s="271">
        <f t="shared" si="244"/>
        <v>981</v>
      </c>
      <c r="V109" s="622">
        <v>837</v>
      </c>
      <c r="W109" s="271">
        <f t="shared" si="245"/>
        <v>837</v>
      </c>
      <c r="X109" s="803"/>
      <c r="Y109" s="804"/>
      <c r="Z109" s="804"/>
      <c r="AA109" s="805"/>
      <c r="AB109" s="384" t="s">
        <v>156</v>
      </c>
    </row>
    <row r="110" spans="1:29" ht="12.6" customHeight="1" x14ac:dyDescent="0.2">
      <c r="A110" s="18"/>
      <c r="B110" s="631" t="s">
        <v>936</v>
      </c>
      <c r="C110" s="632"/>
      <c r="D110" s="632"/>
      <c r="E110" s="632"/>
      <c r="F110" s="271"/>
      <c r="G110" s="779" t="s">
        <v>555</v>
      </c>
      <c r="H110" s="780"/>
      <c r="I110" s="780"/>
      <c r="J110" s="780"/>
      <c r="K110" s="780"/>
      <c r="L110" s="780"/>
      <c r="M110" s="781"/>
      <c r="N110" s="299">
        <v>590</v>
      </c>
      <c r="O110" s="270">
        <f t="shared" ref="O110" si="247">+N110*$X$1</f>
        <v>590</v>
      </c>
      <c r="P110" s="299">
        <v>550</v>
      </c>
      <c r="Q110" s="270">
        <f t="shared" ref="Q110" si="248">+P110*$X$1</f>
        <v>550</v>
      </c>
      <c r="R110" s="620">
        <v>498</v>
      </c>
      <c r="S110" s="270">
        <f t="shared" ref="S110" si="249">+R110*$X$1</f>
        <v>498</v>
      </c>
      <c r="T110" s="605">
        <v>468</v>
      </c>
      <c r="U110" s="270">
        <f t="shared" ref="U110" si="250">+T110*$X$1</f>
        <v>468</v>
      </c>
      <c r="V110" s="605">
        <v>399</v>
      </c>
      <c r="W110" s="270">
        <f t="shared" ref="W110" si="251">+V110*$X$1</f>
        <v>399</v>
      </c>
      <c r="X110" s="803"/>
      <c r="Y110" s="804"/>
      <c r="Z110" s="804"/>
      <c r="AA110" s="805"/>
      <c r="AB110" s="384">
        <v>292</v>
      </c>
    </row>
    <row r="111" spans="1:29" ht="12.6" customHeight="1" x14ac:dyDescent="0.2">
      <c r="A111" s="18"/>
      <c r="B111" s="631" t="s">
        <v>986</v>
      </c>
      <c r="C111" s="632"/>
      <c r="D111" s="632"/>
      <c r="E111" s="632"/>
      <c r="F111" s="271"/>
      <c r="G111" s="779" t="s">
        <v>556</v>
      </c>
      <c r="H111" s="780"/>
      <c r="I111" s="780"/>
      <c r="J111" s="780"/>
      <c r="K111" s="780"/>
      <c r="L111" s="780"/>
      <c r="M111" s="781"/>
      <c r="N111" s="266">
        <v>670</v>
      </c>
      <c r="O111" s="271">
        <f t="shared" ref="O111:O112" si="252">+N111*$X$1</f>
        <v>670</v>
      </c>
      <c r="P111" s="266">
        <v>620</v>
      </c>
      <c r="Q111" s="271">
        <f t="shared" ref="Q111:Q112" si="253">+P111*$X$1</f>
        <v>620</v>
      </c>
      <c r="R111" s="621">
        <v>570</v>
      </c>
      <c r="S111" s="271">
        <f t="shared" ref="S111:S112" si="254">+R111*$X$1</f>
        <v>570</v>
      </c>
      <c r="T111" s="622">
        <v>535</v>
      </c>
      <c r="U111" s="271">
        <f t="shared" ref="U111:U112" si="255">+T111*$X$1</f>
        <v>535</v>
      </c>
      <c r="V111" s="622">
        <v>455</v>
      </c>
      <c r="W111" s="271">
        <f t="shared" ref="W111:W112" si="256">+V111*$X$1</f>
        <v>455</v>
      </c>
      <c r="X111" s="803"/>
      <c r="Y111" s="804"/>
      <c r="Z111" s="804"/>
      <c r="AA111" s="805"/>
      <c r="AB111" s="384" t="s">
        <v>984</v>
      </c>
    </row>
    <row r="112" spans="1:29" ht="12.6" customHeight="1" x14ac:dyDescent="0.2">
      <c r="A112" s="18"/>
      <c r="B112" s="631" t="s">
        <v>937</v>
      </c>
      <c r="C112" s="632"/>
      <c r="D112" s="632"/>
      <c r="E112" s="632"/>
      <c r="F112" s="271"/>
      <c r="G112" s="779" t="s">
        <v>555</v>
      </c>
      <c r="H112" s="780"/>
      <c r="I112" s="780"/>
      <c r="J112" s="780"/>
      <c r="K112" s="780"/>
      <c r="L112" s="780"/>
      <c r="M112" s="781"/>
      <c r="N112" s="299">
        <v>1150</v>
      </c>
      <c r="O112" s="270">
        <f t="shared" si="252"/>
        <v>1150</v>
      </c>
      <c r="P112" s="299">
        <v>1110</v>
      </c>
      <c r="Q112" s="270">
        <f t="shared" si="253"/>
        <v>1110</v>
      </c>
      <c r="R112" s="620">
        <v>1010</v>
      </c>
      <c r="S112" s="270">
        <f t="shared" si="254"/>
        <v>1010</v>
      </c>
      <c r="T112" s="605">
        <v>950</v>
      </c>
      <c r="U112" s="270">
        <f t="shared" si="255"/>
        <v>950</v>
      </c>
      <c r="V112" s="605">
        <v>810</v>
      </c>
      <c r="W112" s="270">
        <f t="shared" si="256"/>
        <v>810</v>
      </c>
      <c r="X112" s="803"/>
      <c r="Y112" s="804"/>
      <c r="Z112" s="804"/>
      <c r="AA112" s="805"/>
      <c r="AB112" s="384">
        <v>293</v>
      </c>
    </row>
    <row r="113" spans="1:28" ht="12.6" customHeight="1" x14ac:dyDescent="0.2">
      <c r="A113" s="18"/>
      <c r="B113" s="631" t="s">
        <v>987</v>
      </c>
      <c r="C113" s="632"/>
      <c r="D113" s="632"/>
      <c r="E113" s="632"/>
      <c r="F113" s="271"/>
      <c r="G113" s="779" t="s">
        <v>556</v>
      </c>
      <c r="H113" s="780"/>
      <c r="I113" s="813"/>
      <c r="J113" s="813"/>
      <c r="K113" s="813"/>
      <c r="L113" s="813"/>
      <c r="M113" s="814"/>
      <c r="N113" s="266">
        <v>1260</v>
      </c>
      <c r="O113" s="271">
        <f t="shared" ref="O113" si="257">+N113*$X$1</f>
        <v>1260</v>
      </c>
      <c r="P113" s="266">
        <v>1200</v>
      </c>
      <c r="Q113" s="271">
        <f t="shared" ref="Q113" si="258">+P113*$X$1</f>
        <v>1200</v>
      </c>
      <c r="R113" s="621">
        <v>1080</v>
      </c>
      <c r="S113" s="271">
        <f t="shared" ref="S113" si="259">+R113*$X$1</f>
        <v>1080</v>
      </c>
      <c r="T113" s="622">
        <v>1015</v>
      </c>
      <c r="U113" s="271">
        <f t="shared" ref="U113" si="260">+T113*$X$1</f>
        <v>1015</v>
      </c>
      <c r="V113" s="622">
        <v>866</v>
      </c>
      <c r="W113" s="271">
        <f t="shared" ref="W113" si="261">+V113*$X$1</f>
        <v>866</v>
      </c>
      <c r="X113" s="803"/>
      <c r="Y113" s="804"/>
      <c r="Z113" s="804"/>
      <c r="AA113" s="805"/>
      <c r="AB113" s="384" t="s">
        <v>985</v>
      </c>
    </row>
    <row r="114" spans="1:28" ht="12.6" customHeight="1" x14ac:dyDescent="0.2">
      <c r="A114" s="18"/>
      <c r="B114" s="631" t="s">
        <v>988</v>
      </c>
      <c r="C114" s="632"/>
      <c r="D114" s="632"/>
      <c r="E114" s="632"/>
      <c r="F114" s="271"/>
      <c r="G114" s="779" t="s">
        <v>555</v>
      </c>
      <c r="H114" s="780"/>
      <c r="I114" s="780"/>
      <c r="J114" s="780"/>
      <c r="K114" s="780"/>
      <c r="L114" s="780"/>
      <c r="M114" s="781"/>
      <c r="N114" s="299"/>
      <c r="O114" s="270"/>
      <c r="P114" s="299"/>
      <c r="Q114" s="270"/>
      <c r="R114" s="620"/>
      <c r="S114" s="270"/>
      <c r="T114" s="605"/>
      <c r="U114" s="270"/>
      <c r="V114" s="605"/>
      <c r="W114" s="270"/>
      <c r="X114" s="803"/>
      <c r="Y114" s="804"/>
      <c r="Z114" s="804"/>
      <c r="AA114" s="805"/>
      <c r="AB114" s="384">
        <v>294</v>
      </c>
    </row>
    <row r="115" spans="1:28" ht="12.6" customHeight="1" x14ac:dyDescent="0.2">
      <c r="A115" s="18"/>
      <c r="B115" s="631" t="s">
        <v>989</v>
      </c>
      <c r="C115" s="632"/>
      <c r="D115" s="632"/>
      <c r="E115" s="632"/>
      <c r="F115" s="271"/>
      <c r="G115" s="779" t="s">
        <v>556</v>
      </c>
      <c r="H115" s="780"/>
      <c r="I115" s="813"/>
      <c r="J115" s="813"/>
      <c r="K115" s="813"/>
      <c r="L115" s="813"/>
      <c r="M115" s="814"/>
      <c r="N115" s="266"/>
      <c r="O115" s="271"/>
      <c r="P115" s="266"/>
      <c r="Q115" s="271"/>
      <c r="R115" s="621"/>
      <c r="S115" s="271"/>
      <c r="T115" s="622"/>
      <c r="U115" s="271"/>
      <c r="V115" s="622"/>
      <c r="W115" s="271"/>
      <c r="X115" s="803"/>
      <c r="Y115" s="804"/>
      <c r="Z115" s="804"/>
      <c r="AA115" s="805"/>
      <c r="AB115" s="384" t="s">
        <v>990</v>
      </c>
    </row>
    <row r="116" spans="1:28" ht="12.6" customHeight="1" x14ac:dyDescent="0.2">
      <c r="A116" s="18"/>
      <c r="B116" s="631" t="s">
        <v>992</v>
      </c>
      <c r="C116" s="632"/>
      <c r="D116" s="632"/>
      <c r="E116" s="632"/>
      <c r="F116" s="271"/>
      <c r="G116" s="779" t="s">
        <v>555</v>
      </c>
      <c r="H116" s="780"/>
      <c r="I116" s="780"/>
      <c r="J116" s="780"/>
      <c r="K116" s="780"/>
      <c r="L116" s="780"/>
      <c r="M116" s="781"/>
      <c r="N116" s="299"/>
      <c r="O116" s="270"/>
      <c r="P116" s="299"/>
      <c r="Q116" s="270"/>
      <c r="R116" s="620"/>
      <c r="S116" s="270"/>
      <c r="T116" s="605"/>
      <c r="U116" s="270"/>
      <c r="V116" s="605"/>
      <c r="W116" s="270"/>
      <c r="X116" s="803"/>
      <c r="Y116" s="804"/>
      <c r="Z116" s="804"/>
      <c r="AA116" s="805"/>
      <c r="AB116" s="384">
        <v>295</v>
      </c>
    </row>
    <row r="117" spans="1:28" ht="12.6" customHeight="1" x14ac:dyDescent="0.2">
      <c r="A117" s="18"/>
      <c r="B117" s="631" t="s">
        <v>991</v>
      </c>
      <c r="C117" s="632"/>
      <c r="D117" s="632"/>
      <c r="E117" s="632"/>
      <c r="F117" s="271"/>
      <c r="G117" s="779" t="s">
        <v>556</v>
      </c>
      <c r="H117" s="780"/>
      <c r="I117" s="813"/>
      <c r="J117" s="813"/>
      <c r="K117" s="813"/>
      <c r="L117" s="813"/>
      <c r="M117" s="814"/>
      <c r="N117" s="266"/>
      <c r="O117" s="271"/>
      <c r="P117" s="266"/>
      <c r="Q117" s="271"/>
      <c r="R117" s="621"/>
      <c r="S117" s="271"/>
      <c r="T117" s="622"/>
      <c r="U117" s="271"/>
      <c r="V117" s="622"/>
      <c r="W117" s="271"/>
      <c r="X117" s="803"/>
      <c r="Y117" s="804"/>
      <c r="Z117" s="804"/>
      <c r="AA117" s="805"/>
      <c r="AB117" s="384"/>
    </row>
    <row r="118" spans="1:28" ht="12.6" customHeight="1" x14ac:dyDescent="0.2">
      <c r="A118" s="18"/>
      <c r="B118" s="631" t="s">
        <v>993</v>
      </c>
      <c r="C118" s="632"/>
      <c r="D118" s="632"/>
      <c r="E118" s="632"/>
      <c r="F118" s="271"/>
      <c r="G118" s="779" t="s">
        <v>555</v>
      </c>
      <c r="H118" s="780"/>
      <c r="I118" s="780"/>
      <c r="J118" s="780"/>
      <c r="K118" s="780"/>
      <c r="L118" s="780"/>
      <c r="M118" s="781"/>
      <c r="N118" s="299"/>
      <c r="O118" s="270"/>
      <c r="P118" s="299"/>
      <c r="Q118" s="270"/>
      <c r="R118" s="620"/>
      <c r="S118" s="270"/>
      <c r="T118" s="605"/>
      <c r="U118" s="270"/>
      <c r="V118" s="605"/>
      <c r="W118" s="270"/>
      <c r="X118" s="803"/>
      <c r="Y118" s="804"/>
      <c r="Z118" s="804"/>
      <c r="AA118" s="805"/>
      <c r="AB118" s="384">
        <v>298</v>
      </c>
    </row>
    <row r="119" spans="1:28" ht="12.6" customHeight="1" x14ac:dyDescent="0.2">
      <c r="A119" s="18"/>
      <c r="B119" s="631" t="s">
        <v>995</v>
      </c>
      <c r="C119" s="632"/>
      <c r="D119" s="632"/>
      <c r="E119" s="632"/>
      <c r="F119" s="271"/>
      <c r="G119" s="779" t="s">
        <v>556</v>
      </c>
      <c r="H119" s="780"/>
      <c r="I119" s="813"/>
      <c r="J119" s="813"/>
      <c r="K119" s="813"/>
      <c r="L119" s="813"/>
      <c r="M119" s="814"/>
      <c r="N119" s="266"/>
      <c r="O119" s="271"/>
      <c r="P119" s="266"/>
      <c r="Q119" s="271"/>
      <c r="R119" s="621"/>
      <c r="S119" s="271"/>
      <c r="T119" s="622"/>
      <c r="U119" s="271"/>
      <c r="V119" s="622"/>
      <c r="W119" s="271"/>
      <c r="X119" s="803"/>
      <c r="Y119" s="804"/>
      <c r="Z119" s="804"/>
      <c r="AA119" s="805"/>
      <c r="AB119" s="384" t="s">
        <v>994</v>
      </c>
    </row>
    <row r="120" spans="1:28" ht="12.6" customHeight="1" x14ac:dyDescent="0.2">
      <c r="A120" s="18"/>
      <c r="B120" s="639" t="s">
        <v>975</v>
      </c>
      <c r="C120" s="640"/>
      <c r="D120" s="640"/>
      <c r="E120" s="640"/>
      <c r="F120" s="287">
        <v>400</v>
      </c>
      <c r="G120" s="270">
        <f>+F120*$X$1</f>
        <v>400</v>
      </c>
      <c r="H120" s="88"/>
      <c r="I120" s="644" t="s">
        <v>974</v>
      </c>
      <c r="J120" s="645"/>
      <c r="K120" s="645"/>
      <c r="L120" s="645"/>
      <c r="M120" s="645"/>
      <c r="N120" s="645"/>
      <c r="O120" s="645"/>
      <c r="P120" s="645"/>
      <c r="Q120" s="645"/>
      <c r="R120" s="645"/>
      <c r="S120" s="645"/>
      <c r="T120" s="645"/>
      <c r="U120" s="645"/>
      <c r="V120" s="645"/>
      <c r="W120" s="646"/>
      <c r="X120" s="641"/>
      <c r="Y120" s="642"/>
      <c r="Z120" s="642"/>
      <c r="AA120" s="643"/>
      <c r="AB120" s="384" t="s">
        <v>981</v>
      </c>
    </row>
    <row r="121" spans="1:28" ht="12.6" customHeight="1" x14ac:dyDescent="0.2">
      <c r="A121" s="18"/>
      <c r="B121" s="663" t="s">
        <v>976</v>
      </c>
      <c r="C121" s="664"/>
      <c r="D121" s="664"/>
      <c r="E121" s="664"/>
      <c r="F121" s="298">
        <v>225</v>
      </c>
      <c r="G121" s="271">
        <f t="shared" ref="G121" si="262">+F121*$X$1</f>
        <v>225</v>
      </c>
      <c r="H121" s="111"/>
      <c r="I121" s="647"/>
      <c r="J121" s="648"/>
      <c r="K121" s="648"/>
      <c r="L121" s="648"/>
      <c r="M121" s="648"/>
      <c r="N121" s="648"/>
      <c r="O121" s="648"/>
      <c r="P121" s="648"/>
      <c r="Q121" s="648"/>
      <c r="R121" s="648"/>
      <c r="S121" s="648"/>
      <c r="T121" s="648"/>
      <c r="U121" s="648"/>
      <c r="V121" s="648"/>
      <c r="W121" s="649"/>
      <c r="X121" s="641"/>
      <c r="Y121" s="642"/>
      <c r="Z121" s="642"/>
      <c r="AA121" s="643"/>
      <c r="AB121" s="384" t="s">
        <v>982</v>
      </c>
    </row>
    <row r="122" spans="1:28" ht="12.6" customHeight="1" x14ac:dyDescent="0.2">
      <c r="A122" s="18"/>
      <c r="B122" s="639" t="s">
        <v>973</v>
      </c>
      <c r="C122" s="640"/>
      <c r="D122" s="640"/>
      <c r="E122" s="640"/>
      <c r="F122" s="287">
        <v>300</v>
      </c>
      <c r="G122" s="270">
        <f>+F122*$X$1</f>
        <v>300</v>
      </c>
      <c r="H122" s="111"/>
      <c r="I122" s="650"/>
      <c r="J122" s="651"/>
      <c r="K122" s="651"/>
      <c r="L122" s="651"/>
      <c r="M122" s="651"/>
      <c r="N122" s="651"/>
      <c r="O122" s="651"/>
      <c r="P122" s="651"/>
      <c r="Q122" s="651"/>
      <c r="R122" s="651"/>
      <c r="S122" s="651"/>
      <c r="T122" s="651"/>
      <c r="U122" s="651"/>
      <c r="V122" s="651"/>
      <c r="W122" s="652"/>
      <c r="X122" s="641"/>
      <c r="Y122" s="642"/>
      <c r="Z122" s="642"/>
      <c r="AA122" s="643"/>
      <c r="AB122" s="384" t="s">
        <v>983</v>
      </c>
    </row>
    <row r="123" spans="1:28" ht="12.6" customHeight="1" x14ac:dyDescent="0.2">
      <c r="A123" s="18"/>
      <c r="B123" s="629" t="s">
        <v>738</v>
      </c>
      <c r="C123" s="638"/>
      <c r="D123" s="638"/>
      <c r="E123" s="638"/>
      <c r="F123" s="329"/>
      <c r="G123" s="779" t="s">
        <v>380</v>
      </c>
      <c r="H123" s="780"/>
      <c r="I123" s="780"/>
      <c r="J123" s="780"/>
      <c r="K123" s="781"/>
      <c r="L123" s="572">
        <v>2140</v>
      </c>
      <c r="M123" s="271">
        <f t="shared" ref="M123:O136" si="263">+L123*$X$1</f>
        <v>2140</v>
      </c>
      <c r="N123" s="117">
        <v>1896</v>
      </c>
      <c r="O123" s="271">
        <f t="shared" si="263"/>
        <v>1896</v>
      </c>
      <c r="P123" s="359">
        <v>1891</v>
      </c>
      <c r="Q123" s="271">
        <f t="shared" ref="Q123:Q135" si="264">+P123*$X$1</f>
        <v>1891</v>
      </c>
      <c r="R123" s="427">
        <v>1741</v>
      </c>
      <c r="S123" s="271">
        <f t="shared" ref="S123:S136" si="265">+R123*$X$1</f>
        <v>1741</v>
      </c>
      <c r="T123" s="427">
        <v>1639</v>
      </c>
      <c r="U123" s="298">
        <f t="shared" ref="U123:U129" si="266">+T123*$X$1</f>
        <v>1639</v>
      </c>
      <c r="V123" s="427">
        <v>857</v>
      </c>
      <c r="W123" s="298">
        <f t="shared" ref="W123:W133" si="267">+V123*$X$1</f>
        <v>857</v>
      </c>
      <c r="X123" s="803"/>
      <c r="Y123" s="804"/>
      <c r="Z123" s="804"/>
      <c r="AA123" s="805"/>
      <c r="AB123" s="384">
        <v>301</v>
      </c>
    </row>
    <row r="124" spans="1:28" ht="12.6" customHeight="1" x14ac:dyDescent="0.2">
      <c r="A124" s="18"/>
      <c r="B124" s="691" t="s">
        <v>739</v>
      </c>
      <c r="C124" s="692"/>
      <c r="D124" s="692"/>
      <c r="E124" s="692"/>
      <c r="F124" s="330"/>
      <c r="G124" s="779" t="s">
        <v>380</v>
      </c>
      <c r="H124" s="780"/>
      <c r="I124" s="780"/>
      <c r="J124" s="780"/>
      <c r="K124" s="781"/>
      <c r="L124" s="284">
        <v>2350</v>
      </c>
      <c r="M124" s="541">
        <f t="shared" si="263"/>
        <v>2350</v>
      </c>
      <c r="N124" s="371">
        <v>2053</v>
      </c>
      <c r="O124" s="541">
        <f t="shared" si="263"/>
        <v>2053</v>
      </c>
      <c r="P124" s="285">
        <v>2045</v>
      </c>
      <c r="Q124" s="270">
        <f t="shared" si="264"/>
        <v>2045</v>
      </c>
      <c r="R124" s="111">
        <v>1882</v>
      </c>
      <c r="S124" s="541">
        <f t="shared" si="265"/>
        <v>1882</v>
      </c>
      <c r="T124" s="569">
        <v>1771</v>
      </c>
      <c r="U124" s="287">
        <f t="shared" si="266"/>
        <v>1771</v>
      </c>
      <c r="V124" s="569">
        <v>1004</v>
      </c>
      <c r="W124" s="287">
        <f t="shared" si="267"/>
        <v>1004</v>
      </c>
      <c r="X124" s="803"/>
      <c r="Y124" s="804"/>
      <c r="Z124" s="804"/>
      <c r="AA124" s="805"/>
      <c r="AB124" s="384" t="s">
        <v>157</v>
      </c>
    </row>
    <row r="125" spans="1:28" ht="12.6" customHeight="1" x14ac:dyDescent="0.2">
      <c r="A125" s="18"/>
      <c r="B125" s="629" t="s">
        <v>740</v>
      </c>
      <c r="C125" s="638"/>
      <c r="D125" s="638"/>
      <c r="E125" s="638"/>
      <c r="F125" s="329"/>
      <c r="G125" s="779" t="s">
        <v>380</v>
      </c>
      <c r="H125" s="780"/>
      <c r="I125" s="780"/>
      <c r="J125" s="780"/>
      <c r="K125" s="781"/>
      <c r="L125" s="572">
        <v>3720</v>
      </c>
      <c r="M125" s="271">
        <f t="shared" ref="M125" si="268">+L125*$X$1</f>
        <v>3720</v>
      </c>
      <c r="N125" s="117">
        <v>3271</v>
      </c>
      <c r="O125" s="271">
        <f t="shared" ref="O125" si="269">+N125*$X$1</f>
        <v>3271</v>
      </c>
      <c r="P125" s="359">
        <v>3265</v>
      </c>
      <c r="Q125" s="271">
        <f t="shared" ref="Q125" si="270">+P125*$X$1</f>
        <v>3265</v>
      </c>
      <c r="R125" s="427">
        <v>3005</v>
      </c>
      <c r="S125" s="271">
        <f t="shared" ref="S125" si="271">+R125*$X$1</f>
        <v>3005</v>
      </c>
      <c r="T125" s="427">
        <v>2829</v>
      </c>
      <c r="U125" s="298">
        <f t="shared" ref="U125" si="272">+T125*$X$1</f>
        <v>2829</v>
      </c>
      <c r="V125" s="427">
        <v>1927</v>
      </c>
      <c r="W125" s="298">
        <f t="shared" ref="W125" si="273">+V125*$X$1</f>
        <v>1927</v>
      </c>
      <c r="X125" s="803"/>
      <c r="Y125" s="804"/>
      <c r="Z125" s="804"/>
      <c r="AA125" s="805"/>
      <c r="AB125" s="384" t="s">
        <v>158</v>
      </c>
    </row>
    <row r="126" spans="1:28" ht="12.6" customHeight="1" x14ac:dyDescent="0.2">
      <c r="A126" s="18"/>
      <c r="B126" s="691" t="s">
        <v>759</v>
      </c>
      <c r="C126" s="951"/>
      <c r="D126" s="951"/>
      <c r="E126" s="951"/>
      <c r="F126" s="330"/>
      <c r="G126" s="779" t="s">
        <v>380</v>
      </c>
      <c r="H126" s="780"/>
      <c r="I126" s="780"/>
      <c r="J126" s="780"/>
      <c r="K126" s="781"/>
      <c r="L126" s="568">
        <v>3720</v>
      </c>
      <c r="M126" s="270">
        <f t="shared" ref="M126" si="274">+L126*$X$1</f>
        <v>3720</v>
      </c>
      <c r="N126" s="371">
        <v>3271</v>
      </c>
      <c r="O126" s="270">
        <f t="shared" ref="O126" si="275">+N126*$X$1</f>
        <v>3271</v>
      </c>
      <c r="P126" s="524">
        <v>3265</v>
      </c>
      <c r="Q126" s="270">
        <f t="shared" ref="Q126" si="276">+P126*$X$1</f>
        <v>3265</v>
      </c>
      <c r="R126" s="569">
        <v>3005</v>
      </c>
      <c r="S126" s="270">
        <f t="shared" ref="S126" si="277">+R126*$X$1</f>
        <v>3005</v>
      </c>
      <c r="T126" s="569">
        <v>2829</v>
      </c>
      <c r="U126" s="287">
        <f t="shared" ref="U126" si="278">+T126*$X$1</f>
        <v>2829</v>
      </c>
      <c r="V126" s="569">
        <v>1927</v>
      </c>
      <c r="W126" s="287">
        <f t="shared" ref="W126" si="279">+V126*$X$1</f>
        <v>1927</v>
      </c>
      <c r="X126" s="803"/>
      <c r="Y126" s="804"/>
      <c r="Z126" s="804"/>
      <c r="AA126" s="805"/>
      <c r="AB126" s="384" t="s">
        <v>762</v>
      </c>
    </row>
    <row r="127" spans="1:28" ht="12.6" customHeight="1" x14ac:dyDescent="0.2">
      <c r="A127" s="18"/>
      <c r="B127" s="631" t="s">
        <v>761</v>
      </c>
      <c r="C127" s="713"/>
      <c r="D127" s="713"/>
      <c r="E127" s="713"/>
      <c r="F127" s="329"/>
      <c r="G127" s="779" t="s">
        <v>380</v>
      </c>
      <c r="H127" s="780"/>
      <c r="I127" s="780"/>
      <c r="J127" s="780"/>
      <c r="K127" s="781"/>
      <c r="L127" s="572">
        <v>2795</v>
      </c>
      <c r="M127" s="271">
        <f t="shared" ref="M127" si="280">+L127*$X$1</f>
        <v>2795</v>
      </c>
      <c r="N127" s="85">
        <v>2453</v>
      </c>
      <c r="O127" s="271">
        <f t="shared" ref="O127" si="281">+N127*$X$1</f>
        <v>2453</v>
      </c>
      <c r="P127" s="266">
        <v>2447</v>
      </c>
      <c r="Q127" s="271">
        <f t="shared" ref="Q127" si="282">+P127*$X$1</f>
        <v>2447</v>
      </c>
      <c r="R127" s="427">
        <v>2252</v>
      </c>
      <c r="S127" s="271">
        <f t="shared" ref="S127" si="283">+R127*$X$1</f>
        <v>2252</v>
      </c>
      <c r="T127" s="427">
        <v>2119</v>
      </c>
      <c r="U127" s="271">
        <f t="shared" ref="U127" si="284">+T127*$X$1</f>
        <v>2119</v>
      </c>
      <c r="V127" s="427">
        <v>1307</v>
      </c>
      <c r="W127" s="271">
        <f t="shared" ref="W127" si="285">+V127*$X$1</f>
        <v>1307</v>
      </c>
      <c r="X127" s="803"/>
      <c r="Y127" s="804"/>
      <c r="Z127" s="804"/>
      <c r="AA127" s="805"/>
      <c r="AB127" s="384" t="s">
        <v>765</v>
      </c>
    </row>
    <row r="128" spans="1:28" ht="12.6" customHeight="1" x14ac:dyDescent="0.2">
      <c r="A128" s="18"/>
      <c r="B128" s="691" t="s">
        <v>384</v>
      </c>
      <c r="C128" s="692"/>
      <c r="D128" s="692"/>
      <c r="E128" s="692"/>
      <c r="F128" s="323"/>
      <c r="G128" s="779" t="s">
        <v>379</v>
      </c>
      <c r="H128" s="780"/>
      <c r="I128" s="780"/>
      <c r="J128" s="780"/>
      <c r="K128" s="781"/>
      <c r="L128" s="568">
        <v>1660</v>
      </c>
      <c r="M128" s="270">
        <f t="shared" si="263"/>
        <v>1660</v>
      </c>
      <c r="N128" s="70">
        <v>1441</v>
      </c>
      <c r="O128" s="270">
        <f t="shared" si="263"/>
        <v>1441</v>
      </c>
      <c r="P128" s="299">
        <v>1436</v>
      </c>
      <c r="Q128" s="270">
        <f t="shared" si="264"/>
        <v>1436</v>
      </c>
      <c r="R128" s="569">
        <v>1321</v>
      </c>
      <c r="S128" s="270">
        <f t="shared" si="265"/>
        <v>1321</v>
      </c>
      <c r="T128" s="569">
        <v>1245</v>
      </c>
      <c r="U128" s="270">
        <f t="shared" si="266"/>
        <v>1245</v>
      </c>
      <c r="V128" s="569">
        <v>685</v>
      </c>
      <c r="W128" s="270">
        <f t="shared" si="267"/>
        <v>685</v>
      </c>
      <c r="X128" s="803"/>
      <c r="Y128" s="804"/>
      <c r="Z128" s="804"/>
      <c r="AA128" s="805"/>
      <c r="AB128" s="384">
        <v>302</v>
      </c>
    </row>
    <row r="129" spans="1:28" ht="12.6" customHeight="1" x14ac:dyDescent="0.2">
      <c r="A129" s="18"/>
      <c r="B129" s="629" t="s">
        <v>385</v>
      </c>
      <c r="C129" s="638"/>
      <c r="D129" s="638"/>
      <c r="E129" s="638"/>
      <c r="F129" s="271"/>
      <c r="G129" s="779" t="s">
        <v>379</v>
      </c>
      <c r="H129" s="780"/>
      <c r="I129" s="780"/>
      <c r="J129" s="780"/>
      <c r="K129" s="781"/>
      <c r="L129" s="572">
        <v>1825</v>
      </c>
      <c r="M129" s="271">
        <f t="shared" si="263"/>
        <v>1825</v>
      </c>
      <c r="N129" s="85">
        <v>1595</v>
      </c>
      <c r="O129" s="271">
        <f t="shared" si="263"/>
        <v>1595</v>
      </c>
      <c r="P129" s="266">
        <v>1590</v>
      </c>
      <c r="Q129" s="271">
        <f t="shared" si="264"/>
        <v>1590</v>
      </c>
      <c r="R129" s="427">
        <v>1462</v>
      </c>
      <c r="S129" s="271">
        <f t="shared" si="265"/>
        <v>1462</v>
      </c>
      <c r="T129" s="427">
        <v>1376</v>
      </c>
      <c r="U129" s="271">
        <f t="shared" si="266"/>
        <v>1376</v>
      </c>
      <c r="V129" s="427">
        <v>801</v>
      </c>
      <c r="W129" s="271">
        <f t="shared" si="267"/>
        <v>801</v>
      </c>
      <c r="X129" s="803"/>
      <c r="Y129" s="804"/>
      <c r="Z129" s="804"/>
      <c r="AA129" s="805"/>
      <c r="AB129" s="384" t="s">
        <v>159</v>
      </c>
    </row>
    <row r="130" spans="1:28" ht="12.6" customHeight="1" x14ac:dyDescent="0.2">
      <c r="A130" s="18"/>
      <c r="B130" s="691" t="s">
        <v>355</v>
      </c>
      <c r="C130" s="692"/>
      <c r="D130" s="692"/>
      <c r="E130" s="692"/>
      <c r="F130" s="323"/>
      <c r="G130" s="779" t="s">
        <v>379</v>
      </c>
      <c r="H130" s="780"/>
      <c r="I130" s="780"/>
      <c r="J130" s="780"/>
      <c r="K130" s="781"/>
      <c r="L130" s="568">
        <v>3200</v>
      </c>
      <c r="M130" s="270">
        <f t="shared" ref="M130" si="286">+L130*$X$1</f>
        <v>3200</v>
      </c>
      <c r="N130" s="70">
        <v>2816</v>
      </c>
      <c r="O130" s="270">
        <f t="shared" ref="O130" si="287">+N130*$X$1</f>
        <v>2816</v>
      </c>
      <c r="P130" s="299">
        <v>2810</v>
      </c>
      <c r="Q130" s="270">
        <f t="shared" ref="Q130" si="288">+P130*$X$1</f>
        <v>2810</v>
      </c>
      <c r="R130" s="569">
        <v>2586</v>
      </c>
      <c r="S130" s="270">
        <f t="shared" ref="S130" si="289">+R130*$X$1</f>
        <v>2586</v>
      </c>
      <c r="T130" s="569">
        <v>2434</v>
      </c>
      <c r="U130" s="270">
        <f t="shared" ref="U130" si="290">+T130*$X$1</f>
        <v>2434</v>
      </c>
      <c r="V130" s="569">
        <v>1724</v>
      </c>
      <c r="W130" s="270">
        <f t="shared" ref="W130" si="291">+V130*$X$1</f>
        <v>1724</v>
      </c>
      <c r="X130" s="803"/>
      <c r="Y130" s="804"/>
      <c r="Z130" s="804"/>
      <c r="AA130" s="805"/>
      <c r="AB130" s="384" t="s">
        <v>160</v>
      </c>
    </row>
    <row r="131" spans="1:28" ht="12.6" customHeight="1" x14ac:dyDescent="0.2">
      <c r="A131" s="18"/>
      <c r="B131" s="629" t="s">
        <v>760</v>
      </c>
      <c r="C131" s="701"/>
      <c r="D131" s="701"/>
      <c r="E131" s="701"/>
      <c r="F131" s="322"/>
      <c r="G131" s="779" t="s">
        <v>379</v>
      </c>
      <c r="H131" s="780"/>
      <c r="I131" s="780"/>
      <c r="J131" s="780"/>
      <c r="K131" s="781"/>
      <c r="L131" s="572">
        <v>3200</v>
      </c>
      <c r="M131" s="271">
        <f t="shared" ref="M131" si="292">+L131*$X$1</f>
        <v>3200</v>
      </c>
      <c r="N131" s="85">
        <v>2816</v>
      </c>
      <c r="O131" s="271">
        <f t="shared" ref="O131" si="293">+N131*$X$1</f>
        <v>2816</v>
      </c>
      <c r="P131" s="266">
        <v>2810</v>
      </c>
      <c r="Q131" s="271">
        <f t="shared" ref="Q131" si="294">+P131*$X$1</f>
        <v>2810</v>
      </c>
      <c r="R131" s="427">
        <v>2586</v>
      </c>
      <c r="S131" s="271">
        <f t="shared" ref="S131" si="295">+R131*$X$1</f>
        <v>2586</v>
      </c>
      <c r="T131" s="427">
        <v>2434</v>
      </c>
      <c r="U131" s="271">
        <f t="shared" ref="U131" si="296">+T131*$X$1</f>
        <v>2434</v>
      </c>
      <c r="V131" s="427">
        <v>1724</v>
      </c>
      <c r="W131" s="271">
        <f t="shared" ref="W131" si="297">+V131*$X$1</f>
        <v>1724</v>
      </c>
      <c r="X131" s="803"/>
      <c r="Y131" s="804"/>
      <c r="Z131" s="804"/>
      <c r="AA131" s="805"/>
      <c r="AB131" s="384" t="s">
        <v>763</v>
      </c>
    </row>
    <row r="132" spans="1:28" ht="12.6" customHeight="1" x14ac:dyDescent="0.2">
      <c r="A132" s="18"/>
      <c r="B132" s="631" t="s">
        <v>764</v>
      </c>
      <c r="C132" s="713"/>
      <c r="D132" s="713"/>
      <c r="E132" s="713"/>
      <c r="F132" s="323"/>
      <c r="G132" s="779" t="s">
        <v>379</v>
      </c>
      <c r="H132" s="780"/>
      <c r="I132" s="780"/>
      <c r="J132" s="780"/>
      <c r="K132" s="781"/>
      <c r="L132" s="568">
        <v>2280</v>
      </c>
      <c r="M132" s="270">
        <f t="shared" ref="M132" si="298">+L132*$X$1</f>
        <v>2280</v>
      </c>
      <c r="N132" s="70">
        <v>1998</v>
      </c>
      <c r="O132" s="270">
        <f t="shared" ref="O132" si="299">+N132*$X$1</f>
        <v>1998</v>
      </c>
      <c r="P132" s="299">
        <v>1990</v>
      </c>
      <c r="Q132" s="270">
        <f t="shared" ref="Q132" si="300">+P132*$X$1</f>
        <v>1990</v>
      </c>
      <c r="R132" s="569">
        <v>1832</v>
      </c>
      <c r="S132" s="270">
        <f t="shared" ref="S132" si="301">+R132*$X$1</f>
        <v>1832</v>
      </c>
      <c r="T132" s="569">
        <v>1724</v>
      </c>
      <c r="U132" s="270">
        <f t="shared" ref="U132" si="302">+T132*$X$1</f>
        <v>1724</v>
      </c>
      <c r="V132" s="569">
        <v>1103</v>
      </c>
      <c r="W132" s="270">
        <v>1105</v>
      </c>
      <c r="X132" s="803"/>
      <c r="Y132" s="804"/>
      <c r="Z132" s="804"/>
      <c r="AA132" s="805"/>
      <c r="AB132" s="384" t="s">
        <v>766</v>
      </c>
    </row>
    <row r="133" spans="1:28" ht="12.6" customHeight="1" x14ac:dyDescent="0.2">
      <c r="A133" s="18"/>
      <c r="B133" s="663" t="s">
        <v>601</v>
      </c>
      <c r="C133" s="664"/>
      <c r="D133" s="664"/>
      <c r="E133" s="664"/>
      <c r="F133" s="298"/>
      <c r="G133" s="779" t="s">
        <v>380</v>
      </c>
      <c r="H133" s="780"/>
      <c r="I133" s="780"/>
      <c r="J133" s="780"/>
      <c r="K133" s="781"/>
      <c r="L133" s="572">
        <v>2370</v>
      </c>
      <c r="M133" s="271">
        <f t="shared" si="263"/>
        <v>2370</v>
      </c>
      <c r="N133" s="542">
        <v>2053</v>
      </c>
      <c r="O133" s="271">
        <f t="shared" si="263"/>
        <v>2053</v>
      </c>
      <c r="P133" s="359">
        <v>2046</v>
      </c>
      <c r="Q133" s="271">
        <f t="shared" si="264"/>
        <v>2046</v>
      </c>
      <c r="R133" s="427">
        <v>1882</v>
      </c>
      <c r="S133" s="271">
        <f t="shared" si="265"/>
        <v>1882</v>
      </c>
      <c r="T133" s="427">
        <v>1614</v>
      </c>
      <c r="U133" s="271">
        <v>1771</v>
      </c>
      <c r="V133" s="427">
        <v>1512</v>
      </c>
      <c r="W133" s="271">
        <f t="shared" si="267"/>
        <v>1512</v>
      </c>
      <c r="X133" s="803"/>
      <c r="Y133" s="804"/>
      <c r="Z133" s="804"/>
      <c r="AA133" s="805"/>
      <c r="AB133" s="384">
        <v>303</v>
      </c>
    </row>
    <row r="134" spans="1:28" ht="12.6" customHeight="1" x14ac:dyDescent="0.2">
      <c r="A134" s="18"/>
      <c r="B134" s="691" t="s">
        <v>808</v>
      </c>
      <c r="C134" s="692"/>
      <c r="D134" s="692"/>
      <c r="E134" s="692"/>
      <c r="F134" s="270">
        <v>1870</v>
      </c>
      <c r="G134" s="270">
        <f>+F134*$X$1</f>
        <v>1870</v>
      </c>
      <c r="H134" s="70"/>
      <c r="I134" s="270"/>
      <c r="J134" s="70">
        <f>F134+200</f>
        <v>2070</v>
      </c>
      <c r="K134" s="270">
        <f t="shared" ref="K134" si="303">+J134*$X$1</f>
        <v>2070</v>
      </c>
      <c r="L134" s="569">
        <f t="shared" ref="L134" si="304">F134+150</f>
        <v>2020</v>
      </c>
      <c r="M134" s="270">
        <f t="shared" si="263"/>
        <v>2020</v>
      </c>
      <c r="N134" s="569">
        <f t="shared" ref="N134" si="305">F134+110</f>
        <v>1980</v>
      </c>
      <c r="O134" s="270">
        <f t="shared" si="263"/>
        <v>1980</v>
      </c>
      <c r="P134" s="569">
        <f t="shared" ref="P134" si="306">F134+100</f>
        <v>1970</v>
      </c>
      <c r="Q134" s="270">
        <f t="shared" si="264"/>
        <v>1970</v>
      </c>
      <c r="R134" s="569"/>
      <c r="S134" s="270"/>
      <c r="T134" s="569"/>
      <c r="U134" s="270"/>
      <c r="V134" s="569"/>
      <c r="W134" s="270"/>
      <c r="X134" s="641"/>
      <c r="Y134" s="642"/>
      <c r="Z134" s="642"/>
      <c r="AA134" s="643"/>
      <c r="AB134" s="384">
        <v>304</v>
      </c>
    </row>
    <row r="135" spans="1:28" ht="12.6" customHeight="1" x14ac:dyDescent="0.2">
      <c r="A135" s="18"/>
      <c r="B135" s="629" t="s">
        <v>737</v>
      </c>
      <c r="C135" s="638"/>
      <c r="D135" s="638"/>
      <c r="E135" s="638"/>
      <c r="F135" s="271">
        <v>2190</v>
      </c>
      <c r="G135" s="271">
        <f t="shared" ref="G135" si="307">+F135*$X$1</f>
        <v>2190</v>
      </c>
      <c r="H135" s="427"/>
      <c r="I135" s="271"/>
      <c r="J135" s="427"/>
      <c r="K135" s="271"/>
      <c r="L135" s="427">
        <f>F135+150</f>
        <v>2340</v>
      </c>
      <c r="M135" s="271">
        <f t="shared" si="263"/>
        <v>2340</v>
      </c>
      <c r="N135" s="427">
        <f>F135+100</f>
        <v>2290</v>
      </c>
      <c r="O135" s="271">
        <f>+N135*$X$1</f>
        <v>2290</v>
      </c>
      <c r="P135" s="427">
        <f>F135+90</f>
        <v>2280</v>
      </c>
      <c r="Q135" s="271">
        <f t="shared" si="264"/>
        <v>2280</v>
      </c>
      <c r="R135" s="427">
        <f>F135+70</f>
        <v>2260</v>
      </c>
      <c r="S135" s="271">
        <f>+R135*$X$1</f>
        <v>2260</v>
      </c>
      <c r="T135" s="427">
        <f>F135+56</f>
        <v>2246</v>
      </c>
      <c r="U135" s="271">
        <f t="shared" ref="U135:U136" si="308">+T135*$X$1</f>
        <v>2246</v>
      </c>
      <c r="V135" s="427">
        <f>F135+49</f>
        <v>2239</v>
      </c>
      <c r="W135" s="271">
        <f t="shared" ref="W135:W136" si="309">+V135*$X$1</f>
        <v>2239</v>
      </c>
      <c r="X135" s="641"/>
      <c r="Y135" s="642"/>
      <c r="Z135" s="642"/>
      <c r="AA135" s="643"/>
      <c r="AB135" s="384">
        <v>307</v>
      </c>
    </row>
    <row r="136" spans="1:28" ht="12.6" customHeight="1" x14ac:dyDescent="0.2">
      <c r="A136" s="18"/>
      <c r="B136" s="691" t="s">
        <v>519</v>
      </c>
      <c r="C136" s="692"/>
      <c r="D136" s="692"/>
      <c r="E136" s="692"/>
      <c r="F136" s="287">
        <v>1688</v>
      </c>
      <c r="G136" s="270">
        <f>+F136*$X$1</f>
        <v>1688</v>
      </c>
      <c r="H136" s="265"/>
      <c r="I136" s="320"/>
      <c r="J136" s="605"/>
      <c r="K136" s="270"/>
      <c r="L136" s="605">
        <v>3290</v>
      </c>
      <c r="M136" s="270">
        <f>+L136*$X$1</f>
        <v>3290</v>
      </c>
      <c r="N136" s="605">
        <v>2700</v>
      </c>
      <c r="O136" s="270">
        <f t="shared" si="263"/>
        <v>2700</v>
      </c>
      <c r="P136" s="299">
        <v>2497</v>
      </c>
      <c r="Q136" s="270">
        <f t="shared" ref="Q136" si="310">+P136*$X$1</f>
        <v>2497</v>
      </c>
      <c r="R136" s="605">
        <v>2301</v>
      </c>
      <c r="S136" s="270">
        <f t="shared" si="265"/>
        <v>2301</v>
      </c>
      <c r="T136" s="605">
        <v>2145</v>
      </c>
      <c r="U136" s="270">
        <f t="shared" si="308"/>
        <v>2145</v>
      </c>
      <c r="V136" s="605">
        <v>2055</v>
      </c>
      <c r="W136" s="270">
        <f t="shared" si="309"/>
        <v>2055</v>
      </c>
      <c r="X136" s="641"/>
      <c r="Y136" s="642"/>
      <c r="Z136" s="642"/>
      <c r="AA136" s="643"/>
      <c r="AB136" s="384">
        <v>308</v>
      </c>
    </row>
    <row r="137" spans="1:28" ht="12.6" customHeight="1" x14ac:dyDescent="0.2">
      <c r="A137" s="18"/>
      <c r="B137" s="629" t="s">
        <v>518</v>
      </c>
      <c r="C137" s="638"/>
      <c r="D137" s="638"/>
      <c r="E137" s="638"/>
      <c r="F137" s="298">
        <v>1688</v>
      </c>
      <c r="G137" s="271">
        <f>+F137*$X$1</f>
        <v>1688</v>
      </c>
      <c r="H137" s="264"/>
      <c r="I137" s="321"/>
      <c r="J137" s="614"/>
      <c r="K137" s="271"/>
      <c r="L137" s="614">
        <v>3290</v>
      </c>
      <c r="M137" s="271">
        <f>+L137*$X$1</f>
        <v>3290</v>
      </c>
      <c r="N137" s="614">
        <v>2700</v>
      </c>
      <c r="O137" s="271">
        <f t="shared" ref="O137" si="311">+N137*$X$1</f>
        <v>2700</v>
      </c>
      <c r="P137" s="266">
        <v>2497</v>
      </c>
      <c r="Q137" s="271">
        <f t="shared" ref="Q137" si="312">+P137*$X$1</f>
        <v>2497</v>
      </c>
      <c r="R137" s="614">
        <v>2301</v>
      </c>
      <c r="S137" s="271">
        <f t="shared" ref="S137" si="313">+R137*$X$1</f>
        <v>2301</v>
      </c>
      <c r="T137" s="614">
        <v>2145</v>
      </c>
      <c r="U137" s="271">
        <f t="shared" ref="U137" si="314">+T137*$X$1</f>
        <v>2145</v>
      </c>
      <c r="V137" s="614">
        <v>2055</v>
      </c>
      <c r="W137" s="271">
        <f t="shared" ref="W137" si="315">+V137*$X$1</f>
        <v>2055</v>
      </c>
      <c r="X137" s="641"/>
      <c r="Y137" s="642"/>
      <c r="Z137" s="642"/>
      <c r="AA137" s="643"/>
      <c r="AB137" s="384">
        <v>309</v>
      </c>
    </row>
    <row r="138" spans="1:28" ht="12.6" customHeight="1" x14ac:dyDescent="0.2">
      <c r="A138" s="18"/>
      <c r="B138" s="691" t="s">
        <v>822</v>
      </c>
      <c r="C138" s="692"/>
      <c r="D138" s="692"/>
      <c r="E138" s="692"/>
      <c r="F138" s="351">
        <f>0.77*X2</f>
        <v>962.5</v>
      </c>
      <c r="G138" s="270">
        <f>+F138*$X$1</f>
        <v>962.5</v>
      </c>
      <c r="H138" s="605"/>
      <c r="I138" s="270"/>
      <c r="J138" s="605">
        <f>F138+200</f>
        <v>1162.5</v>
      </c>
      <c r="K138" s="270">
        <f t="shared" ref="K138" si="316">+J138*$X$1</f>
        <v>1162.5</v>
      </c>
      <c r="L138" s="605">
        <f>F138+150</f>
        <v>1112.5</v>
      </c>
      <c r="M138" s="270">
        <f t="shared" ref="M138:M140" si="317">+L138*$X$1</f>
        <v>1112.5</v>
      </c>
      <c r="N138" s="605">
        <f>F138+100</f>
        <v>1062.5</v>
      </c>
      <c r="O138" s="270">
        <f>+N138*$X$1</f>
        <v>1062.5</v>
      </c>
      <c r="P138" s="605">
        <f>F138+90</f>
        <v>1052.5</v>
      </c>
      <c r="Q138" s="270">
        <f t="shared" ref="Q138:Q140" si="318">+P138*$X$1</f>
        <v>1052.5</v>
      </c>
      <c r="R138" s="605">
        <f>F138+70</f>
        <v>1032.5</v>
      </c>
      <c r="S138" s="270">
        <f>+R138*$X$1</f>
        <v>1032.5</v>
      </c>
      <c r="T138" s="605">
        <f>F138+56</f>
        <v>1018.5</v>
      </c>
      <c r="U138" s="270">
        <f t="shared" ref="U138:U140" si="319">+T138*$X$1</f>
        <v>1018.5</v>
      </c>
      <c r="V138" s="605">
        <f>F138+49</f>
        <v>1011.5</v>
      </c>
      <c r="W138" s="270">
        <f t="shared" ref="W138:W140" si="320">+V138*$X$1</f>
        <v>1011.5</v>
      </c>
      <c r="X138" s="641"/>
      <c r="Y138" s="642"/>
      <c r="Z138" s="642"/>
      <c r="AA138" s="643"/>
      <c r="AB138" s="384">
        <v>310</v>
      </c>
    </row>
    <row r="139" spans="1:28" ht="12.6" customHeight="1" x14ac:dyDescent="0.2">
      <c r="A139" s="18"/>
      <c r="B139" s="629" t="s">
        <v>773</v>
      </c>
      <c r="C139" s="638"/>
      <c r="D139" s="638"/>
      <c r="E139" s="638"/>
      <c r="F139" s="352">
        <f>0.805*X2</f>
        <v>1006.2500000000001</v>
      </c>
      <c r="G139" s="271">
        <f>+F139*$X$1</f>
        <v>1006.2500000000001</v>
      </c>
      <c r="H139" s="614"/>
      <c r="I139" s="271"/>
      <c r="J139" s="614">
        <f>F139+200</f>
        <v>1206.25</v>
      </c>
      <c r="K139" s="271">
        <f t="shared" ref="K139" si="321">+J139*$X$1</f>
        <v>1206.25</v>
      </c>
      <c r="L139" s="614">
        <f>F139+150</f>
        <v>1156.25</v>
      </c>
      <c r="M139" s="271">
        <f t="shared" si="317"/>
        <v>1156.25</v>
      </c>
      <c r="N139" s="614">
        <f>F139+100</f>
        <v>1106.25</v>
      </c>
      <c r="O139" s="271">
        <f>+N139*$X$1</f>
        <v>1106.25</v>
      </c>
      <c r="P139" s="614">
        <f>F139+90</f>
        <v>1096.25</v>
      </c>
      <c r="Q139" s="271">
        <f t="shared" si="318"/>
        <v>1096.25</v>
      </c>
      <c r="R139" s="614">
        <f>F139+70</f>
        <v>1076.25</v>
      </c>
      <c r="S139" s="271">
        <f>+R139*$X$1</f>
        <v>1076.25</v>
      </c>
      <c r="T139" s="614">
        <f>F139+56</f>
        <v>1062.25</v>
      </c>
      <c r="U139" s="271">
        <f t="shared" si="319"/>
        <v>1062.25</v>
      </c>
      <c r="V139" s="614">
        <f>F139+49</f>
        <v>1055.25</v>
      </c>
      <c r="W139" s="271">
        <f t="shared" si="320"/>
        <v>1055.25</v>
      </c>
      <c r="X139" s="641"/>
      <c r="Y139" s="642"/>
      <c r="Z139" s="642"/>
      <c r="AA139" s="643"/>
      <c r="AB139" s="384">
        <v>311</v>
      </c>
    </row>
    <row r="140" spans="1:28" ht="12.6" customHeight="1" x14ac:dyDescent="0.2">
      <c r="A140" s="18"/>
      <c r="B140" s="691" t="s">
        <v>458</v>
      </c>
      <c r="C140" s="692"/>
      <c r="D140" s="692"/>
      <c r="E140" s="692"/>
      <c r="F140" s="351">
        <f>1.38*X2</f>
        <v>1724.9999999999998</v>
      </c>
      <c r="G140" s="270">
        <f t="shared" ref="G140" si="322">+F140*$X$1</f>
        <v>1724.9999999999998</v>
      </c>
      <c r="H140" s="605"/>
      <c r="I140" s="270"/>
      <c r="J140" s="605">
        <f>F140+200</f>
        <v>1924.9999999999998</v>
      </c>
      <c r="K140" s="270">
        <f t="shared" ref="K140" si="323">+J140*$X$1</f>
        <v>1924.9999999999998</v>
      </c>
      <c r="L140" s="605">
        <f>F140+150</f>
        <v>1874.9999999999998</v>
      </c>
      <c r="M140" s="270">
        <f t="shared" si="317"/>
        <v>1874.9999999999998</v>
      </c>
      <c r="N140" s="605">
        <f>F140+100</f>
        <v>1824.9999999999998</v>
      </c>
      <c r="O140" s="270">
        <f>+N140*$X$1</f>
        <v>1824.9999999999998</v>
      </c>
      <c r="P140" s="605">
        <f>F140+90</f>
        <v>1814.9999999999998</v>
      </c>
      <c r="Q140" s="270">
        <f t="shared" si="318"/>
        <v>1814.9999999999998</v>
      </c>
      <c r="R140" s="605">
        <f>F140+70</f>
        <v>1794.9999999999998</v>
      </c>
      <c r="S140" s="270">
        <f>+R140*$X$1</f>
        <v>1794.9999999999998</v>
      </c>
      <c r="T140" s="605">
        <f>F140+56</f>
        <v>1780.9999999999998</v>
      </c>
      <c r="U140" s="270">
        <f t="shared" si="319"/>
        <v>1780.9999999999998</v>
      </c>
      <c r="V140" s="605">
        <f>F140+49</f>
        <v>1773.9999999999998</v>
      </c>
      <c r="W140" s="270">
        <f t="shared" si="320"/>
        <v>1773.9999999999998</v>
      </c>
      <c r="X140" s="641"/>
      <c r="Y140" s="642"/>
      <c r="Z140" s="642"/>
      <c r="AA140" s="643"/>
      <c r="AB140" s="384">
        <v>312</v>
      </c>
    </row>
    <row r="141" spans="1:28" ht="12.6" customHeight="1" x14ac:dyDescent="0.2">
      <c r="A141" s="18"/>
      <c r="B141" s="708" t="s">
        <v>161</v>
      </c>
      <c r="C141" s="709"/>
      <c r="D141" s="709"/>
      <c r="E141" s="710"/>
      <c r="F141" s="271"/>
      <c r="G141" s="271"/>
      <c r="H141" s="427"/>
      <c r="I141" s="271"/>
      <c r="J141" s="85"/>
      <c r="K141" s="271"/>
      <c r="L141" s="427"/>
      <c r="M141" s="271"/>
      <c r="N141" s="427"/>
      <c r="O141" s="271"/>
      <c r="P141" s="427"/>
      <c r="Q141" s="271"/>
      <c r="R141" s="427"/>
      <c r="S141" s="271"/>
      <c r="T141" s="427"/>
      <c r="U141" s="271"/>
      <c r="V141" s="427"/>
      <c r="W141" s="271"/>
      <c r="X141" s="641"/>
      <c r="Y141" s="642"/>
      <c r="Z141" s="642"/>
      <c r="AA141" s="643"/>
      <c r="AB141" s="384" t="s">
        <v>162</v>
      </c>
    </row>
    <row r="142" spans="1:28" ht="12.6" customHeight="1" x14ac:dyDescent="0.2">
      <c r="A142" s="18"/>
      <c r="B142" s="738" t="s">
        <v>163</v>
      </c>
      <c r="C142" s="739"/>
      <c r="D142" s="739"/>
      <c r="E142" s="740"/>
      <c r="F142" s="287"/>
      <c r="G142" s="270"/>
      <c r="H142" s="477"/>
      <c r="I142" s="270"/>
      <c r="J142" s="70"/>
      <c r="K142" s="270"/>
      <c r="L142" s="477"/>
      <c r="M142" s="270"/>
      <c r="N142" s="477"/>
      <c r="O142" s="270"/>
      <c r="P142" s="477"/>
      <c r="Q142" s="270"/>
      <c r="R142" s="477"/>
      <c r="S142" s="270"/>
      <c r="T142" s="477"/>
      <c r="U142" s="270"/>
      <c r="V142" s="477"/>
      <c r="W142" s="270"/>
      <c r="X142" s="672"/>
      <c r="Y142" s="828"/>
      <c r="Z142" s="828"/>
      <c r="AA142" s="948"/>
      <c r="AB142" s="419" t="s">
        <v>164</v>
      </c>
    </row>
    <row r="143" spans="1:28" ht="12.6" customHeight="1" x14ac:dyDescent="0.2">
      <c r="A143" s="18"/>
      <c r="B143" s="708" t="s">
        <v>165</v>
      </c>
      <c r="C143" s="709"/>
      <c r="D143" s="709"/>
      <c r="E143" s="710"/>
      <c r="F143" s="271"/>
      <c r="G143" s="271"/>
      <c r="H143" s="427"/>
      <c r="I143" s="271"/>
      <c r="J143" s="85"/>
      <c r="K143" s="271"/>
      <c r="L143" s="427"/>
      <c r="M143" s="271"/>
      <c r="N143" s="427"/>
      <c r="O143" s="271"/>
      <c r="P143" s="427"/>
      <c r="Q143" s="271"/>
      <c r="R143" s="427"/>
      <c r="S143" s="271"/>
      <c r="T143" s="427"/>
      <c r="U143" s="271"/>
      <c r="V143" s="427"/>
      <c r="W143" s="271"/>
      <c r="X143" s="828"/>
      <c r="Y143" s="828"/>
      <c r="Z143" s="828"/>
      <c r="AA143" s="828"/>
      <c r="AB143" s="184" t="s">
        <v>166</v>
      </c>
    </row>
    <row r="144" spans="1:28" ht="12.6" customHeight="1" x14ac:dyDescent="0.2">
      <c r="A144" s="18"/>
      <c r="B144" s="633" t="s">
        <v>167</v>
      </c>
      <c r="C144" s="634"/>
      <c r="D144" s="634"/>
      <c r="E144" s="635"/>
      <c r="F144" s="270"/>
      <c r="G144" s="270"/>
      <c r="H144" s="477"/>
      <c r="I144" s="270"/>
      <c r="J144" s="70"/>
      <c r="K144" s="270"/>
      <c r="L144" s="477"/>
      <c r="M144" s="270"/>
      <c r="N144" s="477"/>
      <c r="O144" s="270"/>
      <c r="P144" s="477"/>
      <c r="Q144" s="270"/>
      <c r="R144" s="477"/>
      <c r="S144" s="270"/>
      <c r="T144" s="477"/>
      <c r="U144" s="270"/>
      <c r="V144" s="477"/>
      <c r="W144" s="270"/>
      <c r="X144" s="828"/>
      <c r="Y144" s="828"/>
      <c r="Z144" s="828"/>
      <c r="AA144" s="828"/>
      <c r="AB144" s="184" t="s">
        <v>168</v>
      </c>
    </row>
    <row r="145" spans="1:34" ht="12.6" customHeight="1" x14ac:dyDescent="0.2">
      <c r="A145" s="92"/>
      <c r="B145" s="708" t="s">
        <v>345</v>
      </c>
      <c r="C145" s="952"/>
      <c r="D145" s="952"/>
      <c r="E145" s="953"/>
      <c r="F145" s="271"/>
      <c r="G145" s="271"/>
      <c r="H145" s="85"/>
      <c r="I145" s="427"/>
      <c r="J145" s="427"/>
      <c r="K145" s="427"/>
      <c r="L145" s="427"/>
      <c r="M145" s="271"/>
      <c r="N145" s="427"/>
      <c r="O145" s="271"/>
      <c r="P145" s="427"/>
      <c r="Q145" s="271"/>
      <c r="R145" s="427"/>
      <c r="S145" s="271"/>
      <c r="T145" s="427"/>
      <c r="U145" s="271"/>
      <c r="V145" s="427"/>
      <c r="W145" s="271"/>
      <c r="X145" s="785"/>
      <c r="Y145" s="829"/>
      <c r="Z145" s="829"/>
      <c r="AA145" s="830"/>
      <c r="AB145" s="184"/>
    </row>
    <row r="146" spans="1:34" ht="12.6" customHeight="1" x14ac:dyDescent="0.2">
      <c r="A146" s="92"/>
      <c r="B146" s="691" t="s">
        <v>169</v>
      </c>
      <c r="C146" s="692"/>
      <c r="D146" s="692"/>
      <c r="E146" s="692"/>
      <c r="F146" s="270"/>
      <c r="G146" s="270"/>
      <c r="H146" s="70"/>
      <c r="I146" s="477"/>
      <c r="J146" s="477"/>
      <c r="K146" s="477"/>
      <c r="L146" s="477"/>
      <c r="M146" s="270"/>
      <c r="N146" s="477"/>
      <c r="O146" s="270"/>
      <c r="P146" s="477"/>
      <c r="Q146" s="270"/>
      <c r="R146" s="477"/>
      <c r="S146" s="270"/>
      <c r="T146" s="477"/>
      <c r="U146" s="270"/>
      <c r="V146" s="477"/>
      <c r="W146" s="270"/>
      <c r="X146" s="785"/>
      <c r="Y146" s="786"/>
      <c r="Z146" s="786"/>
      <c r="AA146" s="787"/>
      <c r="AB146" s="184">
        <v>316</v>
      </c>
      <c r="AC146" s="59"/>
      <c r="AD146" s="59"/>
      <c r="AE146" s="59"/>
      <c r="AF146" s="59"/>
    </row>
    <row r="147" spans="1:34" ht="12.6" customHeight="1" x14ac:dyDescent="0.2">
      <c r="A147" s="92"/>
      <c r="B147" s="629" t="s">
        <v>170</v>
      </c>
      <c r="C147" s="638"/>
      <c r="D147" s="638"/>
      <c r="E147" s="638"/>
      <c r="F147" s="271"/>
      <c r="G147" s="481"/>
      <c r="H147" s="85"/>
      <c r="I147" s="482"/>
      <c r="J147" s="427"/>
      <c r="K147" s="482"/>
      <c r="L147" s="427"/>
      <c r="M147" s="483"/>
      <c r="N147" s="427"/>
      <c r="O147" s="483"/>
      <c r="P147" s="427"/>
      <c r="Q147" s="483"/>
      <c r="R147" s="427"/>
      <c r="S147" s="483"/>
      <c r="T147" s="427"/>
      <c r="U147" s="271"/>
      <c r="V147" s="427"/>
      <c r="W147" s="271"/>
      <c r="X147" s="785"/>
      <c r="Y147" s="786"/>
      <c r="Z147" s="786"/>
      <c r="AA147" s="787"/>
      <c r="AB147" s="184">
        <v>318</v>
      </c>
      <c r="AC147" s="59"/>
      <c r="AD147" s="59"/>
      <c r="AE147" s="59"/>
      <c r="AF147" s="59"/>
    </row>
    <row r="148" spans="1:34" ht="12.6" customHeight="1" x14ac:dyDescent="0.2">
      <c r="A148" s="18"/>
      <c r="B148" s="791" t="s">
        <v>316</v>
      </c>
      <c r="C148" s="792"/>
      <c r="D148" s="792"/>
      <c r="E148" s="792"/>
      <c r="F148" s="270">
        <v>1147</v>
      </c>
      <c r="G148" s="293">
        <f>+F148*$X$1</f>
        <v>1147</v>
      </c>
      <c r="H148" s="185" t="s">
        <v>171</v>
      </c>
      <c r="I148" s="187"/>
      <c r="J148" s="81"/>
      <c r="K148" s="81"/>
      <c r="L148" s="157"/>
      <c r="M148" s="81"/>
      <c r="N148" s="81"/>
      <c r="O148" s="81"/>
      <c r="P148" s="79">
        <v>90</v>
      </c>
      <c r="Q148" s="186">
        <f>+P148*$X$1</f>
        <v>90</v>
      </c>
      <c r="R148" s="478"/>
      <c r="S148" s="479"/>
      <c r="T148" s="70"/>
      <c r="U148" s="270"/>
      <c r="V148" s="477"/>
      <c r="W148" s="270"/>
      <c r="X148" s="785"/>
      <c r="Y148" s="786"/>
      <c r="Z148" s="786"/>
      <c r="AA148" s="787"/>
      <c r="AB148" s="387"/>
      <c r="AC148" s="826"/>
      <c r="AD148" s="827"/>
      <c r="AE148" s="827"/>
      <c r="AF148" s="827"/>
      <c r="AG148" s="4"/>
    </row>
    <row r="149" spans="1:34" ht="12.6" customHeight="1" x14ac:dyDescent="0.2">
      <c r="A149" s="18"/>
      <c r="B149" s="949" t="s">
        <v>317</v>
      </c>
      <c r="C149" s="950"/>
      <c r="D149" s="950"/>
      <c r="E149" s="950"/>
      <c r="F149" s="271">
        <v>1297</v>
      </c>
      <c r="G149" s="328">
        <f>+F149*$X$1</f>
        <v>1297</v>
      </c>
      <c r="H149" s="254" t="s">
        <v>171</v>
      </c>
      <c r="I149" s="255"/>
      <c r="J149" s="256"/>
      <c r="K149" s="256"/>
      <c r="L149" s="257"/>
      <c r="M149" s="256"/>
      <c r="N149" s="256"/>
      <c r="O149" s="256"/>
      <c r="P149" s="258">
        <v>90</v>
      </c>
      <c r="Q149" s="259">
        <f>+P149*$X$1</f>
        <v>90</v>
      </c>
      <c r="R149" s="486"/>
      <c r="S149" s="484"/>
      <c r="T149" s="485"/>
      <c r="U149" s="273"/>
      <c r="V149" s="90"/>
      <c r="W149" s="273"/>
      <c r="X149" s="785"/>
      <c r="Y149" s="786"/>
      <c r="Z149" s="786"/>
      <c r="AA149" s="787"/>
      <c r="AB149" s="387"/>
    </row>
    <row r="150" spans="1:34" ht="12.6" customHeight="1" x14ac:dyDescent="0.2">
      <c r="A150" s="18"/>
      <c r="B150" s="791" t="s">
        <v>798</v>
      </c>
      <c r="C150" s="792"/>
      <c r="D150" s="792"/>
      <c r="E150" s="792"/>
      <c r="F150" s="270"/>
      <c r="G150" s="270"/>
      <c r="H150" s="261"/>
      <c r="I150" s="270"/>
      <c r="J150" s="569">
        <f>F149+250</f>
        <v>1547</v>
      </c>
      <c r="K150" s="270">
        <f t="shared" ref="K150:K151" si="324">+J150*$X$1</f>
        <v>1547</v>
      </c>
      <c r="L150" s="569">
        <f>F149+200</f>
        <v>1497</v>
      </c>
      <c r="M150" s="270">
        <f>+L150*$X$1</f>
        <v>1497</v>
      </c>
      <c r="N150" s="569">
        <f>F149+160</f>
        <v>1457</v>
      </c>
      <c r="O150" s="270">
        <f>+N150*$X$1</f>
        <v>1457</v>
      </c>
      <c r="P150" s="569">
        <f>F149+140</f>
        <v>1437</v>
      </c>
      <c r="Q150" s="270">
        <f t="shared" ref="Q150:Q151" si="325">+P150*$X$1</f>
        <v>1437</v>
      </c>
      <c r="R150" s="569">
        <f>F149+120</f>
        <v>1417</v>
      </c>
      <c r="S150" s="270">
        <f>+R150*$X$1</f>
        <v>1417</v>
      </c>
      <c r="T150" s="569">
        <f>F149+105</f>
        <v>1402</v>
      </c>
      <c r="U150" s="270">
        <f t="shared" ref="U150:U151" si="326">+T150*$X$1</f>
        <v>1402</v>
      </c>
      <c r="V150" s="569">
        <f>F149+90</f>
        <v>1387</v>
      </c>
      <c r="W150" s="270">
        <f>+V150*$X$1</f>
        <v>1387</v>
      </c>
      <c r="X150" s="785"/>
      <c r="Y150" s="786"/>
      <c r="Z150" s="786"/>
      <c r="AA150" s="787"/>
      <c r="AB150" s="384">
        <v>321</v>
      </c>
    </row>
    <row r="151" spans="1:34" ht="12.6" customHeight="1" x14ac:dyDescent="0.2">
      <c r="A151" s="18"/>
      <c r="B151" s="949" t="s">
        <v>514</v>
      </c>
      <c r="C151" s="950"/>
      <c r="D151" s="950"/>
      <c r="E151" s="950"/>
      <c r="F151" s="271"/>
      <c r="G151" s="271"/>
      <c r="H151" s="280"/>
      <c r="I151" s="271"/>
      <c r="J151" s="427">
        <f>F149+350</f>
        <v>1647</v>
      </c>
      <c r="K151" s="271">
        <f t="shared" si="324"/>
        <v>1647</v>
      </c>
      <c r="L151" s="427">
        <f>F149+300</f>
        <v>1597</v>
      </c>
      <c r="M151" s="271">
        <f>+L151*$X$1</f>
        <v>1597</v>
      </c>
      <c r="N151" s="427">
        <f>F149+275</f>
        <v>1572</v>
      </c>
      <c r="O151" s="271">
        <f>+N151*$X$1</f>
        <v>1572</v>
      </c>
      <c r="P151" s="427">
        <f>F149+250</f>
        <v>1547</v>
      </c>
      <c r="Q151" s="271">
        <f t="shared" si="325"/>
        <v>1547</v>
      </c>
      <c r="R151" s="427">
        <f>F149+230</f>
        <v>1527</v>
      </c>
      <c r="S151" s="271">
        <f>+R151*$X$1</f>
        <v>1527</v>
      </c>
      <c r="T151" s="427">
        <f>F149+200</f>
        <v>1497</v>
      </c>
      <c r="U151" s="271">
        <f t="shared" si="326"/>
        <v>1497</v>
      </c>
      <c r="V151" s="427">
        <f>F149+170</f>
        <v>1467</v>
      </c>
      <c r="W151" s="271">
        <f>+V151*$X$1</f>
        <v>1467</v>
      </c>
      <c r="X151" s="785"/>
      <c r="Y151" s="786"/>
      <c r="Z151" s="786"/>
      <c r="AA151" s="787"/>
      <c r="AB151" s="384">
        <v>322</v>
      </c>
    </row>
    <row r="152" spans="1:34" ht="12.6" customHeight="1" x14ac:dyDescent="0.2">
      <c r="A152" s="18"/>
      <c r="B152" s="791" t="s">
        <v>318</v>
      </c>
      <c r="C152" s="792"/>
      <c r="D152" s="792"/>
      <c r="E152" s="792"/>
      <c r="F152" s="270">
        <v>1435</v>
      </c>
      <c r="G152" s="293">
        <f>+F152*$X$1</f>
        <v>1435</v>
      </c>
      <c r="H152" s="426" t="s">
        <v>171</v>
      </c>
      <c r="I152" s="577"/>
      <c r="J152" s="578"/>
      <c r="K152" s="578"/>
      <c r="L152" s="578"/>
      <c r="M152" s="578"/>
      <c r="N152" s="578"/>
      <c r="O152" s="578"/>
      <c r="P152" s="80">
        <v>130</v>
      </c>
      <c r="Q152" s="260">
        <f>+P152*$X$1</f>
        <v>130</v>
      </c>
      <c r="R152" s="297"/>
      <c r="S152" s="320"/>
      <c r="T152" s="579"/>
      <c r="U152" s="580"/>
      <c r="V152" s="82"/>
      <c r="W152" s="480"/>
      <c r="X152" s="785"/>
      <c r="Y152" s="786"/>
      <c r="Z152" s="786"/>
      <c r="AA152" s="787"/>
      <c r="AB152" s="387"/>
    </row>
    <row r="153" spans="1:34" ht="12.6" customHeight="1" x14ac:dyDescent="0.2">
      <c r="A153" s="18"/>
      <c r="B153" s="629" t="s">
        <v>172</v>
      </c>
      <c r="C153" s="638"/>
      <c r="D153" s="638"/>
      <c r="E153" s="638"/>
      <c r="F153" s="273">
        <v>1585</v>
      </c>
      <c r="G153" s="328">
        <f>+F153*$X$1</f>
        <v>1585</v>
      </c>
      <c r="H153" s="254" t="s">
        <v>171</v>
      </c>
      <c r="I153" s="581"/>
      <c r="J153" s="578"/>
      <c r="K153" s="578"/>
      <c r="L153" s="578"/>
      <c r="M153" s="578"/>
      <c r="N153" s="578"/>
      <c r="O153" s="578"/>
      <c r="P153" s="80">
        <v>130</v>
      </c>
      <c r="Q153" s="186">
        <f>+P153*$X$1</f>
        <v>130</v>
      </c>
      <c r="R153" s="269"/>
      <c r="S153" s="321"/>
      <c r="T153" s="582"/>
      <c r="U153" s="583"/>
      <c r="V153" s="85"/>
      <c r="W153" s="298"/>
      <c r="X153" s="785"/>
      <c r="Y153" s="786"/>
      <c r="Z153" s="786"/>
      <c r="AA153" s="787"/>
      <c r="AB153" s="387"/>
    </row>
    <row r="154" spans="1:34" ht="12.6" customHeight="1" x14ac:dyDescent="0.2">
      <c r="A154" s="18"/>
      <c r="B154" s="691" t="s">
        <v>797</v>
      </c>
      <c r="C154" s="692"/>
      <c r="D154" s="692"/>
      <c r="E154" s="692"/>
      <c r="F154" s="323"/>
      <c r="G154" s="323"/>
      <c r="H154" s="265"/>
      <c r="I154" s="320"/>
      <c r="J154" s="569">
        <f>F153+250</f>
        <v>1835</v>
      </c>
      <c r="K154" s="270">
        <f t="shared" ref="K154:K155" si="327">+J154*$X$1</f>
        <v>1835</v>
      </c>
      <c r="L154" s="569">
        <f>F153+200</f>
        <v>1785</v>
      </c>
      <c r="M154" s="270">
        <f>+L154*$X$1</f>
        <v>1785</v>
      </c>
      <c r="N154" s="569">
        <f>F153+160</f>
        <v>1745</v>
      </c>
      <c r="O154" s="270">
        <f>+N154*$X$1</f>
        <v>1745</v>
      </c>
      <c r="P154" s="569">
        <f>F153+140</f>
        <v>1725</v>
      </c>
      <c r="Q154" s="270">
        <f t="shared" ref="Q154:Q155" si="328">+P154*$X$1</f>
        <v>1725</v>
      </c>
      <c r="R154" s="569">
        <f>F153+120</f>
        <v>1705</v>
      </c>
      <c r="S154" s="270">
        <f>+R154*$X$1</f>
        <v>1705</v>
      </c>
      <c r="T154" s="569">
        <f>F153+105</f>
        <v>1690</v>
      </c>
      <c r="U154" s="270">
        <f t="shared" ref="U154:U155" si="329">+T154*$X$1</f>
        <v>1690</v>
      </c>
      <c r="V154" s="569">
        <f>F153+90</f>
        <v>1675</v>
      </c>
      <c r="W154" s="270">
        <f>+V154*$X$1</f>
        <v>1675</v>
      </c>
      <c r="X154" s="785"/>
      <c r="Y154" s="786"/>
      <c r="Z154" s="786"/>
      <c r="AA154" s="787"/>
      <c r="AB154" s="384">
        <v>325</v>
      </c>
    </row>
    <row r="155" spans="1:34" ht="12.6" customHeight="1" x14ac:dyDescent="0.2">
      <c r="A155" s="18"/>
      <c r="B155" s="629" t="s">
        <v>513</v>
      </c>
      <c r="C155" s="638"/>
      <c r="D155" s="638"/>
      <c r="E155" s="638"/>
      <c r="F155" s="322"/>
      <c r="G155" s="322"/>
      <c r="H155" s="264"/>
      <c r="I155" s="321"/>
      <c r="J155" s="427">
        <f>F153+350</f>
        <v>1935</v>
      </c>
      <c r="K155" s="271">
        <f t="shared" si="327"/>
        <v>1935</v>
      </c>
      <c r="L155" s="427">
        <f>F153+300</f>
        <v>1885</v>
      </c>
      <c r="M155" s="271">
        <f>+L155*$X$1</f>
        <v>1885</v>
      </c>
      <c r="N155" s="427">
        <f>F153+275</f>
        <v>1860</v>
      </c>
      <c r="O155" s="271">
        <f>+N155*$X$1</f>
        <v>1860</v>
      </c>
      <c r="P155" s="427">
        <f>F153+250</f>
        <v>1835</v>
      </c>
      <c r="Q155" s="271">
        <f t="shared" si="328"/>
        <v>1835</v>
      </c>
      <c r="R155" s="427">
        <f>F153+230</f>
        <v>1815</v>
      </c>
      <c r="S155" s="271">
        <f>+R155*$X$1</f>
        <v>1815</v>
      </c>
      <c r="T155" s="427">
        <f>F153+200</f>
        <v>1785</v>
      </c>
      <c r="U155" s="271">
        <f t="shared" si="329"/>
        <v>1785</v>
      </c>
      <c r="V155" s="427">
        <f>F153+170</f>
        <v>1755</v>
      </c>
      <c r="W155" s="271">
        <f>+V155*$X$1</f>
        <v>1755</v>
      </c>
      <c r="X155" s="785"/>
      <c r="Y155" s="786"/>
      <c r="Z155" s="786"/>
      <c r="AA155" s="787"/>
      <c r="AB155" s="384">
        <v>326</v>
      </c>
    </row>
    <row r="156" spans="1:34" ht="12.75" customHeight="1" x14ac:dyDescent="0.2">
      <c r="A156" s="18"/>
      <c r="B156" s="3"/>
      <c r="C156" s="3"/>
      <c r="D156" s="3"/>
      <c r="E156" s="3"/>
      <c r="F156" s="120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4"/>
      <c r="F157" s="120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3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660" t="s">
        <v>11</v>
      </c>
      <c r="C159" s="935" t="s">
        <v>12</v>
      </c>
      <c r="D159" s="936"/>
      <c r="E159" s="936"/>
      <c r="F159" s="763" t="s">
        <v>13</v>
      </c>
      <c r="G159" s="763" t="s">
        <v>13</v>
      </c>
      <c r="H159" s="661" t="s">
        <v>770</v>
      </c>
      <c r="I159" s="661"/>
      <c r="J159" s="662"/>
      <c r="K159" s="662"/>
      <c r="L159" s="662"/>
      <c r="M159" s="662"/>
      <c r="N159" s="662"/>
      <c r="O159" s="662"/>
      <c r="P159" s="662"/>
      <c r="Q159" s="662"/>
      <c r="R159" s="662"/>
      <c r="S159" s="662"/>
      <c r="T159" s="662"/>
      <c r="U159" s="662"/>
      <c r="V159" s="662"/>
      <c r="W159" s="662"/>
      <c r="X159" s="679" t="s">
        <v>14</v>
      </c>
      <c r="Y159" s="680"/>
      <c r="Z159" s="680"/>
      <c r="AA159" s="681"/>
      <c r="AB159" s="677" t="s">
        <v>15</v>
      </c>
      <c r="AF159" s="675" t="s">
        <v>3</v>
      </c>
      <c r="AG159" s="676"/>
      <c r="AH159" s="676"/>
    </row>
    <row r="160" spans="1:34" ht="12.6" customHeight="1" x14ac:dyDescent="0.2">
      <c r="A160" s="18"/>
      <c r="B160" s="660"/>
      <c r="C160" s="936"/>
      <c r="D160" s="936"/>
      <c r="E160" s="936"/>
      <c r="F160" s="764"/>
      <c r="G160" s="764"/>
      <c r="H160" s="436"/>
      <c r="I160" s="434" t="s">
        <v>279</v>
      </c>
      <c r="J160" s="436"/>
      <c r="K160" s="434" t="s">
        <v>17</v>
      </c>
      <c r="L160" s="437"/>
      <c r="M160" s="437" t="s">
        <v>18</v>
      </c>
      <c r="N160" s="437"/>
      <c r="O160" s="434" t="s">
        <v>19</v>
      </c>
      <c r="P160" s="437"/>
      <c r="Q160" s="437" t="s">
        <v>280</v>
      </c>
      <c r="R160" s="437"/>
      <c r="S160" s="437" t="s">
        <v>20</v>
      </c>
      <c r="T160" s="437"/>
      <c r="U160" s="437" t="s">
        <v>21</v>
      </c>
      <c r="V160" s="437"/>
      <c r="W160" s="437" t="s">
        <v>22</v>
      </c>
      <c r="X160" s="682"/>
      <c r="Y160" s="683"/>
      <c r="Z160" s="683"/>
      <c r="AA160" s="684"/>
      <c r="AB160" s="678"/>
      <c r="AG160" s="33"/>
    </row>
    <row r="161" spans="1:28" ht="12.6" customHeight="1" x14ac:dyDescent="0.2">
      <c r="A161" s="18"/>
      <c r="B161" s="629" t="s">
        <v>335</v>
      </c>
      <c r="C161" s="638"/>
      <c r="D161" s="638"/>
      <c r="E161" s="638"/>
      <c r="F161" s="352">
        <f>8.3*X2</f>
        <v>10375</v>
      </c>
      <c r="G161" s="271">
        <f>+F161*$X$1</f>
        <v>10375</v>
      </c>
      <c r="H161" s="622">
        <f>F161+600</f>
        <v>10975</v>
      </c>
      <c r="I161" s="271">
        <f t="shared" ref="I161" si="330">+H161*$X$1</f>
        <v>10975</v>
      </c>
      <c r="J161" s="622">
        <f>F161+200</f>
        <v>10575</v>
      </c>
      <c r="K161" s="271">
        <f>+J161*$X$1</f>
        <v>10575</v>
      </c>
      <c r="L161" s="622">
        <f>F161+150</f>
        <v>10525</v>
      </c>
      <c r="M161" s="271">
        <f t="shared" ref="M161" si="331">+L161*$X$1</f>
        <v>10525</v>
      </c>
      <c r="N161" s="622">
        <f>F161+100</f>
        <v>10475</v>
      </c>
      <c r="O161" s="271">
        <f>+N161*$X$1</f>
        <v>10475</v>
      </c>
      <c r="P161" s="622">
        <f>F161+90</f>
        <v>10465</v>
      </c>
      <c r="Q161" s="271">
        <f>+P161*$X$1</f>
        <v>10465</v>
      </c>
      <c r="R161" s="622">
        <f>F161+70</f>
        <v>10445</v>
      </c>
      <c r="S161" s="271">
        <f>+R161*$X$1</f>
        <v>10445</v>
      </c>
      <c r="T161" s="622">
        <f>F161+56</f>
        <v>10431</v>
      </c>
      <c r="U161" s="271">
        <f>+T161*$X$1</f>
        <v>10431</v>
      </c>
      <c r="V161" s="622">
        <f>F161+49</f>
        <v>10424</v>
      </c>
      <c r="W161" s="271">
        <f t="shared" ref="W161" si="332">+V161*$X$1</f>
        <v>10424</v>
      </c>
      <c r="X161" s="685"/>
      <c r="Y161" s="771"/>
      <c r="Z161" s="771"/>
      <c r="AA161" s="687"/>
      <c r="AB161" s="184">
        <v>332</v>
      </c>
    </row>
    <row r="162" spans="1:28" ht="12.6" customHeight="1" x14ac:dyDescent="0.2">
      <c r="A162" s="20"/>
      <c r="B162" s="1061" t="s">
        <v>173</v>
      </c>
      <c r="C162" s="1062"/>
      <c r="D162" s="1062"/>
      <c r="E162" s="1062"/>
      <c r="F162" s="270">
        <v>530</v>
      </c>
      <c r="G162" s="270">
        <f t="shared" ref="G162" si="333">+F162*$X$1</f>
        <v>530</v>
      </c>
      <c r="H162" s="624"/>
      <c r="I162" s="624"/>
      <c r="J162" s="605">
        <f>F162+400</f>
        <v>930</v>
      </c>
      <c r="K162" s="270">
        <f t="shared" ref="K162" si="334">+J162*$X$1</f>
        <v>930</v>
      </c>
      <c r="L162" s="605">
        <f>F162+360</f>
        <v>890</v>
      </c>
      <c r="M162" s="270">
        <f>+L162*$X$1</f>
        <v>890</v>
      </c>
      <c r="N162" s="605">
        <f>F162+340</f>
        <v>870</v>
      </c>
      <c r="O162" s="270">
        <f>+N162*$X$1</f>
        <v>870</v>
      </c>
      <c r="P162" s="605">
        <f>F162+300</f>
        <v>830</v>
      </c>
      <c r="Q162" s="270">
        <f t="shared" ref="Q162" si="335">+P162*$X$1</f>
        <v>830</v>
      </c>
      <c r="R162" s="605">
        <f>F162+260</f>
        <v>790</v>
      </c>
      <c r="S162" s="270">
        <f>+R162*$X$1</f>
        <v>790</v>
      </c>
      <c r="T162" s="605">
        <f>F162+230</f>
        <v>760</v>
      </c>
      <c r="U162" s="270">
        <f t="shared" ref="U162" si="336">+T162*$X$1</f>
        <v>760</v>
      </c>
      <c r="V162" s="605">
        <f>F162+190</f>
        <v>720</v>
      </c>
      <c r="W162" s="270">
        <f>+V162*$X$1</f>
        <v>720</v>
      </c>
      <c r="X162" s="139"/>
      <c r="Y162" s="139"/>
      <c r="Z162" s="139"/>
      <c r="AA162" s="139"/>
      <c r="AB162" s="184">
        <v>347</v>
      </c>
    </row>
    <row r="163" spans="1:28" ht="12.6" customHeight="1" x14ac:dyDescent="0.2">
      <c r="A163" s="20"/>
      <c r="B163" s="629" t="s">
        <v>598</v>
      </c>
      <c r="C163" s="638"/>
      <c r="D163" s="638"/>
      <c r="E163" s="638"/>
      <c r="F163" s="278"/>
      <c r="G163" s="621"/>
      <c r="H163" s="622"/>
      <c r="I163" s="622"/>
      <c r="J163" s="622"/>
      <c r="K163" s="622"/>
      <c r="L163" s="264"/>
      <c r="M163" s="264"/>
      <c r="N163" s="621"/>
      <c r="O163" s="622"/>
      <c r="P163" s="264"/>
      <c r="Q163" s="264"/>
      <c r="R163" s="622"/>
      <c r="S163" s="622"/>
      <c r="T163" s="622"/>
      <c r="U163" s="89"/>
      <c r="V163" s="622"/>
      <c r="W163" s="89"/>
      <c r="X163" s="139"/>
      <c r="Y163" s="139"/>
      <c r="Z163" s="139"/>
      <c r="AA163" s="139"/>
      <c r="AB163" s="184">
        <v>348</v>
      </c>
    </row>
    <row r="164" spans="1:28" ht="12.6" customHeight="1" x14ac:dyDescent="0.2">
      <c r="A164" s="20"/>
      <c r="B164" s="691" t="s">
        <v>174</v>
      </c>
      <c r="C164" s="692"/>
      <c r="D164" s="692"/>
      <c r="E164" s="692"/>
      <c r="F164" s="279"/>
      <c r="G164" s="620"/>
      <c r="H164" s="605"/>
      <c r="I164" s="605"/>
      <c r="J164" s="605"/>
      <c r="K164" s="605"/>
      <c r="L164" s="265"/>
      <c r="M164" s="265"/>
      <c r="N164" s="620"/>
      <c r="O164" s="605"/>
      <c r="P164" s="265"/>
      <c r="Q164" s="265"/>
      <c r="R164" s="605"/>
      <c r="S164" s="605"/>
      <c r="T164" s="605"/>
      <c r="U164" s="91"/>
      <c r="V164" s="605"/>
      <c r="W164" s="91"/>
      <c r="X164" s="139"/>
      <c r="Y164" s="139"/>
      <c r="Z164" s="139"/>
      <c r="AA164" s="139"/>
      <c r="AB164" s="184">
        <v>349</v>
      </c>
    </row>
    <row r="165" spans="1:28" ht="12.6" customHeight="1" x14ac:dyDescent="0.2">
      <c r="A165" s="20"/>
      <c r="B165" s="629" t="s">
        <v>175</v>
      </c>
      <c r="C165" s="638"/>
      <c r="D165" s="638"/>
      <c r="E165" s="638"/>
      <c r="F165" s="278"/>
      <c r="G165" s="621"/>
      <c r="H165" s="622"/>
      <c r="I165" s="622"/>
      <c r="J165" s="622"/>
      <c r="K165" s="622"/>
      <c r="L165" s="264"/>
      <c r="M165" s="264"/>
      <c r="N165" s="621"/>
      <c r="O165" s="622"/>
      <c r="P165" s="264"/>
      <c r="Q165" s="264"/>
      <c r="R165" s="622"/>
      <c r="S165" s="622"/>
      <c r="T165" s="622"/>
      <c r="U165" s="89"/>
      <c r="V165" s="622"/>
      <c r="W165" s="89"/>
      <c r="X165" s="139"/>
      <c r="Y165" s="139"/>
      <c r="Z165" s="139"/>
      <c r="AA165" s="139"/>
      <c r="AB165" s="184">
        <v>350</v>
      </c>
    </row>
    <row r="166" spans="1:28" ht="12.6" customHeight="1" x14ac:dyDescent="0.2">
      <c r="A166" s="20"/>
      <c r="B166" s="691" t="s">
        <v>176</v>
      </c>
      <c r="C166" s="692"/>
      <c r="D166" s="692"/>
      <c r="E166" s="692"/>
      <c r="F166" s="279"/>
      <c r="G166" s="620"/>
      <c r="H166" s="605"/>
      <c r="I166" s="605"/>
      <c r="J166" s="605"/>
      <c r="K166" s="605"/>
      <c r="L166" s="265"/>
      <c r="M166" s="265"/>
      <c r="N166" s="620"/>
      <c r="O166" s="605"/>
      <c r="P166" s="265"/>
      <c r="Q166" s="265"/>
      <c r="R166" s="605"/>
      <c r="S166" s="605"/>
      <c r="T166" s="605"/>
      <c r="U166" s="91"/>
      <c r="V166" s="605"/>
      <c r="W166" s="91"/>
      <c r="X166" s="139"/>
      <c r="Y166" s="139"/>
      <c r="Z166" s="139"/>
      <c r="AA166" s="139"/>
      <c r="AB166" s="184">
        <v>351</v>
      </c>
    </row>
    <row r="167" spans="1:28" ht="12.6" customHeight="1" x14ac:dyDescent="0.2">
      <c r="A167" s="20"/>
      <c r="B167" s="629" t="s">
        <v>177</v>
      </c>
      <c r="C167" s="638"/>
      <c r="D167" s="638"/>
      <c r="E167" s="638"/>
      <c r="F167" s="278"/>
      <c r="G167" s="621"/>
      <c r="H167" s="622"/>
      <c r="I167" s="622"/>
      <c r="J167" s="622"/>
      <c r="K167" s="622"/>
      <c r="L167" s="264"/>
      <c r="M167" s="264"/>
      <c r="N167" s="96"/>
      <c r="O167" s="622"/>
      <c r="P167" s="264"/>
      <c r="Q167" s="264"/>
      <c r="R167" s="622"/>
      <c r="S167" s="622"/>
      <c r="T167" s="96"/>
      <c r="U167" s="625"/>
      <c r="V167" s="96"/>
      <c r="W167" s="625"/>
      <c r="X167" s="139"/>
      <c r="Y167" s="139"/>
      <c r="Z167" s="139"/>
      <c r="AA167" s="139"/>
      <c r="AB167" s="184">
        <v>352</v>
      </c>
    </row>
    <row r="168" spans="1:28" ht="12.6" customHeight="1" x14ac:dyDescent="0.2">
      <c r="A168" s="20"/>
      <c r="B168" s="633" t="s">
        <v>352</v>
      </c>
      <c r="C168" s="634"/>
      <c r="D168" s="634"/>
      <c r="E168" s="635"/>
      <c r="F168" s="356">
        <f>0.61*X2</f>
        <v>762.5</v>
      </c>
      <c r="G168" s="246">
        <f t="shared" ref="G168" si="337">+F168*$X$1</f>
        <v>762.5</v>
      </c>
      <c r="H168" s="361"/>
      <c r="I168" s="270"/>
      <c r="J168" s="70"/>
      <c r="K168" s="270"/>
      <c r="L168" s="599">
        <f t="shared" ref="L168" si="338">F168+150</f>
        <v>912.5</v>
      </c>
      <c r="M168" s="270">
        <f t="shared" ref="M168" si="339">+L168*$X$1</f>
        <v>912.5</v>
      </c>
      <c r="N168" s="599">
        <f t="shared" ref="N168" si="340">F168+110</f>
        <v>872.5</v>
      </c>
      <c r="O168" s="270">
        <f t="shared" ref="O168" si="341">+N168*$X$1</f>
        <v>872.5</v>
      </c>
      <c r="P168" s="599">
        <f t="shared" ref="P168" si="342">F168+100</f>
        <v>862.5</v>
      </c>
      <c r="Q168" s="270">
        <f t="shared" ref="Q168" si="343">+P168*$X$1</f>
        <v>862.5</v>
      </c>
      <c r="R168" s="599">
        <f t="shared" ref="R168" si="344">F168+80</f>
        <v>842.5</v>
      </c>
      <c r="S168" s="270">
        <f t="shared" ref="S168" si="345">+R168*$X$1</f>
        <v>842.5</v>
      </c>
      <c r="T168" s="599">
        <f t="shared" ref="T168" si="346">F168+65</f>
        <v>827.5</v>
      </c>
      <c r="U168" s="270">
        <f t="shared" ref="U168" si="347">+T168*$X$1</f>
        <v>827.5</v>
      </c>
      <c r="V168" s="599">
        <f t="shared" ref="V168" si="348">F168+56</f>
        <v>818.5</v>
      </c>
      <c r="W168" s="270">
        <f t="shared" ref="W168" si="349">+V168*$X$1</f>
        <v>818.5</v>
      </c>
      <c r="X168" s="672"/>
      <c r="Y168" s="673"/>
      <c r="Z168" s="673"/>
      <c r="AA168" s="674"/>
      <c r="AB168" s="184">
        <v>370</v>
      </c>
    </row>
    <row r="169" spans="1:28" ht="12.6" customHeight="1" x14ac:dyDescent="0.2">
      <c r="A169" s="20"/>
      <c r="B169" s="1187" t="s">
        <v>517</v>
      </c>
      <c r="C169" s="1188"/>
      <c r="D169" s="1188"/>
      <c r="E169" s="1189"/>
      <c r="F169" s="490">
        <v>810</v>
      </c>
      <c r="G169" s="585">
        <f t="shared" ref="G169" si="350">+F169*$X$1</f>
        <v>810</v>
      </c>
      <c r="H169" s="590"/>
      <c r="I169" s="491"/>
      <c r="J169" s="493">
        <f>F169+200</f>
        <v>1010</v>
      </c>
      <c r="K169" s="491">
        <f t="shared" ref="K169" si="351">+J169*$X$1</f>
        <v>1010</v>
      </c>
      <c r="L169" s="627">
        <f t="shared" ref="L169" si="352">F169+150</f>
        <v>960</v>
      </c>
      <c r="M169" s="491">
        <f t="shared" ref="M169" si="353">+L169*$X$1</f>
        <v>960</v>
      </c>
      <c r="N169" s="627">
        <f t="shared" ref="N169" si="354">F169+110</f>
        <v>920</v>
      </c>
      <c r="O169" s="491">
        <f t="shared" ref="O169" si="355">+N169*$X$1</f>
        <v>920</v>
      </c>
      <c r="P169" s="627">
        <f t="shared" ref="P169" si="356">F169+100</f>
        <v>910</v>
      </c>
      <c r="Q169" s="491">
        <f t="shared" ref="Q169" si="357">+P169*$X$1</f>
        <v>910</v>
      </c>
      <c r="R169" s="627">
        <f t="shared" ref="R169" si="358">F169+80</f>
        <v>890</v>
      </c>
      <c r="S169" s="491">
        <f t="shared" ref="S169" si="359">+R169*$X$1</f>
        <v>890</v>
      </c>
      <c r="T169" s="627">
        <f t="shared" ref="T169" si="360">F169+65</f>
        <v>875</v>
      </c>
      <c r="U169" s="491">
        <f t="shared" ref="U169" si="361">+T169*$X$1</f>
        <v>875</v>
      </c>
      <c r="V169" s="627">
        <f t="shared" ref="V169" si="362">F169+56</f>
        <v>866</v>
      </c>
      <c r="W169" s="491">
        <f t="shared" ref="W169" si="363">+V169*$X$1</f>
        <v>866</v>
      </c>
      <c r="X169" s="672"/>
      <c r="Y169" s="673"/>
      <c r="Z169" s="673"/>
      <c r="AA169" s="674"/>
      <c r="AB169" s="373">
        <v>373</v>
      </c>
    </row>
    <row r="170" spans="1:28" ht="12.6" customHeight="1" x14ac:dyDescent="0.2">
      <c r="A170" s="20"/>
      <c r="B170" s="633" t="s">
        <v>178</v>
      </c>
      <c r="C170" s="634"/>
      <c r="D170" s="634"/>
      <c r="E170" s="635"/>
      <c r="F170" s="351">
        <f>1.36*X2</f>
        <v>1700.0000000000002</v>
      </c>
      <c r="G170" s="246">
        <f>+F170*$X$1</f>
        <v>1700.0000000000002</v>
      </c>
      <c r="H170" s="361"/>
      <c r="I170" s="270"/>
      <c r="J170" s="70">
        <f>F170+200</f>
        <v>1900.0000000000002</v>
      </c>
      <c r="K170" s="270">
        <f t="shared" ref="K170:K171" si="364">+J170*$X$1</f>
        <v>1900.0000000000002</v>
      </c>
      <c r="L170" s="599">
        <f t="shared" ref="L170" si="365">F170+150</f>
        <v>1850.0000000000002</v>
      </c>
      <c r="M170" s="270">
        <f t="shared" ref="M170:M171" si="366">+L170*$X$1</f>
        <v>1850.0000000000002</v>
      </c>
      <c r="N170" s="599">
        <f t="shared" ref="N170" si="367">F170+110</f>
        <v>1810.0000000000002</v>
      </c>
      <c r="O170" s="270">
        <f t="shared" ref="O170" si="368">+N170*$X$1</f>
        <v>1810.0000000000002</v>
      </c>
      <c r="P170" s="599">
        <f t="shared" ref="P170" si="369">F170+100</f>
        <v>1800.0000000000002</v>
      </c>
      <c r="Q170" s="270">
        <f t="shared" ref="Q170:Q171" si="370">+P170*$X$1</f>
        <v>1800.0000000000002</v>
      </c>
      <c r="R170" s="599">
        <f t="shared" ref="R170" si="371">F170+80</f>
        <v>1780.0000000000002</v>
      </c>
      <c r="S170" s="270">
        <f t="shared" ref="S170" si="372">+R170*$X$1</f>
        <v>1780.0000000000002</v>
      </c>
      <c r="T170" s="599">
        <f t="shared" ref="T170" si="373">F170+65</f>
        <v>1765.0000000000002</v>
      </c>
      <c r="U170" s="270">
        <f t="shared" ref="U170:U171" si="374">+T170*$X$1</f>
        <v>1765.0000000000002</v>
      </c>
      <c r="V170" s="599">
        <f t="shared" ref="V170" si="375">F170+56</f>
        <v>1756.0000000000002</v>
      </c>
      <c r="W170" s="270">
        <f t="shared" ref="W170:W171" si="376">+V170*$X$1</f>
        <v>1756.0000000000002</v>
      </c>
      <c r="X170" s="672"/>
      <c r="Y170" s="673"/>
      <c r="Z170" s="673"/>
      <c r="AA170" s="674"/>
      <c r="AB170" s="184">
        <v>375</v>
      </c>
    </row>
    <row r="171" spans="1:28" ht="12.6" customHeight="1" x14ac:dyDescent="0.2">
      <c r="A171" s="20"/>
      <c r="B171" s="708" t="s">
        <v>179</v>
      </c>
      <c r="C171" s="709"/>
      <c r="D171" s="709"/>
      <c r="E171" s="710"/>
      <c r="F171" s="352">
        <f>4.67*X2</f>
        <v>5837.5</v>
      </c>
      <c r="G171" s="286">
        <f>+F171*$X$1</f>
        <v>5837.5</v>
      </c>
      <c r="H171" s="427">
        <f>F171+600</f>
        <v>6437.5</v>
      </c>
      <c r="I171" s="271">
        <f t="shared" ref="I171" si="377">+H171*$X$1</f>
        <v>6437.5</v>
      </c>
      <c r="J171" s="427">
        <f>F171+200</f>
        <v>6037.5</v>
      </c>
      <c r="K171" s="271">
        <f t="shared" si="364"/>
        <v>6037.5</v>
      </c>
      <c r="L171" s="427">
        <f>F171+150</f>
        <v>5987.5</v>
      </c>
      <c r="M171" s="271">
        <f t="shared" si="366"/>
        <v>5987.5</v>
      </c>
      <c r="N171" s="427">
        <f>F171+100</f>
        <v>5937.5</v>
      </c>
      <c r="O171" s="271">
        <f>+N171*$X$1</f>
        <v>5937.5</v>
      </c>
      <c r="P171" s="427">
        <f>F171+90</f>
        <v>5927.5</v>
      </c>
      <c r="Q171" s="271">
        <f t="shared" si="370"/>
        <v>5927.5</v>
      </c>
      <c r="R171" s="427">
        <f>F171+70</f>
        <v>5907.5</v>
      </c>
      <c r="S171" s="271">
        <f>+R171*$X$1</f>
        <v>5907.5</v>
      </c>
      <c r="T171" s="427">
        <f>F171+56</f>
        <v>5893.5</v>
      </c>
      <c r="U171" s="271">
        <f t="shared" si="374"/>
        <v>5893.5</v>
      </c>
      <c r="V171" s="427">
        <f>F171+49</f>
        <v>5886.5</v>
      </c>
      <c r="W171" s="271">
        <f t="shared" si="376"/>
        <v>5886.5</v>
      </c>
      <c r="X171" s="685"/>
      <c r="Y171" s="771"/>
      <c r="Z171" s="771"/>
      <c r="AA171" s="687"/>
      <c r="AB171" s="184">
        <v>376</v>
      </c>
    </row>
    <row r="172" spans="1:28" ht="12.6" customHeight="1" x14ac:dyDescent="0.2">
      <c r="A172" s="20"/>
      <c r="B172" s="633" t="s">
        <v>180</v>
      </c>
      <c r="C172" s="634"/>
      <c r="D172" s="634"/>
      <c r="E172" s="635"/>
      <c r="F172" s="351">
        <f>3.6*X2</f>
        <v>4500</v>
      </c>
      <c r="G172" s="246">
        <f>+F172*$X$1</f>
        <v>4500</v>
      </c>
      <c r="H172" s="297"/>
      <c r="I172" s="320"/>
      <c r="J172" s="70">
        <f>F172+200</f>
        <v>4700</v>
      </c>
      <c r="K172" s="270">
        <f t="shared" ref="K172" si="378">+J172*$X$1</f>
        <v>4700</v>
      </c>
      <c r="L172" s="599">
        <f t="shared" ref="L172" si="379">F172+150</f>
        <v>4650</v>
      </c>
      <c r="M172" s="270">
        <f t="shared" ref="M172" si="380">+L172*$X$1</f>
        <v>4650</v>
      </c>
      <c r="N172" s="599">
        <f t="shared" ref="N172" si="381">F172+110</f>
        <v>4610</v>
      </c>
      <c r="O172" s="270">
        <f t="shared" ref="O172" si="382">+N172*$X$1</f>
        <v>4610</v>
      </c>
      <c r="P172" s="599"/>
      <c r="Q172" s="270"/>
      <c r="R172" s="599"/>
      <c r="S172" s="270"/>
      <c r="T172" s="97"/>
      <c r="U172" s="246"/>
      <c r="V172" s="97"/>
      <c r="W172" s="246"/>
      <c r="X172" s="672"/>
      <c r="Y172" s="673"/>
      <c r="Z172" s="673"/>
      <c r="AA172" s="674"/>
      <c r="AB172" s="184">
        <v>379</v>
      </c>
    </row>
    <row r="173" spans="1:28" ht="12.6" customHeight="1" x14ac:dyDescent="0.2">
      <c r="A173" s="98"/>
      <c r="B173" s="735" t="s">
        <v>892</v>
      </c>
      <c r="C173" s="736"/>
      <c r="D173" s="736"/>
      <c r="E173" s="737"/>
      <c r="F173" s="352">
        <f>2.66*X2</f>
        <v>3325</v>
      </c>
      <c r="G173" s="271">
        <f t="shared" ref="G173" si="383">+F173*$X$1</f>
        <v>3325</v>
      </c>
      <c r="H173" s="427">
        <f t="shared" ref="H173:H187" si="384">F173+600</f>
        <v>3925</v>
      </c>
      <c r="I173" s="271">
        <f t="shared" ref="I173:I175" si="385">+H173*$X$1</f>
        <v>3925</v>
      </c>
      <c r="J173" s="85">
        <f t="shared" ref="J173:J182" si="386">F173+200</f>
        <v>3525</v>
      </c>
      <c r="K173" s="271">
        <f t="shared" ref="K173:K175" si="387">+J173*$X$1</f>
        <v>3525</v>
      </c>
      <c r="L173" s="427">
        <f t="shared" ref="L173:L175" si="388">F173+150</f>
        <v>3475</v>
      </c>
      <c r="M173" s="271">
        <f t="shared" ref="M173:M175" si="389">+L173*$X$1</f>
        <v>3475</v>
      </c>
      <c r="N173" s="427">
        <f t="shared" ref="N173:N175" si="390">F173+110</f>
        <v>3435</v>
      </c>
      <c r="O173" s="271">
        <f t="shared" ref="O173:O175" si="391">+N173*$X$1</f>
        <v>3435</v>
      </c>
      <c r="P173" s="427">
        <f t="shared" ref="P173:P175" si="392">F173+100</f>
        <v>3425</v>
      </c>
      <c r="Q173" s="271">
        <f t="shared" ref="Q173:Q175" si="393">+P173*$X$1</f>
        <v>3425</v>
      </c>
      <c r="R173" s="427">
        <f t="shared" ref="R173:R175" si="394">F173+80</f>
        <v>3405</v>
      </c>
      <c r="S173" s="271">
        <f t="shared" ref="S173:S175" si="395">+R173*$X$1</f>
        <v>3405</v>
      </c>
      <c r="T173" s="427">
        <f t="shared" ref="T173:T175" si="396">F173+65</f>
        <v>3390</v>
      </c>
      <c r="U173" s="271">
        <f t="shared" ref="U173:U175" si="397">+T173*$X$1</f>
        <v>3390</v>
      </c>
      <c r="V173" s="427">
        <f t="shared" ref="V173:V175" si="398">F173+56</f>
        <v>3381</v>
      </c>
      <c r="W173" s="271">
        <f t="shared" ref="W173:W175" si="399">+V173*$X$1</f>
        <v>3381</v>
      </c>
      <c r="X173" s="672"/>
      <c r="Y173" s="673"/>
      <c r="Z173" s="673"/>
      <c r="AA173" s="674"/>
      <c r="AB173" s="184">
        <v>381</v>
      </c>
    </row>
    <row r="174" spans="1:28" ht="12.6" customHeight="1" x14ac:dyDescent="0.2">
      <c r="A174" s="98"/>
      <c r="B174" s="633" t="s">
        <v>371</v>
      </c>
      <c r="C174" s="634"/>
      <c r="D174" s="634"/>
      <c r="E174" s="635"/>
      <c r="F174" s="351">
        <f>1.87*X2</f>
        <v>2337.5</v>
      </c>
      <c r="G174" s="246">
        <f t="shared" ref="G174:G177" si="400">+F174*$X$1</f>
        <v>2337.5</v>
      </c>
      <c r="H174" s="427">
        <f t="shared" si="384"/>
        <v>2937.5</v>
      </c>
      <c r="I174" s="270">
        <f t="shared" si="385"/>
        <v>2937.5</v>
      </c>
      <c r="J174" s="70">
        <f t="shared" si="386"/>
        <v>2537.5</v>
      </c>
      <c r="K174" s="270">
        <f t="shared" si="387"/>
        <v>2537.5</v>
      </c>
      <c r="L174" s="569">
        <f t="shared" si="388"/>
        <v>2487.5</v>
      </c>
      <c r="M174" s="270">
        <f t="shared" si="389"/>
        <v>2487.5</v>
      </c>
      <c r="N174" s="569">
        <f t="shared" si="390"/>
        <v>2447.5</v>
      </c>
      <c r="O174" s="270">
        <f t="shared" si="391"/>
        <v>2447.5</v>
      </c>
      <c r="P174" s="569">
        <f t="shared" si="392"/>
        <v>2437.5</v>
      </c>
      <c r="Q174" s="270">
        <f t="shared" si="393"/>
        <v>2437.5</v>
      </c>
      <c r="R174" s="569">
        <f t="shared" si="394"/>
        <v>2417.5</v>
      </c>
      <c r="S174" s="270">
        <f t="shared" si="395"/>
        <v>2417.5</v>
      </c>
      <c r="T174" s="569">
        <f t="shared" si="396"/>
        <v>2402.5</v>
      </c>
      <c r="U174" s="270">
        <f t="shared" si="397"/>
        <v>2402.5</v>
      </c>
      <c r="V174" s="569">
        <f t="shared" si="398"/>
        <v>2393.5</v>
      </c>
      <c r="W174" s="270">
        <f t="shared" si="399"/>
        <v>2393.5</v>
      </c>
      <c r="X174" s="672"/>
      <c r="Y174" s="673"/>
      <c r="Z174" s="673"/>
      <c r="AA174" s="674"/>
      <c r="AB174" s="184">
        <v>382</v>
      </c>
    </row>
    <row r="175" spans="1:28" ht="12.6" customHeight="1" x14ac:dyDescent="0.2">
      <c r="A175" s="98"/>
      <c r="B175" s="735" t="s">
        <v>900</v>
      </c>
      <c r="C175" s="736"/>
      <c r="D175" s="736"/>
      <c r="E175" s="737"/>
      <c r="F175" s="352">
        <f>33.5*X2</f>
        <v>41875</v>
      </c>
      <c r="G175" s="271">
        <f t="shared" si="400"/>
        <v>41875</v>
      </c>
      <c r="H175" s="427">
        <f t="shared" si="384"/>
        <v>42475</v>
      </c>
      <c r="I175" s="271">
        <f t="shared" si="385"/>
        <v>42475</v>
      </c>
      <c r="J175" s="85">
        <f t="shared" si="386"/>
        <v>42075</v>
      </c>
      <c r="K175" s="271">
        <f t="shared" si="387"/>
        <v>42075</v>
      </c>
      <c r="L175" s="427">
        <f t="shared" si="388"/>
        <v>42025</v>
      </c>
      <c r="M175" s="271">
        <f t="shared" si="389"/>
        <v>42025</v>
      </c>
      <c r="N175" s="427">
        <f t="shared" si="390"/>
        <v>41985</v>
      </c>
      <c r="O175" s="271">
        <f t="shared" si="391"/>
        <v>41985</v>
      </c>
      <c r="P175" s="427">
        <f t="shared" si="392"/>
        <v>41975</v>
      </c>
      <c r="Q175" s="271">
        <f t="shared" si="393"/>
        <v>41975</v>
      </c>
      <c r="R175" s="427">
        <f t="shared" si="394"/>
        <v>41955</v>
      </c>
      <c r="S175" s="271">
        <f t="shared" si="395"/>
        <v>41955</v>
      </c>
      <c r="T175" s="427">
        <f t="shared" si="396"/>
        <v>41940</v>
      </c>
      <c r="U175" s="271">
        <f t="shared" si="397"/>
        <v>41940</v>
      </c>
      <c r="V175" s="427">
        <f t="shared" si="398"/>
        <v>41931</v>
      </c>
      <c r="W175" s="271">
        <f t="shared" si="399"/>
        <v>41931</v>
      </c>
      <c r="X175" s="672"/>
      <c r="Y175" s="673"/>
      <c r="Z175" s="673"/>
      <c r="AA175" s="674"/>
      <c r="AB175" s="184">
        <v>384</v>
      </c>
    </row>
    <row r="176" spans="1:28" ht="12.6" customHeight="1" x14ac:dyDescent="0.2">
      <c r="A176" s="20"/>
      <c r="B176" s="633" t="s">
        <v>848</v>
      </c>
      <c r="C176" s="634"/>
      <c r="D176" s="634"/>
      <c r="E176" s="635"/>
      <c r="F176" s="351">
        <f>21.9*X2</f>
        <v>27375</v>
      </c>
      <c r="G176" s="246">
        <f t="shared" si="400"/>
        <v>27375</v>
      </c>
      <c r="H176" s="569">
        <f t="shared" si="384"/>
        <v>27975</v>
      </c>
      <c r="I176" s="270">
        <f t="shared" ref="I176:I180" si="401">+H176*$X$1</f>
        <v>27975</v>
      </c>
      <c r="J176" s="569">
        <f t="shared" si="386"/>
        <v>27575</v>
      </c>
      <c r="K176" s="270">
        <f t="shared" ref="K176:K180" si="402">+J176*$X$1</f>
        <v>27575</v>
      </c>
      <c r="L176" s="569">
        <f>F176+150</f>
        <v>27525</v>
      </c>
      <c r="M176" s="270">
        <f t="shared" ref="M176:M180" si="403">+L176*$X$1</f>
        <v>27525</v>
      </c>
      <c r="N176" s="569">
        <f>F176+100</f>
        <v>27475</v>
      </c>
      <c r="O176" s="270">
        <f>+N176*$X$1</f>
        <v>27475</v>
      </c>
      <c r="P176" s="569">
        <f>F176+90</f>
        <v>27465</v>
      </c>
      <c r="Q176" s="270">
        <f t="shared" ref="Q176:Q180" si="404">+P176*$X$1</f>
        <v>27465</v>
      </c>
      <c r="R176" s="569">
        <f>F176+70</f>
        <v>27445</v>
      </c>
      <c r="S176" s="270">
        <f>+R176*$X$1</f>
        <v>27445</v>
      </c>
      <c r="T176" s="569">
        <f>F176+56</f>
        <v>27431</v>
      </c>
      <c r="U176" s="270">
        <f t="shared" ref="U176:U184" si="405">+T176*$X$1</f>
        <v>27431</v>
      </c>
      <c r="V176" s="569">
        <f>F176+49</f>
        <v>27424</v>
      </c>
      <c r="W176" s="270">
        <f t="shared" ref="W176:W184" si="406">+V176*$X$1</f>
        <v>27424</v>
      </c>
      <c r="X176" s="672"/>
      <c r="Y176" s="673"/>
      <c r="Z176" s="673"/>
      <c r="AA176" s="674"/>
      <c r="AB176" s="184">
        <v>392</v>
      </c>
    </row>
    <row r="177" spans="1:38" ht="12.6" customHeight="1" x14ac:dyDescent="0.2">
      <c r="A177" s="20"/>
      <c r="B177" s="735" t="s">
        <v>912</v>
      </c>
      <c r="C177" s="736"/>
      <c r="D177" s="736"/>
      <c r="E177" s="737"/>
      <c r="F177" s="352">
        <f>54*X2</f>
        <v>67500</v>
      </c>
      <c r="G177" s="286">
        <f t="shared" si="400"/>
        <v>67500</v>
      </c>
      <c r="H177" s="427">
        <f t="shared" si="384"/>
        <v>68100</v>
      </c>
      <c r="I177" s="271">
        <f t="shared" si="401"/>
        <v>68100</v>
      </c>
      <c r="J177" s="85">
        <f t="shared" si="386"/>
        <v>67700</v>
      </c>
      <c r="K177" s="271">
        <f t="shared" si="402"/>
        <v>67700</v>
      </c>
      <c r="L177" s="427">
        <f t="shared" ref="L177:L180" si="407">F177+150</f>
        <v>67650</v>
      </c>
      <c r="M177" s="271">
        <f t="shared" si="403"/>
        <v>67650</v>
      </c>
      <c r="N177" s="427">
        <f t="shared" ref="N177:N180" si="408">F177+110</f>
        <v>67610</v>
      </c>
      <c r="O177" s="271">
        <f t="shared" ref="O177:O180" si="409">+N177*$X$1</f>
        <v>67610</v>
      </c>
      <c r="P177" s="427">
        <f t="shared" ref="P177:P180" si="410">F177+100</f>
        <v>67600</v>
      </c>
      <c r="Q177" s="271">
        <f t="shared" si="404"/>
        <v>67600</v>
      </c>
      <c r="R177" s="427">
        <f t="shared" ref="R177:R180" si="411">F177+80</f>
        <v>67580</v>
      </c>
      <c r="S177" s="271">
        <f t="shared" ref="S177:S180" si="412">+R177*$X$1</f>
        <v>67580</v>
      </c>
      <c r="T177" s="427">
        <f t="shared" ref="T177:T180" si="413">F177+65</f>
        <v>67565</v>
      </c>
      <c r="U177" s="271">
        <f t="shared" si="405"/>
        <v>67565</v>
      </c>
      <c r="V177" s="427">
        <f t="shared" ref="V177:V180" si="414">F177+56</f>
        <v>67556</v>
      </c>
      <c r="W177" s="271">
        <f t="shared" si="406"/>
        <v>67556</v>
      </c>
      <c r="X177" s="672"/>
      <c r="Y177" s="673"/>
      <c r="Z177" s="673"/>
      <c r="AA177" s="674"/>
      <c r="AB177" s="184">
        <v>393</v>
      </c>
    </row>
    <row r="178" spans="1:38" ht="12.6" customHeight="1" x14ac:dyDescent="0.2">
      <c r="A178" s="20"/>
      <c r="B178" s="735" t="s">
        <v>911</v>
      </c>
      <c r="C178" s="736"/>
      <c r="D178" s="736"/>
      <c r="E178" s="737"/>
      <c r="F178" s="351">
        <f>49*X2</f>
        <v>61250</v>
      </c>
      <c r="G178" s="246">
        <f t="shared" ref="G178" si="415">+F178*$X$1</f>
        <v>61250</v>
      </c>
      <c r="H178" s="427">
        <f t="shared" si="384"/>
        <v>61850</v>
      </c>
      <c r="I178" s="270">
        <f t="shared" si="401"/>
        <v>61850</v>
      </c>
      <c r="J178" s="70">
        <f t="shared" si="386"/>
        <v>61450</v>
      </c>
      <c r="K178" s="270">
        <f t="shared" si="402"/>
        <v>61450</v>
      </c>
      <c r="L178" s="569">
        <f t="shared" si="407"/>
        <v>61400</v>
      </c>
      <c r="M178" s="270">
        <f t="shared" si="403"/>
        <v>61400</v>
      </c>
      <c r="N178" s="569">
        <f t="shared" si="408"/>
        <v>61360</v>
      </c>
      <c r="O178" s="270">
        <f t="shared" si="409"/>
        <v>61360</v>
      </c>
      <c r="P178" s="569">
        <f t="shared" si="410"/>
        <v>61350</v>
      </c>
      <c r="Q178" s="270">
        <f t="shared" si="404"/>
        <v>61350</v>
      </c>
      <c r="R178" s="569">
        <f t="shared" si="411"/>
        <v>61330</v>
      </c>
      <c r="S178" s="270">
        <f t="shared" si="412"/>
        <v>61330</v>
      </c>
      <c r="T178" s="569">
        <f t="shared" si="413"/>
        <v>61315</v>
      </c>
      <c r="U178" s="270">
        <f t="shared" si="405"/>
        <v>61315</v>
      </c>
      <c r="V178" s="569">
        <f t="shared" si="414"/>
        <v>61306</v>
      </c>
      <c r="W178" s="270">
        <f t="shared" si="406"/>
        <v>61306</v>
      </c>
      <c r="X178" s="672"/>
      <c r="Y178" s="673"/>
      <c r="Z178" s="673"/>
      <c r="AA178" s="674"/>
      <c r="AB178" s="184">
        <v>394</v>
      </c>
    </row>
    <row r="179" spans="1:38" ht="12.6" customHeight="1" x14ac:dyDescent="0.2">
      <c r="A179" s="20"/>
      <c r="B179" s="708" t="s">
        <v>890</v>
      </c>
      <c r="C179" s="709"/>
      <c r="D179" s="709"/>
      <c r="E179" s="710"/>
      <c r="F179" s="352">
        <f>17.6*X2</f>
        <v>22000</v>
      </c>
      <c r="G179" s="286">
        <f t="shared" ref="G179:G181" si="416">+F179*$X$1</f>
        <v>22000</v>
      </c>
      <c r="H179" s="427">
        <f t="shared" si="384"/>
        <v>22600</v>
      </c>
      <c r="I179" s="271">
        <f t="shared" si="401"/>
        <v>22600</v>
      </c>
      <c r="J179" s="85">
        <f t="shared" si="386"/>
        <v>22200</v>
      </c>
      <c r="K179" s="271">
        <f t="shared" si="402"/>
        <v>22200</v>
      </c>
      <c r="L179" s="427">
        <f t="shared" si="407"/>
        <v>22150</v>
      </c>
      <c r="M179" s="271">
        <f t="shared" si="403"/>
        <v>22150</v>
      </c>
      <c r="N179" s="427">
        <f t="shared" si="408"/>
        <v>22110</v>
      </c>
      <c r="O179" s="271">
        <f t="shared" si="409"/>
        <v>22110</v>
      </c>
      <c r="P179" s="427">
        <f t="shared" si="410"/>
        <v>22100</v>
      </c>
      <c r="Q179" s="271">
        <f t="shared" si="404"/>
        <v>22100</v>
      </c>
      <c r="R179" s="427">
        <f t="shared" si="411"/>
        <v>22080</v>
      </c>
      <c r="S179" s="271">
        <f t="shared" si="412"/>
        <v>22080</v>
      </c>
      <c r="T179" s="427">
        <f t="shared" si="413"/>
        <v>22065</v>
      </c>
      <c r="U179" s="271">
        <f t="shared" si="405"/>
        <v>22065</v>
      </c>
      <c r="V179" s="427">
        <f t="shared" si="414"/>
        <v>22056</v>
      </c>
      <c r="W179" s="271">
        <f t="shared" si="406"/>
        <v>22056</v>
      </c>
      <c r="X179" s="672"/>
      <c r="Y179" s="673"/>
      <c r="Z179" s="673"/>
      <c r="AA179" s="674"/>
      <c r="AB179" s="184">
        <v>395</v>
      </c>
    </row>
    <row r="180" spans="1:38" ht="12.6" customHeight="1" x14ac:dyDescent="0.2">
      <c r="A180" s="20"/>
      <c r="B180" s="735" t="s">
        <v>924</v>
      </c>
      <c r="C180" s="736"/>
      <c r="D180" s="736"/>
      <c r="E180" s="737"/>
      <c r="F180" s="351">
        <f>21.95*X2</f>
        <v>27437.5</v>
      </c>
      <c r="G180" s="246">
        <f t="shared" ref="G180" si="417">+F180*$X$1</f>
        <v>27437.5</v>
      </c>
      <c r="H180" s="427">
        <f t="shared" si="384"/>
        <v>28037.5</v>
      </c>
      <c r="I180" s="270">
        <f t="shared" si="401"/>
        <v>28037.5</v>
      </c>
      <c r="J180" s="70">
        <f t="shared" si="386"/>
        <v>27637.5</v>
      </c>
      <c r="K180" s="270">
        <f t="shared" si="402"/>
        <v>27637.5</v>
      </c>
      <c r="L180" s="569">
        <f t="shared" si="407"/>
        <v>27587.5</v>
      </c>
      <c r="M180" s="270">
        <f t="shared" si="403"/>
        <v>27587.5</v>
      </c>
      <c r="N180" s="569">
        <f t="shared" si="408"/>
        <v>27547.5</v>
      </c>
      <c r="O180" s="270">
        <f t="shared" si="409"/>
        <v>27547.5</v>
      </c>
      <c r="P180" s="569">
        <f t="shared" si="410"/>
        <v>27537.5</v>
      </c>
      <c r="Q180" s="270">
        <f t="shared" si="404"/>
        <v>27537.5</v>
      </c>
      <c r="R180" s="569">
        <f t="shared" si="411"/>
        <v>27517.5</v>
      </c>
      <c r="S180" s="270">
        <f t="shared" si="412"/>
        <v>27517.5</v>
      </c>
      <c r="T180" s="569">
        <f t="shared" si="413"/>
        <v>27502.5</v>
      </c>
      <c r="U180" s="270">
        <f t="shared" si="405"/>
        <v>27502.5</v>
      </c>
      <c r="V180" s="569">
        <f t="shared" si="414"/>
        <v>27493.5</v>
      </c>
      <c r="W180" s="270">
        <f t="shared" si="406"/>
        <v>27493.5</v>
      </c>
      <c r="X180" s="672"/>
      <c r="Y180" s="673"/>
      <c r="Z180" s="673"/>
      <c r="AA180" s="674"/>
      <c r="AB180" s="184">
        <v>396</v>
      </c>
    </row>
    <row r="181" spans="1:38" ht="12.6" customHeight="1" x14ac:dyDescent="0.2">
      <c r="A181" s="20"/>
      <c r="B181" s="708" t="s">
        <v>888</v>
      </c>
      <c r="C181" s="709"/>
      <c r="D181" s="709"/>
      <c r="E181" s="710"/>
      <c r="F181" s="352">
        <f>29.69*X2</f>
        <v>37112.5</v>
      </c>
      <c r="G181" s="286">
        <f t="shared" si="416"/>
        <v>37112.5</v>
      </c>
      <c r="H181" s="427">
        <f t="shared" si="384"/>
        <v>37712.5</v>
      </c>
      <c r="I181" s="271">
        <f t="shared" ref="I181:I183" si="418">+H181*$X$1</f>
        <v>37712.5</v>
      </c>
      <c r="J181" s="427">
        <f t="shared" si="386"/>
        <v>37312.5</v>
      </c>
      <c r="K181" s="271">
        <f t="shared" ref="K181:K183" si="419">+J181*$X$1</f>
        <v>37312.5</v>
      </c>
      <c r="L181" s="427">
        <f>F181+150</f>
        <v>37262.5</v>
      </c>
      <c r="M181" s="271">
        <f t="shared" ref="M181:M183" si="420">+L181*$X$1</f>
        <v>37262.5</v>
      </c>
      <c r="N181" s="427">
        <f>F181+100</f>
        <v>37212.5</v>
      </c>
      <c r="O181" s="271">
        <f>+N181*$X$1</f>
        <v>37212.5</v>
      </c>
      <c r="P181" s="427">
        <f>F181+90</f>
        <v>37202.5</v>
      </c>
      <c r="Q181" s="271">
        <f t="shared" ref="Q181:Q183" si="421">+P181*$X$1</f>
        <v>37202.5</v>
      </c>
      <c r="R181" s="427">
        <f>F181+70</f>
        <v>37182.5</v>
      </c>
      <c r="S181" s="271">
        <f>+R181*$X$1</f>
        <v>37182.5</v>
      </c>
      <c r="T181" s="427">
        <f>F181+56</f>
        <v>37168.5</v>
      </c>
      <c r="U181" s="271">
        <f t="shared" ref="U181:U183" si="422">+T181*$X$1</f>
        <v>37168.5</v>
      </c>
      <c r="V181" s="427">
        <f>F181+49</f>
        <v>37161.5</v>
      </c>
      <c r="W181" s="271">
        <f t="shared" ref="W181:W183" si="423">+V181*$X$1</f>
        <v>37161.5</v>
      </c>
      <c r="X181" s="672"/>
      <c r="Y181" s="673"/>
      <c r="Z181" s="673"/>
      <c r="AA181" s="674"/>
      <c r="AB181" s="184">
        <v>397</v>
      </c>
    </row>
    <row r="182" spans="1:38" ht="12.6" customHeight="1" x14ac:dyDescent="0.2">
      <c r="A182" s="20"/>
      <c r="B182" s="633" t="s">
        <v>889</v>
      </c>
      <c r="C182" s="634"/>
      <c r="D182" s="634"/>
      <c r="E182" s="635"/>
      <c r="F182" s="351">
        <f>19.3*X2</f>
        <v>24125</v>
      </c>
      <c r="G182" s="246">
        <f t="shared" ref="G182:G184" si="424">+F182*$X$1</f>
        <v>24125</v>
      </c>
      <c r="H182" s="569">
        <f t="shared" si="384"/>
        <v>24725</v>
      </c>
      <c r="I182" s="270">
        <f t="shared" si="418"/>
        <v>24725</v>
      </c>
      <c r="J182" s="569">
        <f t="shared" si="386"/>
        <v>24325</v>
      </c>
      <c r="K182" s="270">
        <f t="shared" si="419"/>
        <v>24325</v>
      </c>
      <c r="L182" s="569">
        <f>F182+150</f>
        <v>24275</v>
      </c>
      <c r="M182" s="270">
        <f t="shared" si="420"/>
        <v>24275</v>
      </c>
      <c r="N182" s="569">
        <f>F182+100</f>
        <v>24225</v>
      </c>
      <c r="O182" s="270">
        <f>+N182*$X$1</f>
        <v>24225</v>
      </c>
      <c r="P182" s="569">
        <f>F182+90</f>
        <v>24215</v>
      </c>
      <c r="Q182" s="270">
        <f t="shared" si="421"/>
        <v>24215</v>
      </c>
      <c r="R182" s="569">
        <f>F182+70</f>
        <v>24195</v>
      </c>
      <c r="S182" s="270">
        <f>+R182*$X$1</f>
        <v>24195</v>
      </c>
      <c r="T182" s="569">
        <f>F182+56</f>
        <v>24181</v>
      </c>
      <c r="U182" s="270">
        <f t="shared" si="422"/>
        <v>24181</v>
      </c>
      <c r="V182" s="569">
        <f>F182+49</f>
        <v>24174</v>
      </c>
      <c r="W182" s="270">
        <f t="shared" si="423"/>
        <v>24174</v>
      </c>
      <c r="X182" s="672"/>
      <c r="Y182" s="673"/>
      <c r="Z182" s="673"/>
      <c r="AA182" s="674"/>
      <c r="AB182" s="184">
        <v>398</v>
      </c>
    </row>
    <row r="183" spans="1:38" s="1" customFormat="1" ht="12.6" customHeight="1" x14ac:dyDescent="0.2">
      <c r="A183" s="19"/>
      <c r="B183" s="735" t="s">
        <v>914</v>
      </c>
      <c r="C183" s="736"/>
      <c r="D183" s="736"/>
      <c r="E183" s="737"/>
      <c r="F183" s="534">
        <f>25.63*X2</f>
        <v>32037.5</v>
      </c>
      <c r="G183" s="271">
        <f t="shared" si="424"/>
        <v>32037.5</v>
      </c>
      <c r="H183" s="85">
        <f t="shared" si="384"/>
        <v>32637.5</v>
      </c>
      <c r="I183" s="271">
        <f t="shared" si="418"/>
        <v>32637.5</v>
      </c>
      <c r="J183" s="427">
        <f>F183+220</f>
        <v>32257.5</v>
      </c>
      <c r="K183" s="271">
        <f t="shared" si="419"/>
        <v>32257.5</v>
      </c>
      <c r="L183" s="427">
        <f>F183+170</f>
        <v>32207.5</v>
      </c>
      <c r="M183" s="271">
        <f t="shared" si="420"/>
        <v>32207.5</v>
      </c>
      <c r="N183" s="427">
        <f>F183+120</f>
        <v>32157.5</v>
      </c>
      <c r="O183" s="271">
        <f t="shared" ref="O183" si="425">+N183*$X$1</f>
        <v>32157.5</v>
      </c>
      <c r="P183" s="427">
        <f>F183+110</f>
        <v>32147.5</v>
      </c>
      <c r="Q183" s="271">
        <f t="shared" si="421"/>
        <v>32147.5</v>
      </c>
      <c r="R183" s="427">
        <f>F183+95</f>
        <v>32132.5</v>
      </c>
      <c r="S183" s="271">
        <f t="shared" ref="S183" si="426">+R183*$X$1</f>
        <v>32132.5</v>
      </c>
      <c r="T183" s="427">
        <f>F183+85</f>
        <v>32122.5</v>
      </c>
      <c r="U183" s="271">
        <f t="shared" si="422"/>
        <v>32122.5</v>
      </c>
      <c r="V183" s="427">
        <f>F183+76</f>
        <v>32113.5</v>
      </c>
      <c r="W183" s="271">
        <f t="shared" si="423"/>
        <v>32113.5</v>
      </c>
      <c r="X183" s="554"/>
      <c r="Y183" s="555"/>
      <c r="Z183" s="555"/>
      <c r="AA183" s="556"/>
      <c r="AB183" s="184">
        <v>399</v>
      </c>
      <c r="AC183" s="4"/>
      <c r="AD183" s="4"/>
      <c r="AE183" s="4"/>
      <c r="AF183" s="4"/>
      <c r="AG183" s="4"/>
      <c r="AH183" s="120"/>
      <c r="AI183" s="4"/>
      <c r="AJ183" s="4"/>
      <c r="AK183" s="4"/>
      <c r="AL183" s="4"/>
    </row>
    <row r="184" spans="1:38" ht="12.6" customHeight="1" x14ac:dyDescent="0.2">
      <c r="A184" s="20"/>
      <c r="B184" s="633" t="s">
        <v>913</v>
      </c>
      <c r="C184" s="634"/>
      <c r="D184" s="634"/>
      <c r="E184" s="635"/>
      <c r="F184" s="351">
        <f>28.77*X2</f>
        <v>35962.5</v>
      </c>
      <c r="G184" s="246">
        <f t="shared" si="424"/>
        <v>35962.5</v>
      </c>
      <c r="H184" s="569">
        <f t="shared" si="384"/>
        <v>36562.5</v>
      </c>
      <c r="I184" s="270">
        <f t="shared" ref="I184:I187" si="427">+H184*$X$1</f>
        <v>36562.5</v>
      </c>
      <c r="J184" s="70">
        <f t="shared" ref="J184:J189" si="428">F184+200</f>
        <v>36162.5</v>
      </c>
      <c r="K184" s="270">
        <f t="shared" ref="K184:K187" si="429">+J184*$X$1</f>
        <v>36162.5</v>
      </c>
      <c r="L184" s="569">
        <f t="shared" ref="L184" si="430">F184+150</f>
        <v>36112.5</v>
      </c>
      <c r="M184" s="270">
        <f t="shared" ref="M184:M187" si="431">+L184*$X$1</f>
        <v>36112.5</v>
      </c>
      <c r="N184" s="569">
        <f t="shared" ref="N184" si="432">F184+110</f>
        <v>36072.5</v>
      </c>
      <c r="O184" s="270">
        <f t="shared" ref="O184" si="433">+N184*$X$1</f>
        <v>36072.5</v>
      </c>
      <c r="P184" s="569">
        <f t="shared" ref="P184" si="434">F184+100</f>
        <v>36062.5</v>
      </c>
      <c r="Q184" s="270">
        <f t="shared" ref="Q184:Q187" si="435">+P184*$X$1</f>
        <v>36062.5</v>
      </c>
      <c r="R184" s="569">
        <f t="shared" ref="R184" si="436">F184+80</f>
        <v>36042.5</v>
      </c>
      <c r="S184" s="270">
        <f t="shared" ref="S184" si="437">+R184*$X$1</f>
        <v>36042.5</v>
      </c>
      <c r="T184" s="569">
        <f t="shared" ref="T184" si="438">F184+65</f>
        <v>36027.5</v>
      </c>
      <c r="U184" s="270">
        <f t="shared" si="405"/>
        <v>36027.5</v>
      </c>
      <c r="V184" s="569">
        <f t="shared" ref="V184" si="439">F184+56</f>
        <v>36018.5</v>
      </c>
      <c r="W184" s="270">
        <f t="shared" si="406"/>
        <v>36018.5</v>
      </c>
      <c r="X184" s="672"/>
      <c r="Y184" s="673"/>
      <c r="Z184" s="673"/>
      <c r="AA184" s="674"/>
      <c r="AB184" s="184">
        <v>402</v>
      </c>
    </row>
    <row r="185" spans="1:38" ht="12.6" customHeight="1" x14ac:dyDescent="0.2">
      <c r="A185" s="20"/>
      <c r="B185" s="741" t="s">
        <v>572</v>
      </c>
      <c r="C185" s="755"/>
      <c r="D185" s="755"/>
      <c r="E185" s="755"/>
      <c r="F185" s="352">
        <f>13.317*X2</f>
        <v>16646.25</v>
      </c>
      <c r="G185" s="286">
        <f t="shared" ref="G185" si="440">+F185*$X$1</f>
        <v>16646.25</v>
      </c>
      <c r="H185" s="427">
        <f t="shared" si="384"/>
        <v>17246.25</v>
      </c>
      <c r="I185" s="271">
        <f t="shared" ref="I185" si="441">+H185*$X$1</f>
        <v>17246.25</v>
      </c>
      <c r="J185" s="427">
        <f t="shared" si="428"/>
        <v>16846.25</v>
      </c>
      <c r="K185" s="271">
        <f t="shared" si="429"/>
        <v>16846.25</v>
      </c>
      <c r="L185" s="427">
        <f>F185+150</f>
        <v>16796.25</v>
      </c>
      <c r="M185" s="271">
        <f t="shared" ref="M185" si="442">+L185*$X$1</f>
        <v>16796.25</v>
      </c>
      <c r="N185" s="427">
        <f>F185+100</f>
        <v>16746.25</v>
      </c>
      <c r="O185" s="271">
        <f>+N185*$X$1</f>
        <v>16746.25</v>
      </c>
      <c r="P185" s="427">
        <f>F185+90</f>
        <v>16736.25</v>
      </c>
      <c r="Q185" s="271">
        <f t="shared" ref="Q185" si="443">+P185*$X$1</f>
        <v>16736.25</v>
      </c>
      <c r="R185" s="427">
        <f>F185+70</f>
        <v>16716.25</v>
      </c>
      <c r="S185" s="271">
        <f>+R185*$X$1</f>
        <v>16716.25</v>
      </c>
      <c r="T185" s="427">
        <f>F185+56</f>
        <v>16702.25</v>
      </c>
      <c r="U185" s="271">
        <f t="shared" ref="U185" si="444">+T185*$X$1</f>
        <v>16702.25</v>
      </c>
      <c r="V185" s="427">
        <f>F185+49</f>
        <v>16695.25</v>
      </c>
      <c r="W185" s="271">
        <f t="shared" ref="W185" si="445">+V185*$X$1</f>
        <v>16695.25</v>
      </c>
      <c r="X185" s="686"/>
      <c r="Y185" s="771"/>
      <c r="Z185" s="771"/>
      <c r="AA185" s="687"/>
      <c r="AB185" s="184" t="s">
        <v>573</v>
      </c>
    </row>
    <row r="186" spans="1:38" ht="12.6" customHeight="1" x14ac:dyDescent="0.2">
      <c r="A186" s="20"/>
      <c r="B186" s="703" t="s">
        <v>581</v>
      </c>
      <c r="C186" s="704"/>
      <c r="D186" s="704"/>
      <c r="E186" s="704"/>
      <c r="F186" s="351">
        <f>17.78*X2</f>
        <v>22225</v>
      </c>
      <c r="G186" s="246">
        <f t="shared" ref="G186" si="446">+F186*$X$1</f>
        <v>22225</v>
      </c>
      <c r="H186" s="569">
        <f t="shared" si="384"/>
        <v>22825</v>
      </c>
      <c r="I186" s="270">
        <f t="shared" si="427"/>
        <v>22825</v>
      </c>
      <c r="J186" s="569">
        <f t="shared" si="428"/>
        <v>22425</v>
      </c>
      <c r="K186" s="270">
        <f t="shared" si="429"/>
        <v>22425</v>
      </c>
      <c r="L186" s="569">
        <f>F186+150</f>
        <v>22375</v>
      </c>
      <c r="M186" s="270">
        <f t="shared" si="431"/>
        <v>22375</v>
      </c>
      <c r="N186" s="569">
        <f>F186+100</f>
        <v>22325</v>
      </c>
      <c r="O186" s="270">
        <f>+N186*$X$1</f>
        <v>22325</v>
      </c>
      <c r="P186" s="569">
        <f>F186+90</f>
        <v>22315</v>
      </c>
      <c r="Q186" s="270">
        <f t="shared" si="435"/>
        <v>22315</v>
      </c>
      <c r="R186" s="569">
        <f>F186+70</f>
        <v>22295</v>
      </c>
      <c r="S186" s="270">
        <f>+R186*$X$1</f>
        <v>22295</v>
      </c>
      <c r="T186" s="569">
        <f>F186+56</f>
        <v>22281</v>
      </c>
      <c r="U186" s="270">
        <f t="shared" ref="U186:U187" si="447">+T186*$X$1</f>
        <v>22281</v>
      </c>
      <c r="V186" s="569">
        <f>F186+49</f>
        <v>22274</v>
      </c>
      <c r="W186" s="270">
        <f t="shared" ref="W186:W187" si="448">+V186*$X$1</f>
        <v>22274</v>
      </c>
      <c r="X186" s="170"/>
      <c r="Y186" s="172"/>
      <c r="Z186" s="172"/>
      <c r="AA186" s="170"/>
      <c r="AB186" s="184" t="s">
        <v>580</v>
      </c>
    </row>
    <row r="187" spans="1:38" ht="12.6" customHeight="1" x14ac:dyDescent="0.2">
      <c r="A187" s="20"/>
      <c r="B187" s="741" t="s">
        <v>575</v>
      </c>
      <c r="C187" s="755"/>
      <c r="D187" s="755"/>
      <c r="E187" s="755"/>
      <c r="F187" s="352">
        <f>12.84*X2</f>
        <v>16050</v>
      </c>
      <c r="G187" s="286">
        <f t="shared" ref="G187" si="449">+F187*$X$1</f>
        <v>16050</v>
      </c>
      <c r="H187" s="427">
        <f t="shared" si="384"/>
        <v>16650</v>
      </c>
      <c r="I187" s="271">
        <f t="shared" si="427"/>
        <v>16650</v>
      </c>
      <c r="J187" s="85">
        <f t="shared" si="428"/>
        <v>16250</v>
      </c>
      <c r="K187" s="271">
        <f t="shared" si="429"/>
        <v>16250</v>
      </c>
      <c r="L187" s="427">
        <f t="shared" ref="L187" si="450">F187+150</f>
        <v>16200</v>
      </c>
      <c r="M187" s="271">
        <f t="shared" si="431"/>
        <v>16200</v>
      </c>
      <c r="N187" s="427">
        <f t="shared" ref="N187" si="451">F187+110</f>
        <v>16160</v>
      </c>
      <c r="O187" s="271">
        <f t="shared" ref="O187" si="452">+N187*$X$1</f>
        <v>16160</v>
      </c>
      <c r="P187" s="427">
        <f t="shared" ref="P187" si="453">F187+100</f>
        <v>16150</v>
      </c>
      <c r="Q187" s="271">
        <f t="shared" si="435"/>
        <v>16150</v>
      </c>
      <c r="R187" s="427">
        <f t="shared" ref="R187" si="454">F187+80</f>
        <v>16130</v>
      </c>
      <c r="S187" s="271">
        <f t="shared" ref="S187" si="455">+R187*$X$1</f>
        <v>16130</v>
      </c>
      <c r="T187" s="427">
        <f t="shared" ref="T187" si="456">F187+65</f>
        <v>16115</v>
      </c>
      <c r="U187" s="271">
        <f t="shared" si="447"/>
        <v>16115</v>
      </c>
      <c r="V187" s="427">
        <f t="shared" ref="V187" si="457">F187+56</f>
        <v>16106</v>
      </c>
      <c r="W187" s="271">
        <f t="shared" si="448"/>
        <v>16106</v>
      </c>
      <c r="X187" s="672"/>
      <c r="Y187" s="673"/>
      <c r="Z187" s="673"/>
      <c r="AA187" s="674"/>
      <c r="AB187" s="184" t="s">
        <v>574</v>
      </c>
    </row>
    <row r="188" spans="1:38" ht="12.6" customHeight="1" x14ac:dyDescent="0.2">
      <c r="A188" s="20"/>
      <c r="B188" s="703" t="s">
        <v>331</v>
      </c>
      <c r="C188" s="704"/>
      <c r="D188" s="704"/>
      <c r="E188" s="704"/>
      <c r="F188" s="351">
        <f>15.93*X2</f>
        <v>19912.5</v>
      </c>
      <c r="G188" s="246">
        <f t="shared" ref="G188:G189" si="458">+F188*$X$1</f>
        <v>19912.5</v>
      </c>
      <c r="H188" s="569"/>
      <c r="I188" s="270"/>
      <c r="J188" s="70">
        <f t="shared" si="428"/>
        <v>20112.5</v>
      </c>
      <c r="K188" s="270">
        <f t="shared" ref="K188" si="459">+J188*$X$1</f>
        <v>20112.5</v>
      </c>
      <c r="L188" s="569">
        <f t="shared" ref="L188" si="460">F188+150</f>
        <v>20062.5</v>
      </c>
      <c r="M188" s="270">
        <f t="shared" ref="M188" si="461">+L188*$X$1</f>
        <v>20062.5</v>
      </c>
      <c r="N188" s="569">
        <f t="shared" ref="N188" si="462">F188+110</f>
        <v>20022.5</v>
      </c>
      <c r="O188" s="270">
        <f t="shared" ref="O188" si="463">+N188*$X$1</f>
        <v>20022.5</v>
      </c>
      <c r="P188" s="569">
        <f t="shared" ref="P188" si="464">F188+100</f>
        <v>20012.5</v>
      </c>
      <c r="Q188" s="270">
        <f t="shared" ref="Q188" si="465">+P188*$X$1</f>
        <v>20012.5</v>
      </c>
      <c r="R188" s="569">
        <f t="shared" ref="R188" si="466">F188+80</f>
        <v>19992.5</v>
      </c>
      <c r="S188" s="270">
        <f t="shared" ref="S188" si="467">+R188*$X$1</f>
        <v>19992.5</v>
      </c>
      <c r="T188" s="569">
        <f t="shared" ref="T188" si="468">F188+65</f>
        <v>19977.5</v>
      </c>
      <c r="U188" s="270">
        <f t="shared" ref="U188" si="469">+T188*$X$1</f>
        <v>19977.5</v>
      </c>
      <c r="V188" s="70"/>
      <c r="W188" s="70"/>
      <c r="X188" s="672"/>
      <c r="Y188" s="673"/>
      <c r="Z188" s="673"/>
      <c r="AA188" s="674"/>
      <c r="AB188" s="184">
        <v>405</v>
      </c>
    </row>
    <row r="189" spans="1:38" ht="12.6" customHeight="1" x14ac:dyDescent="0.2">
      <c r="A189" s="20"/>
      <c r="B189" s="741" t="s">
        <v>579</v>
      </c>
      <c r="C189" s="755"/>
      <c r="D189" s="755"/>
      <c r="E189" s="755"/>
      <c r="F189" s="352">
        <f>15.6*X2</f>
        <v>19500</v>
      </c>
      <c r="G189" s="286">
        <f t="shared" si="458"/>
        <v>19500</v>
      </c>
      <c r="H189" s="427">
        <f>F189+600</f>
        <v>20100</v>
      </c>
      <c r="I189" s="271">
        <f t="shared" ref="I189:I190" si="470">+H189*$X$1</f>
        <v>20100</v>
      </c>
      <c r="J189" s="427">
        <f t="shared" si="428"/>
        <v>19700</v>
      </c>
      <c r="K189" s="271">
        <f t="shared" ref="K189:K190" si="471">+J189*$X$1</f>
        <v>19700</v>
      </c>
      <c r="L189" s="427">
        <f>F189+150</f>
        <v>19650</v>
      </c>
      <c r="M189" s="271">
        <f t="shared" ref="M189:M190" si="472">+L189*$X$1</f>
        <v>19650</v>
      </c>
      <c r="N189" s="427">
        <f>F189+100</f>
        <v>19600</v>
      </c>
      <c r="O189" s="271">
        <f>+N189*$X$1</f>
        <v>19600</v>
      </c>
      <c r="P189" s="427">
        <f>F189+90</f>
        <v>19590</v>
      </c>
      <c r="Q189" s="271">
        <f t="shared" ref="Q189:Q190" si="473">+P189*$X$1</f>
        <v>19590</v>
      </c>
      <c r="R189" s="427">
        <f>F189+70</f>
        <v>19570</v>
      </c>
      <c r="S189" s="271">
        <f>+R189*$X$1</f>
        <v>19570</v>
      </c>
      <c r="T189" s="427">
        <f>F189+56</f>
        <v>19556</v>
      </c>
      <c r="U189" s="271">
        <f t="shared" ref="U189:U190" si="474">+T189*$X$1</f>
        <v>19556</v>
      </c>
      <c r="V189" s="427">
        <f>F189+49</f>
        <v>19549</v>
      </c>
      <c r="W189" s="271">
        <f t="shared" ref="W189:W190" si="475">+V189*$X$1</f>
        <v>19549</v>
      </c>
      <c r="X189" s="686"/>
      <c r="Y189" s="771"/>
      <c r="Z189" s="771"/>
      <c r="AA189" s="687"/>
      <c r="AB189" s="184" t="s">
        <v>578</v>
      </c>
    </row>
    <row r="190" spans="1:38" ht="12.6" customHeight="1" x14ac:dyDescent="0.2">
      <c r="A190" s="20"/>
      <c r="B190" s="691" t="s">
        <v>577</v>
      </c>
      <c r="C190" s="692"/>
      <c r="D190" s="692"/>
      <c r="E190" s="692"/>
      <c r="F190" s="351">
        <f>16.54*X2</f>
        <v>20675</v>
      </c>
      <c r="G190" s="246">
        <f t="shared" ref="G190" si="476">+F190*$X$1</f>
        <v>20675</v>
      </c>
      <c r="H190" s="70">
        <f>F190+600</f>
        <v>21275</v>
      </c>
      <c r="I190" s="270">
        <f t="shared" si="470"/>
        <v>21275</v>
      </c>
      <c r="J190" s="569">
        <f>F190+220</f>
        <v>20895</v>
      </c>
      <c r="K190" s="270">
        <f t="shared" si="471"/>
        <v>20895</v>
      </c>
      <c r="L190" s="569">
        <f>F190+170</f>
        <v>20845</v>
      </c>
      <c r="M190" s="270">
        <f t="shared" si="472"/>
        <v>20845</v>
      </c>
      <c r="N190" s="569">
        <f>F190+120</f>
        <v>20795</v>
      </c>
      <c r="O190" s="270">
        <f t="shared" ref="O190" si="477">+N190*$X$1</f>
        <v>20795</v>
      </c>
      <c r="P190" s="569">
        <f>F190+110</f>
        <v>20785</v>
      </c>
      <c r="Q190" s="270">
        <f t="shared" si="473"/>
        <v>20785</v>
      </c>
      <c r="R190" s="569">
        <f>F190+95</f>
        <v>20770</v>
      </c>
      <c r="S190" s="270">
        <f t="shared" ref="S190" si="478">+R190*$X$1</f>
        <v>20770</v>
      </c>
      <c r="T190" s="569">
        <f>F190+85</f>
        <v>20760</v>
      </c>
      <c r="U190" s="270">
        <f t="shared" si="474"/>
        <v>20760</v>
      </c>
      <c r="V190" s="569">
        <f>F190+76</f>
        <v>20751</v>
      </c>
      <c r="W190" s="270">
        <f t="shared" si="475"/>
        <v>20751</v>
      </c>
      <c r="X190" s="672"/>
      <c r="Y190" s="673"/>
      <c r="Z190" s="673"/>
      <c r="AA190" s="674"/>
      <c r="AB190" s="184" t="s">
        <v>576</v>
      </c>
    </row>
    <row r="191" spans="1:38" ht="12.6" customHeight="1" x14ac:dyDescent="0.2">
      <c r="A191" s="25"/>
      <c r="B191" s="663" t="s">
        <v>599</v>
      </c>
      <c r="C191" s="664"/>
      <c r="D191" s="664"/>
      <c r="E191" s="664"/>
      <c r="F191" s="298">
        <v>180</v>
      </c>
      <c r="G191" s="464"/>
      <c r="H191" s="343"/>
      <c r="I191" s="665" t="s">
        <v>549</v>
      </c>
      <c r="J191" s="666"/>
      <c r="K191" s="666"/>
      <c r="L191" s="666"/>
      <c r="M191" s="667"/>
      <c r="N191" s="427">
        <f>F191+220</f>
        <v>400</v>
      </c>
      <c r="O191" s="271">
        <f t="shared" ref="O191" si="479">+N191*$X$1</f>
        <v>400</v>
      </c>
      <c r="P191" s="427">
        <f>F191+200</f>
        <v>380</v>
      </c>
      <c r="Q191" s="271">
        <f t="shared" ref="Q191" si="480">+P191*$X$1</f>
        <v>380</v>
      </c>
      <c r="R191" s="427">
        <f>F191+170</f>
        <v>350</v>
      </c>
      <c r="S191" s="271">
        <f t="shared" ref="S191" si="481">+R191*$X$1</f>
        <v>350</v>
      </c>
      <c r="T191" s="427">
        <f>F191+155</f>
        <v>335</v>
      </c>
      <c r="U191" s="271">
        <f t="shared" ref="U191" si="482">+T191*$X$1</f>
        <v>335</v>
      </c>
      <c r="V191" s="427">
        <f>F191+140</f>
        <v>320</v>
      </c>
      <c r="W191" s="271">
        <f t="shared" ref="W191" si="483">+V191*$X$1</f>
        <v>320</v>
      </c>
      <c r="X191" s="149"/>
      <c r="Y191" s="139"/>
      <c r="Z191" s="139"/>
      <c r="AA191" s="139"/>
      <c r="AB191" s="184">
        <v>415</v>
      </c>
    </row>
    <row r="192" spans="1:38" ht="12.6" customHeight="1" x14ac:dyDescent="0.2">
      <c r="A192" s="25"/>
      <c r="B192" s="691" t="s">
        <v>497</v>
      </c>
      <c r="C192" s="692"/>
      <c r="D192" s="692"/>
      <c r="E192" s="692"/>
      <c r="F192" s="287">
        <v>200</v>
      </c>
      <c r="G192" s="246"/>
      <c r="H192" s="344"/>
      <c r="I192" s="668"/>
      <c r="J192" s="668"/>
      <c r="K192" s="668"/>
      <c r="L192" s="668"/>
      <c r="M192" s="669"/>
      <c r="N192" s="569">
        <f>F192+220</f>
        <v>420</v>
      </c>
      <c r="O192" s="270">
        <f t="shared" ref="O192:O195" si="484">+N192*$X$1</f>
        <v>420</v>
      </c>
      <c r="P192" s="569">
        <f>F192+200</f>
        <v>400</v>
      </c>
      <c r="Q192" s="270">
        <f t="shared" ref="Q192:Q195" si="485">+P192*$X$1</f>
        <v>400</v>
      </c>
      <c r="R192" s="569">
        <f>F192+170</f>
        <v>370</v>
      </c>
      <c r="S192" s="270">
        <f t="shared" ref="S192:S195" si="486">+R192*$X$1</f>
        <v>370</v>
      </c>
      <c r="T192" s="569">
        <f>F192+155</f>
        <v>355</v>
      </c>
      <c r="U192" s="270">
        <f t="shared" ref="U192:U195" si="487">+T192*$X$1</f>
        <v>355</v>
      </c>
      <c r="V192" s="569">
        <f>F192+140</f>
        <v>340</v>
      </c>
      <c r="W192" s="270">
        <f t="shared" ref="W192:W195" si="488">+V192*$X$1</f>
        <v>340</v>
      </c>
      <c r="X192" s="149"/>
      <c r="Y192" s="139"/>
      <c r="Z192" s="139"/>
      <c r="AA192" s="139"/>
      <c r="AB192" s="184">
        <v>416</v>
      </c>
    </row>
    <row r="193" spans="1:38" ht="12.6" customHeight="1" x14ac:dyDescent="0.2">
      <c r="A193" s="25"/>
      <c r="B193" s="629" t="s">
        <v>498</v>
      </c>
      <c r="C193" s="638"/>
      <c r="D193" s="638"/>
      <c r="E193" s="638"/>
      <c r="F193" s="298">
        <v>193</v>
      </c>
      <c r="G193" s="286"/>
      <c r="H193" s="344"/>
      <c r="I193" s="668"/>
      <c r="J193" s="668"/>
      <c r="K193" s="668"/>
      <c r="L193" s="668"/>
      <c r="M193" s="669"/>
      <c r="N193" s="427">
        <f>F193+220</f>
        <v>413</v>
      </c>
      <c r="O193" s="271">
        <f t="shared" si="484"/>
        <v>413</v>
      </c>
      <c r="P193" s="427">
        <f>F193+200</f>
        <v>393</v>
      </c>
      <c r="Q193" s="271">
        <f t="shared" si="485"/>
        <v>393</v>
      </c>
      <c r="R193" s="427">
        <f>F193+170</f>
        <v>363</v>
      </c>
      <c r="S193" s="271">
        <f t="shared" si="486"/>
        <v>363</v>
      </c>
      <c r="T193" s="427">
        <f>F193+155</f>
        <v>348</v>
      </c>
      <c r="U193" s="271">
        <f t="shared" si="487"/>
        <v>348</v>
      </c>
      <c r="V193" s="427">
        <f>F193+140</f>
        <v>333</v>
      </c>
      <c r="W193" s="271">
        <f t="shared" si="488"/>
        <v>333</v>
      </c>
      <c r="X193" s="149"/>
      <c r="Y193" s="139"/>
      <c r="Z193" s="139"/>
      <c r="AA193" s="139"/>
      <c r="AB193" s="184">
        <v>417</v>
      </c>
    </row>
    <row r="194" spans="1:38" ht="12.6" customHeight="1" x14ac:dyDescent="0.2">
      <c r="A194" s="25"/>
      <c r="B194" s="691" t="s">
        <v>499</v>
      </c>
      <c r="C194" s="692"/>
      <c r="D194" s="692"/>
      <c r="E194" s="692"/>
      <c r="F194" s="287">
        <v>193</v>
      </c>
      <c r="G194" s="246"/>
      <c r="H194" s="345"/>
      <c r="I194" s="670"/>
      <c r="J194" s="670"/>
      <c r="K194" s="670"/>
      <c r="L194" s="670"/>
      <c r="M194" s="671"/>
      <c r="N194" s="569">
        <f>F194+220</f>
        <v>413</v>
      </c>
      <c r="O194" s="270">
        <f t="shared" si="484"/>
        <v>413</v>
      </c>
      <c r="P194" s="569">
        <f>F194+200</f>
        <v>393</v>
      </c>
      <c r="Q194" s="270">
        <f t="shared" si="485"/>
        <v>393</v>
      </c>
      <c r="R194" s="569">
        <f>F194+170</f>
        <v>363</v>
      </c>
      <c r="S194" s="270">
        <f t="shared" si="486"/>
        <v>363</v>
      </c>
      <c r="T194" s="569">
        <f>F194+155</f>
        <v>348</v>
      </c>
      <c r="U194" s="270">
        <f t="shared" si="487"/>
        <v>348</v>
      </c>
      <c r="V194" s="569">
        <f>F194+140</f>
        <v>333</v>
      </c>
      <c r="W194" s="270">
        <f t="shared" si="488"/>
        <v>333</v>
      </c>
      <c r="X194" s="149"/>
      <c r="Y194" s="139"/>
      <c r="Z194" s="139"/>
      <c r="AA194" s="139"/>
      <c r="AB194" s="184">
        <v>418</v>
      </c>
    </row>
    <row r="195" spans="1:38" ht="12.6" customHeight="1" x14ac:dyDescent="0.2">
      <c r="A195" s="25"/>
      <c r="B195" s="629" t="s">
        <v>181</v>
      </c>
      <c r="C195" s="638"/>
      <c r="D195" s="638"/>
      <c r="E195" s="638"/>
      <c r="F195" s="355">
        <v>896</v>
      </c>
      <c r="G195" s="298">
        <f t="shared" ref="G195:G208" si="489">+F195*$X$1</f>
        <v>896</v>
      </c>
      <c r="H195" s="269"/>
      <c r="I195" s="326"/>
      <c r="J195" s="112"/>
      <c r="K195" s="463"/>
      <c r="L195" s="427">
        <f>F195+170</f>
        <v>1066</v>
      </c>
      <c r="M195" s="271">
        <f t="shared" ref="M195" si="490">+L195*$X$1</f>
        <v>1066</v>
      </c>
      <c r="N195" s="427">
        <f>F195+120</f>
        <v>1016</v>
      </c>
      <c r="O195" s="271">
        <f t="shared" si="484"/>
        <v>1016</v>
      </c>
      <c r="P195" s="427">
        <f>F195+110</f>
        <v>1006</v>
      </c>
      <c r="Q195" s="271">
        <f t="shared" si="485"/>
        <v>1006</v>
      </c>
      <c r="R195" s="427">
        <f>F195+95</f>
        <v>991</v>
      </c>
      <c r="S195" s="271">
        <f t="shared" si="486"/>
        <v>991</v>
      </c>
      <c r="T195" s="427">
        <f>F195+85</f>
        <v>981</v>
      </c>
      <c r="U195" s="271">
        <f t="shared" si="487"/>
        <v>981</v>
      </c>
      <c r="V195" s="427">
        <f>F195+76</f>
        <v>972</v>
      </c>
      <c r="W195" s="271">
        <f t="shared" si="488"/>
        <v>972</v>
      </c>
      <c r="X195" s="782"/>
      <c r="Y195" s="783"/>
      <c r="Z195" s="783"/>
      <c r="AA195" s="784"/>
      <c r="AB195" s="384">
        <v>421</v>
      </c>
    </row>
    <row r="196" spans="1:38" ht="12.6" customHeight="1" x14ac:dyDescent="0.2">
      <c r="A196" s="25"/>
      <c r="B196" s="691" t="s">
        <v>554</v>
      </c>
      <c r="C196" s="692"/>
      <c r="D196" s="692"/>
      <c r="E196" s="692"/>
      <c r="F196" s="356">
        <v>813</v>
      </c>
      <c r="G196" s="287">
        <f t="shared" si="489"/>
        <v>813</v>
      </c>
      <c r="H196" s="954" t="s">
        <v>584</v>
      </c>
      <c r="I196" s="955"/>
      <c r="J196" s="955"/>
      <c r="K196" s="956"/>
      <c r="L196" s="569">
        <f>F196+220</f>
        <v>1033</v>
      </c>
      <c r="M196" s="270">
        <f t="shared" ref="M196" si="491">+L196*$X$1</f>
        <v>1033</v>
      </c>
      <c r="N196" s="569">
        <f>F196+150</f>
        <v>963</v>
      </c>
      <c r="O196" s="270">
        <f t="shared" ref="O196" si="492">+N196*$X$1</f>
        <v>963</v>
      </c>
      <c r="P196" s="569">
        <f>F196+130</f>
        <v>943</v>
      </c>
      <c r="Q196" s="270">
        <f t="shared" ref="Q196" si="493">+P196*$X$1</f>
        <v>943</v>
      </c>
      <c r="R196" s="569">
        <f>F196+115</f>
        <v>928</v>
      </c>
      <c r="S196" s="270">
        <f t="shared" ref="S196" si="494">+R196*$X$1</f>
        <v>928</v>
      </c>
      <c r="T196" s="97">
        <f>F196+108</f>
        <v>921</v>
      </c>
      <c r="U196" s="246">
        <f t="shared" ref="U196" si="495">+T196*$X$1</f>
        <v>921</v>
      </c>
      <c r="V196" s="569">
        <f>F196+101</f>
        <v>914</v>
      </c>
      <c r="W196" s="270">
        <f t="shared" ref="W196" si="496">+V196*$X$1</f>
        <v>914</v>
      </c>
      <c r="X196" s="782"/>
      <c r="Y196" s="783"/>
      <c r="Z196" s="783"/>
      <c r="AA196" s="784"/>
      <c r="AB196" s="384" t="s">
        <v>685</v>
      </c>
    </row>
    <row r="197" spans="1:38" ht="12.6" customHeight="1" x14ac:dyDescent="0.2">
      <c r="A197" s="25"/>
      <c r="B197" s="629" t="s">
        <v>551</v>
      </c>
      <c r="C197" s="638"/>
      <c r="D197" s="638"/>
      <c r="E197" s="638"/>
      <c r="F197" s="355">
        <v>813</v>
      </c>
      <c r="G197" s="298">
        <f t="shared" si="489"/>
        <v>813</v>
      </c>
      <c r="H197" s="957"/>
      <c r="I197" s="958"/>
      <c r="J197" s="958"/>
      <c r="K197" s="959"/>
      <c r="L197" s="427">
        <f t="shared" ref="L197:L200" si="497">F197+220</f>
        <v>1033</v>
      </c>
      <c r="M197" s="271">
        <f t="shared" ref="M197:M199" si="498">+L197*$X$1</f>
        <v>1033</v>
      </c>
      <c r="N197" s="569">
        <f t="shared" ref="N197:N200" si="499">F197+150</f>
        <v>963</v>
      </c>
      <c r="O197" s="271">
        <f t="shared" ref="O197:O199" si="500">+N197*$X$1</f>
        <v>963</v>
      </c>
      <c r="P197" s="427">
        <f t="shared" ref="P197:P200" si="501">F197+130</f>
        <v>943</v>
      </c>
      <c r="Q197" s="271">
        <f t="shared" ref="Q197:Q200" si="502">+P197*$X$1</f>
        <v>943</v>
      </c>
      <c r="R197" s="569">
        <f t="shared" ref="R197:R200" si="503">F197+115</f>
        <v>928</v>
      </c>
      <c r="S197" s="271">
        <f t="shared" ref="S197:S199" si="504">+R197*$X$1</f>
        <v>928</v>
      </c>
      <c r="T197" s="97">
        <f t="shared" ref="T197:T200" si="505">F197+108</f>
        <v>921</v>
      </c>
      <c r="U197" s="286">
        <f t="shared" ref="U197:U199" si="506">+T197*$X$1</f>
        <v>921</v>
      </c>
      <c r="V197" s="569">
        <f t="shared" ref="V197:V200" si="507">F197+101</f>
        <v>914</v>
      </c>
      <c r="W197" s="271">
        <f t="shared" ref="W197:W199" si="508">+V197*$X$1</f>
        <v>914</v>
      </c>
      <c r="X197" s="782"/>
      <c r="Y197" s="783"/>
      <c r="Z197" s="783"/>
      <c r="AA197" s="784"/>
      <c r="AB197" s="384" t="s">
        <v>680</v>
      </c>
    </row>
    <row r="198" spans="1:38" ht="12.6" customHeight="1" x14ac:dyDescent="0.2">
      <c r="A198" s="25"/>
      <c r="B198" s="691" t="s">
        <v>550</v>
      </c>
      <c r="C198" s="692"/>
      <c r="D198" s="692"/>
      <c r="E198" s="692"/>
      <c r="F198" s="356">
        <v>813</v>
      </c>
      <c r="G198" s="287">
        <f t="shared" si="489"/>
        <v>813</v>
      </c>
      <c r="H198" s="957"/>
      <c r="I198" s="958"/>
      <c r="J198" s="958"/>
      <c r="K198" s="959"/>
      <c r="L198" s="569">
        <f t="shared" si="497"/>
        <v>1033</v>
      </c>
      <c r="M198" s="270">
        <f t="shared" si="498"/>
        <v>1033</v>
      </c>
      <c r="N198" s="569">
        <f t="shared" si="499"/>
        <v>963</v>
      </c>
      <c r="O198" s="270">
        <f t="shared" si="500"/>
        <v>963</v>
      </c>
      <c r="P198" s="569">
        <f t="shared" si="501"/>
        <v>943</v>
      </c>
      <c r="Q198" s="270">
        <f t="shared" si="502"/>
        <v>943</v>
      </c>
      <c r="R198" s="569">
        <f t="shared" si="503"/>
        <v>928</v>
      </c>
      <c r="S198" s="270">
        <f t="shared" si="504"/>
        <v>928</v>
      </c>
      <c r="T198" s="97">
        <f t="shared" si="505"/>
        <v>921</v>
      </c>
      <c r="U198" s="246">
        <f t="shared" si="506"/>
        <v>921</v>
      </c>
      <c r="V198" s="569">
        <f t="shared" si="507"/>
        <v>914</v>
      </c>
      <c r="W198" s="270">
        <f t="shared" si="508"/>
        <v>914</v>
      </c>
      <c r="X198" s="782"/>
      <c r="Y198" s="783"/>
      <c r="Z198" s="783"/>
      <c r="AA198" s="784"/>
      <c r="AB198" s="384" t="s">
        <v>682</v>
      </c>
    </row>
    <row r="199" spans="1:38" ht="12.6" customHeight="1" x14ac:dyDescent="0.2">
      <c r="A199" s="25"/>
      <c r="B199" s="629" t="s">
        <v>553</v>
      </c>
      <c r="C199" s="638"/>
      <c r="D199" s="638"/>
      <c r="E199" s="638"/>
      <c r="F199" s="355">
        <v>813</v>
      </c>
      <c r="G199" s="298">
        <f t="shared" si="489"/>
        <v>813</v>
      </c>
      <c r="H199" s="957"/>
      <c r="I199" s="958"/>
      <c r="J199" s="958"/>
      <c r="K199" s="959"/>
      <c r="L199" s="427">
        <f t="shared" si="497"/>
        <v>1033</v>
      </c>
      <c r="M199" s="271">
        <f t="shared" si="498"/>
        <v>1033</v>
      </c>
      <c r="N199" s="569">
        <f t="shared" si="499"/>
        <v>963</v>
      </c>
      <c r="O199" s="271">
        <f t="shared" si="500"/>
        <v>963</v>
      </c>
      <c r="P199" s="427">
        <f t="shared" si="501"/>
        <v>943</v>
      </c>
      <c r="Q199" s="271">
        <f t="shared" si="502"/>
        <v>943</v>
      </c>
      <c r="R199" s="569">
        <f t="shared" si="503"/>
        <v>928</v>
      </c>
      <c r="S199" s="271">
        <f t="shared" si="504"/>
        <v>928</v>
      </c>
      <c r="T199" s="97">
        <f t="shared" si="505"/>
        <v>921</v>
      </c>
      <c r="U199" s="286">
        <f t="shared" si="506"/>
        <v>921</v>
      </c>
      <c r="V199" s="569">
        <f t="shared" si="507"/>
        <v>914</v>
      </c>
      <c r="W199" s="271">
        <f t="shared" si="508"/>
        <v>914</v>
      </c>
      <c r="X199" s="1003"/>
      <c r="Y199" s="1004"/>
      <c r="Z199" s="1004"/>
      <c r="AA199" s="1005"/>
      <c r="AB199" s="384" t="s">
        <v>681</v>
      </c>
    </row>
    <row r="200" spans="1:38" ht="12.6" customHeight="1" x14ac:dyDescent="0.2">
      <c r="A200" s="25"/>
      <c r="B200" s="691" t="s">
        <v>684</v>
      </c>
      <c r="C200" s="692"/>
      <c r="D200" s="692"/>
      <c r="E200" s="692"/>
      <c r="F200" s="356">
        <v>890</v>
      </c>
      <c r="G200" s="287">
        <f t="shared" ref="G200" si="509">+F200*$X$1</f>
        <v>890</v>
      </c>
      <c r="H200" s="957"/>
      <c r="I200" s="958"/>
      <c r="J200" s="958"/>
      <c r="K200" s="959"/>
      <c r="L200" s="569">
        <f t="shared" si="497"/>
        <v>1110</v>
      </c>
      <c r="M200" s="270">
        <f t="shared" ref="M200" si="510">+L200*$X$1</f>
        <v>1110</v>
      </c>
      <c r="N200" s="569">
        <f t="shared" si="499"/>
        <v>1040</v>
      </c>
      <c r="O200" s="270">
        <f t="shared" ref="O200" si="511">+N200*$X$1</f>
        <v>1040</v>
      </c>
      <c r="P200" s="569">
        <f t="shared" si="501"/>
        <v>1020</v>
      </c>
      <c r="Q200" s="270">
        <f t="shared" si="502"/>
        <v>1020</v>
      </c>
      <c r="R200" s="569">
        <f t="shared" si="503"/>
        <v>1005</v>
      </c>
      <c r="S200" s="270">
        <f t="shared" ref="S200" si="512">+R200*$X$1</f>
        <v>1005</v>
      </c>
      <c r="T200" s="97">
        <f t="shared" si="505"/>
        <v>998</v>
      </c>
      <c r="U200" s="246">
        <f t="shared" ref="U200" si="513">+T200*$X$1</f>
        <v>998</v>
      </c>
      <c r="V200" s="569">
        <f t="shared" si="507"/>
        <v>991</v>
      </c>
      <c r="W200" s="270">
        <f t="shared" ref="W200" si="514">+V200*$X$1</f>
        <v>991</v>
      </c>
      <c r="X200" s="782"/>
      <c r="Y200" s="783"/>
      <c r="Z200" s="783"/>
      <c r="AA200" s="784"/>
      <c r="AB200" s="384" t="s">
        <v>683</v>
      </c>
    </row>
    <row r="201" spans="1:38" ht="12.6" customHeight="1" x14ac:dyDescent="0.2">
      <c r="A201" s="25"/>
      <c r="B201" s="629" t="s">
        <v>552</v>
      </c>
      <c r="C201" s="638"/>
      <c r="D201" s="638"/>
      <c r="E201" s="638"/>
      <c r="F201" s="355">
        <v>906</v>
      </c>
      <c r="G201" s="298">
        <f t="shared" si="489"/>
        <v>906</v>
      </c>
      <c r="H201" s="960"/>
      <c r="I201" s="961"/>
      <c r="J201" s="961"/>
      <c r="K201" s="962"/>
      <c r="L201" s="427">
        <f>F201+250</f>
        <v>1156</v>
      </c>
      <c r="M201" s="271">
        <f t="shared" ref="M201:M205" si="515">+L201*$X$1</f>
        <v>1156</v>
      </c>
      <c r="N201" s="427">
        <f>F201+180</f>
        <v>1086</v>
      </c>
      <c r="O201" s="271">
        <f t="shared" ref="O201:O205" si="516">+N201*$X$1</f>
        <v>1086</v>
      </c>
      <c r="P201" s="427">
        <f>F201+160</f>
        <v>1066</v>
      </c>
      <c r="Q201" s="271">
        <f t="shared" ref="Q201:Q205" si="517">+P201*$X$1</f>
        <v>1066</v>
      </c>
      <c r="R201" s="427">
        <f>F201+145</f>
        <v>1051</v>
      </c>
      <c r="S201" s="271">
        <f t="shared" ref="S201:S205" si="518">+R201*$X$1</f>
        <v>1051</v>
      </c>
      <c r="T201" s="96">
        <f>F201+135</f>
        <v>1041</v>
      </c>
      <c r="U201" s="286">
        <f t="shared" ref="U201:U205" si="519">+T201*$X$1</f>
        <v>1041</v>
      </c>
      <c r="V201" s="427">
        <f>F201+130</f>
        <v>1036</v>
      </c>
      <c r="W201" s="271">
        <f t="shared" ref="W201:W205" si="520">+V201*$X$1</f>
        <v>1036</v>
      </c>
      <c r="X201" s="782"/>
      <c r="Y201" s="783"/>
      <c r="Z201" s="783"/>
      <c r="AA201" s="784"/>
      <c r="AB201" s="384" t="s">
        <v>679</v>
      </c>
    </row>
    <row r="202" spans="1:38" ht="12.6" customHeight="1" x14ac:dyDescent="0.2">
      <c r="A202" s="98"/>
      <c r="B202" s="848" t="s">
        <v>903</v>
      </c>
      <c r="C202" s="849"/>
      <c r="D202" s="849"/>
      <c r="E202" s="849"/>
      <c r="F202" s="462">
        <f>0.89*X2</f>
        <v>1112.5</v>
      </c>
      <c r="G202" s="618">
        <f t="shared" si="489"/>
        <v>1112.5</v>
      </c>
      <c r="H202" s="361"/>
      <c r="I202" s="309"/>
      <c r="J202" s="563"/>
      <c r="K202" s="309"/>
      <c r="L202" s="569">
        <f t="shared" ref="L202:L205" si="521">F202+150</f>
        <v>1262.5</v>
      </c>
      <c r="M202" s="270">
        <f t="shared" si="515"/>
        <v>1262.5</v>
      </c>
      <c r="N202" s="569">
        <f t="shared" ref="N202:N205" si="522">F202+110</f>
        <v>1222.5</v>
      </c>
      <c r="O202" s="270">
        <f t="shared" si="516"/>
        <v>1222.5</v>
      </c>
      <c r="P202" s="569">
        <f t="shared" ref="P202:P205" si="523">F202+100</f>
        <v>1212.5</v>
      </c>
      <c r="Q202" s="270">
        <f t="shared" si="517"/>
        <v>1212.5</v>
      </c>
      <c r="R202" s="569">
        <f t="shared" ref="R202:R205" si="524">F202+80</f>
        <v>1192.5</v>
      </c>
      <c r="S202" s="270">
        <f t="shared" si="518"/>
        <v>1192.5</v>
      </c>
      <c r="T202" s="569">
        <f t="shared" ref="T202:T205" si="525">F202+65</f>
        <v>1177.5</v>
      </c>
      <c r="U202" s="270">
        <f t="shared" si="519"/>
        <v>1177.5</v>
      </c>
      <c r="V202" s="569">
        <f t="shared" ref="V202:V205" si="526">F202+56</f>
        <v>1168.5</v>
      </c>
      <c r="W202" s="270">
        <f t="shared" si="520"/>
        <v>1168.5</v>
      </c>
      <c r="X202" s="139"/>
      <c r="Y202" s="148"/>
      <c r="Z202" s="139"/>
      <c r="AA202" s="139"/>
      <c r="AB202" s="184">
        <v>425</v>
      </c>
    </row>
    <row r="203" spans="1:38" ht="12.6" customHeight="1" x14ac:dyDescent="0.2">
      <c r="A203" s="98"/>
      <c r="B203" s="629" t="s">
        <v>804</v>
      </c>
      <c r="C203" s="701"/>
      <c r="D203" s="701"/>
      <c r="E203" s="701"/>
      <c r="F203" s="352">
        <f>0.61*X2</f>
        <v>762.5</v>
      </c>
      <c r="G203" s="271">
        <f t="shared" ref="G203" si="527">+F203*$X$1</f>
        <v>762.5</v>
      </c>
      <c r="H203" s="94"/>
      <c r="I203" s="308"/>
      <c r="J203" s="562"/>
      <c r="K203" s="308"/>
      <c r="L203" s="427">
        <f t="shared" si="521"/>
        <v>912.5</v>
      </c>
      <c r="M203" s="271">
        <f t="shared" si="515"/>
        <v>912.5</v>
      </c>
      <c r="N203" s="427">
        <f t="shared" si="522"/>
        <v>872.5</v>
      </c>
      <c r="O203" s="271">
        <f t="shared" si="516"/>
        <v>872.5</v>
      </c>
      <c r="P203" s="427">
        <f t="shared" si="523"/>
        <v>862.5</v>
      </c>
      <c r="Q203" s="271">
        <f t="shared" si="517"/>
        <v>862.5</v>
      </c>
      <c r="R203" s="427">
        <f t="shared" si="524"/>
        <v>842.5</v>
      </c>
      <c r="S203" s="271">
        <f t="shared" si="518"/>
        <v>842.5</v>
      </c>
      <c r="T203" s="427">
        <f t="shared" si="525"/>
        <v>827.5</v>
      </c>
      <c r="U203" s="271">
        <f t="shared" si="519"/>
        <v>827.5</v>
      </c>
      <c r="V203" s="427">
        <f t="shared" si="526"/>
        <v>818.5</v>
      </c>
      <c r="W203" s="271">
        <f t="shared" si="520"/>
        <v>818.5</v>
      </c>
      <c r="X203" s="139"/>
      <c r="Y203" s="148"/>
      <c r="Z203" s="139"/>
      <c r="AA203" s="139"/>
      <c r="AB203" s="184">
        <v>426</v>
      </c>
    </row>
    <row r="204" spans="1:38" ht="12.6" customHeight="1" x14ac:dyDescent="0.2">
      <c r="A204" s="98"/>
      <c r="B204" s="691" t="s">
        <v>467</v>
      </c>
      <c r="C204" s="692"/>
      <c r="D204" s="692"/>
      <c r="E204" s="692"/>
      <c r="F204" s="351">
        <f>0.65*X2</f>
        <v>812.5</v>
      </c>
      <c r="G204" s="270">
        <f t="shared" si="489"/>
        <v>812.5</v>
      </c>
      <c r="H204" s="361"/>
      <c r="I204" s="309"/>
      <c r="J204" s="563"/>
      <c r="K204" s="309"/>
      <c r="L204" s="569">
        <f t="shared" si="521"/>
        <v>962.5</v>
      </c>
      <c r="M204" s="270">
        <f t="shared" si="515"/>
        <v>962.5</v>
      </c>
      <c r="N204" s="569">
        <f t="shared" si="522"/>
        <v>922.5</v>
      </c>
      <c r="O204" s="270">
        <f t="shared" si="516"/>
        <v>922.5</v>
      </c>
      <c r="P204" s="569">
        <f t="shared" si="523"/>
        <v>912.5</v>
      </c>
      <c r="Q204" s="270">
        <f t="shared" si="517"/>
        <v>912.5</v>
      </c>
      <c r="R204" s="569">
        <f t="shared" si="524"/>
        <v>892.5</v>
      </c>
      <c r="S204" s="270">
        <f t="shared" si="518"/>
        <v>892.5</v>
      </c>
      <c r="T204" s="569">
        <f t="shared" si="525"/>
        <v>877.5</v>
      </c>
      <c r="U204" s="270">
        <f t="shared" si="519"/>
        <v>877.5</v>
      </c>
      <c r="V204" s="569">
        <f t="shared" si="526"/>
        <v>868.5</v>
      </c>
      <c r="W204" s="270">
        <f t="shared" si="520"/>
        <v>868.5</v>
      </c>
      <c r="X204" s="139"/>
      <c r="Y204" s="148"/>
      <c r="Z204" s="139"/>
      <c r="AA204" s="139"/>
      <c r="AB204" s="184" t="s">
        <v>516</v>
      </c>
    </row>
    <row r="205" spans="1:38" ht="12.6" customHeight="1" x14ac:dyDescent="0.2">
      <c r="A205" s="98"/>
      <c r="B205" s="629" t="s">
        <v>457</v>
      </c>
      <c r="C205" s="638"/>
      <c r="D205" s="638"/>
      <c r="E205" s="638"/>
      <c r="F205" s="352">
        <f>0.69*X2</f>
        <v>862.49999999999989</v>
      </c>
      <c r="G205" s="271">
        <f t="shared" ref="G205:G206" si="528">+F205*$X$1</f>
        <v>862.49999999999989</v>
      </c>
      <c r="H205" s="94"/>
      <c r="I205" s="308"/>
      <c r="J205" s="562"/>
      <c r="K205" s="308"/>
      <c r="L205" s="626">
        <f t="shared" si="521"/>
        <v>1012.4999999999999</v>
      </c>
      <c r="M205" s="271">
        <f t="shared" si="515"/>
        <v>1012.4999999999999</v>
      </c>
      <c r="N205" s="626">
        <f t="shared" si="522"/>
        <v>972.49999999999989</v>
      </c>
      <c r="O205" s="271">
        <f t="shared" si="516"/>
        <v>972.49999999999989</v>
      </c>
      <c r="P205" s="626">
        <f t="shared" si="523"/>
        <v>962.49999999999989</v>
      </c>
      <c r="Q205" s="271">
        <f t="shared" si="517"/>
        <v>962.49999999999989</v>
      </c>
      <c r="R205" s="626">
        <f t="shared" si="524"/>
        <v>942.49999999999989</v>
      </c>
      <c r="S205" s="271">
        <f t="shared" si="518"/>
        <v>942.49999999999989</v>
      </c>
      <c r="T205" s="626">
        <f t="shared" si="525"/>
        <v>927.49999999999989</v>
      </c>
      <c r="U205" s="271">
        <f t="shared" si="519"/>
        <v>927.49999999999989</v>
      </c>
      <c r="V205" s="626">
        <f t="shared" si="526"/>
        <v>918.49999999999989</v>
      </c>
      <c r="W205" s="271">
        <f t="shared" si="520"/>
        <v>918.49999999999989</v>
      </c>
      <c r="X205" s="139"/>
      <c r="Y205" s="148"/>
      <c r="Z205" s="139"/>
      <c r="AA205" s="139"/>
      <c r="AB205" s="184">
        <v>428</v>
      </c>
    </row>
    <row r="206" spans="1:38" s="1" customFormat="1" ht="12.6" customHeight="1" x14ac:dyDescent="0.2">
      <c r="A206" s="19"/>
      <c r="B206" s="735" t="s">
        <v>901</v>
      </c>
      <c r="C206" s="736"/>
      <c r="D206" s="736"/>
      <c r="E206" s="737"/>
      <c r="F206" s="487">
        <f>11.67*X2</f>
        <v>14587.5</v>
      </c>
      <c r="G206" s="270">
        <f t="shared" si="528"/>
        <v>14587.5</v>
      </c>
      <c r="H206" s="70">
        <f>F206+600</f>
        <v>15187.5</v>
      </c>
      <c r="I206" s="270">
        <f t="shared" ref="I206:I207" si="529">+H206*$X$1</f>
        <v>15187.5</v>
      </c>
      <c r="J206" s="569">
        <f>F206+220</f>
        <v>14807.5</v>
      </c>
      <c r="K206" s="270">
        <f t="shared" ref="K206:K207" si="530">+J206*$X$1</f>
        <v>14807.5</v>
      </c>
      <c r="L206" s="569">
        <f>F206+170</f>
        <v>14757.5</v>
      </c>
      <c r="M206" s="270">
        <f t="shared" ref="M206:M207" si="531">+L206*$X$1</f>
        <v>14757.5</v>
      </c>
      <c r="N206" s="569">
        <f>F206+120</f>
        <v>14707.5</v>
      </c>
      <c r="O206" s="270">
        <f t="shared" ref="O206" si="532">+N206*$X$1</f>
        <v>14707.5</v>
      </c>
      <c r="P206" s="569">
        <f>F206+110</f>
        <v>14697.5</v>
      </c>
      <c r="Q206" s="270">
        <f t="shared" ref="Q206:Q207" si="533">+P206*$X$1</f>
        <v>14697.5</v>
      </c>
      <c r="R206" s="569">
        <f>F206+95</f>
        <v>14682.5</v>
      </c>
      <c r="S206" s="270">
        <f t="shared" ref="S206" si="534">+R206*$X$1</f>
        <v>14682.5</v>
      </c>
      <c r="T206" s="569">
        <f>F206+85</f>
        <v>14672.5</v>
      </c>
      <c r="U206" s="270">
        <f t="shared" ref="U206:U207" si="535">+T206*$X$1</f>
        <v>14672.5</v>
      </c>
      <c r="V206" s="569">
        <f>F206+76</f>
        <v>14663.5</v>
      </c>
      <c r="W206" s="270">
        <f t="shared" ref="W206:W207" si="536">+V206*$X$1</f>
        <v>14663.5</v>
      </c>
      <c r="X206" s="545"/>
      <c r="Y206" s="546"/>
      <c r="Z206" s="546"/>
      <c r="AA206" s="547"/>
      <c r="AB206" s="184">
        <v>430</v>
      </c>
      <c r="AC206" s="4"/>
      <c r="AD206" s="4"/>
      <c r="AE206" s="4"/>
      <c r="AF206" s="4"/>
      <c r="AG206" s="4"/>
      <c r="AH206" s="120"/>
      <c r="AI206" s="4"/>
      <c r="AJ206" s="4"/>
      <c r="AK206" s="4"/>
      <c r="AL206" s="4"/>
    </row>
    <row r="207" spans="1:38" s="1" customFormat="1" ht="12.6" customHeight="1" x14ac:dyDescent="0.2">
      <c r="A207" s="19"/>
      <c r="B207" s="735" t="s">
        <v>902</v>
      </c>
      <c r="C207" s="736"/>
      <c r="D207" s="736"/>
      <c r="E207" s="737"/>
      <c r="F207" s="534">
        <f>12.7*X2</f>
        <v>15875</v>
      </c>
      <c r="G207" s="271">
        <f t="shared" ref="G207" si="537">+F207*$X$1</f>
        <v>15875</v>
      </c>
      <c r="H207" s="427">
        <f>F207+600</f>
        <v>16475</v>
      </c>
      <c r="I207" s="271">
        <f t="shared" si="529"/>
        <v>16475</v>
      </c>
      <c r="J207" s="427">
        <f>F207+200</f>
        <v>16075</v>
      </c>
      <c r="K207" s="271">
        <f t="shared" si="530"/>
        <v>16075</v>
      </c>
      <c r="L207" s="427">
        <f>F207+150</f>
        <v>16025</v>
      </c>
      <c r="M207" s="271">
        <f t="shared" si="531"/>
        <v>16025</v>
      </c>
      <c r="N207" s="427">
        <f>F207+100</f>
        <v>15975</v>
      </c>
      <c r="O207" s="271">
        <f>+N207*$X$1</f>
        <v>15975</v>
      </c>
      <c r="P207" s="427">
        <f>F207+90</f>
        <v>15965</v>
      </c>
      <c r="Q207" s="271">
        <f t="shared" si="533"/>
        <v>15965</v>
      </c>
      <c r="R207" s="427">
        <f>F207+70</f>
        <v>15945</v>
      </c>
      <c r="S207" s="271">
        <f>+R207*$X$1</f>
        <v>15945</v>
      </c>
      <c r="T207" s="427">
        <f>F207+56</f>
        <v>15931</v>
      </c>
      <c r="U207" s="271">
        <f t="shared" si="535"/>
        <v>15931</v>
      </c>
      <c r="V207" s="427">
        <f>F207+49</f>
        <v>15924</v>
      </c>
      <c r="W207" s="271">
        <f t="shared" si="536"/>
        <v>15924</v>
      </c>
      <c r="X207" s="551"/>
      <c r="Y207" s="553"/>
      <c r="Z207" s="553"/>
      <c r="AA207" s="552"/>
      <c r="AB207" s="184">
        <v>431</v>
      </c>
      <c r="AC207" s="4"/>
      <c r="AD207" s="4"/>
      <c r="AE207" s="4"/>
      <c r="AF207" s="4"/>
      <c r="AG207" s="4"/>
      <c r="AH207" s="120"/>
      <c r="AI207" s="4"/>
      <c r="AJ207" s="4"/>
      <c r="AK207" s="4"/>
      <c r="AL207" s="4"/>
    </row>
    <row r="208" spans="1:38" ht="12.6" customHeight="1" x14ac:dyDescent="0.2">
      <c r="A208" s="18"/>
      <c r="B208" s="691" t="s">
        <v>182</v>
      </c>
      <c r="C208" s="692"/>
      <c r="D208" s="692"/>
      <c r="E208" s="692"/>
      <c r="F208" s="351">
        <f>1.53*X2</f>
        <v>1912.5</v>
      </c>
      <c r="G208" s="270">
        <f t="shared" si="489"/>
        <v>1912.5</v>
      </c>
      <c r="H208" s="569">
        <f>F208+600</f>
        <v>2512.5</v>
      </c>
      <c r="I208" s="270">
        <f t="shared" ref="I208" si="538">+H208*$X$1</f>
        <v>2512.5</v>
      </c>
      <c r="J208" s="70">
        <f>F208+200</f>
        <v>2112.5</v>
      </c>
      <c r="K208" s="270">
        <f t="shared" ref="K208" si="539">+J208*$X$1</f>
        <v>2112.5</v>
      </c>
      <c r="L208" s="569">
        <f t="shared" ref="L208" si="540">F208+150</f>
        <v>2062.5</v>
      </c>
      <c r="M208" s="270">
        <f t="shared" ref="M208" si="541">+L208*$X$1</f>
        <v>2062.5</v>
      </c>
      <c r="N208" s="569">
        <f t="shared" ref="N208" si="542">F208+110</f>
        <v>2022.5</v>
      </c>
      <c r="O208" s="270">
        <f t="shared" ref="O208" si="543">+N208*$X$1</f>
        <v>2022.5</v>
      </c>
      <c r="P208" s="569">
        <f t="shared" ref="P208" si="544">F208+100</f>
        <v>2012.5</v>
      </c>
      <c r="Q208" s="270">
        <f t="shared" ref="Q208" si="545">+P208*$X$1</f>
        <v>2012.5</v>
      </c>
      <c r="R208" s="569">
        <f t="shared" ref="R208" si="546">F208+80</f>
        <v>1992.5</v>
      </c>
      <c r="S208" s="270">
        <f t="shared" ref="S208" si="547">+R208*$X$1</f>
        <v>1992.5</v>
      </c>
      <c r="T208" s="569">
        <f t="shared" ref="T208" si="548">F208+65</f>
        <v>1977.5</v>
      </c>
      <c r="U208" s="270">
        <f t="shared" ref="U208" si="549">+T208*$X$1</f>
        <v>1977.5</v>
      </c>
      <c r="V208" s="569">
        <f t="shared" ref="V208" si="550">F208+56</f>
        <v>1968.5</v>
      </c>
      <c r="W208" s="270">
        <f t="shared" ref="W208" si="551">+V208*$X$1</f>
        <v>1968.5</v>
      </c>
      <c r="X208" s="139"/>
      <c r="Y208" s="148"/>
      <c r="Z208" s="139"/>
      <c r="AA208" s="139"/>
      <c r="AB208" s="184">
        <v>442</v>
      </c>
    </row>
    <row r="209" spans="1:28" ht="12.6" customHeight="1" x14ac:dyDescent="0.2">
      <c r="A209" s="18"/>
      <c r="B209" s="629" t="s">
        <v>346</v>
      </c>
      <c r="C209" s="630"/>
      <c r="D209" s="630"/>
      <c r="E209" s="630"/>
      <c r="F209" s="352">
        <f>1.974*X2</f>
        <v>2467.5</v>
      </c>
      <c r="G209" s="465">
        <f t="shared" ref="G209:G211" si="552">+F209*$X$1</f>
        <v>2467.5</v>
      </c>
      <c r="H209" s="427"/>
      <c r="I209" s="271"/>
      <c r="J209" s="85">
        <f t="shared" ref="J209:J213" si="553">F209+200</f>
        <v>2667.5</v>
      </c>
      <c r="K209" s="271">
        <f t="shared" ref="K209" si="554">+J209*$X$1</f>
        <v>2667.5</v>
      </c>
      <c r="L209" s="427">
        <f t="shared" ref="L209" si="555">F209+150</f>
        <v>2617.5</v>
      </c>
      <c r="M209" s="271">
        <f t="shared" ref="M209" si="556">+L209*$X$1</f>
        <v>2617.5</v>
      </c>
      <c r="N209" s="427">
        <f t="shared" ref="N209" si="557">F209+110</f>
        <v>2577.5</v>
      </c>
      <c r="O209" s="271">
        <f t="shared" ref="O209" si="558">+N209*$X$1</f>
        <v>2577.5</v>
      </c>
      <c r="P209" s="427">
        <f t="shared" ref="P209" si="559">F209+100</f>
        <v>2567.5</v>
      </c>
      <c r="Q209" s="271">
        <f t="shared" ref="Q209" si="560">+P209*$X$1</f>
        <v>2567.5</v>
      </c>
      <c r="R209" s="427">
        <f t="shared" ref="R209" si="561">F209+80</f>
        <v>2547.5</v>
      </c>
      <c r="S209" s="271">
        <f t="shared" ref="S209" si="562">+R209*$X$1</f>
        <v>2547.5</v>
      </c>
      <c r="T209" s="427">
        <f t="shared" ref="T209" si="563">F209+65</f>
        <v>2532.5</v>
      </c>
      <c r="U209" s="271">
        <f t="shared" ref="U209" si="564">+T209*$X$1</f>
        <v>2532.5</v>
      </c>
      <c r="V209" s="427">
        <f t="shared" ref="V209" si="565">F209+56</f>
        <v>2523.5</v>
      </c>
      <c r="W209" s="271">
        <f t="shared" ref="W209" si="566">+V209*$X$1</f>
        <v>2523.5</v>
      </c>
      <c r="X209" s="139"/>
      <c r="Y209" s="148"/>
      <c r="Z209" s="139"/>
      <c r="AA209" s="139"/>
      <c r="AB209" s="184">
        <v>465</v>
      </c>
    </row>
    <row r="210" spans="1:28" ht="12.6" customHeight="1" x14ac:dyDescent="0.2">
      <c r="A210" s="18"/>
      <c r="B210" s="691" t="s">
        <v>769</v>
      </c>
      <c r="C210" s="746"/>
      <c r="D210" s="746"/>
      <c r="E210" s="746"/>
      <c r="F210" s="351">
        <f>1.38*X2</f>
        <v>1724.9999999999998</v>
      </c>
      <c r="G210" s="317">
        <f t="shared" ref="G210" si="567">+F210*$X$1</f>
        <v>1724.9999999999998</v>
      </c>
      <c r="H210" s="569"/>
      <c r="I210" s="270"/>
      <c r="J210" s="70">
        <f t="shared" si="553"/>
        <v>1924.9999999999998</v>
      </c>
      <c r="K210" s="270">
        <f t="shared" ref="K210:K213" si="568">+J210*$X$1</f>
        <v>1924.9999999999998</v>
      </c>
      <c r="L210" s="569">
        <f t="shared" ref="L210:L213" si="569">F210+150</f>
        <v>1874.9999999999998</v>
      </c>
      <c r="M210" s="270">
        <f t="shared" ref="M210:M213" si="570">+L210*$X$1</f>
        <v>1874.9999999999998</v>
      </c>
      <c r="N210" s="569">
        <f t="shared" ref="N210:N213" si="571">F210+110</f>
        <v>1834.9999999999998</v>
      </c>
      <c r="O210" s="270">
        <f t="shared" ref="O210:O213" si="572">+N210*$X$1</f>
        <v>1834.9999999999998</v>
      </c>
      <c r="P210" s="569">
        <f t="shared" ref="P210:P213" si="573">F210+100</f>
        <v>1824.9999999999998</v>
      </c>
      <c r="Q210" s="270">
        <f t="shared" ref="Q210:Q213" si="574">+P210*$X$1</f>
        <v>1824.9999999999998</v>
      </c>
      <c r="R210" s="569">
        <f t="shared" ref="R210:R213" si="575">F210+80</f>
        <v>1804.9999999999998</v>
      </c>
      <c r="S210" s="270">
        <f t="shared" ref="S210:S213" si="576">+R210*$X$1</f>
        <v>1804.9999999999998</v>
      </c>
      <c r="T210" s="569">
        <f t="shared" ref="T210:T213" si="577">F210+65</f>
        <v>1789.9999999999998</v>
      </c>
      <c r="U210" s="270">
        <f t="shared" ref="U210:U213" si="578">+T210*$X$1</f>
        <v>1789.9999999999998</v>
      </c>
      <c r="V210" s="569">
        <f t="shared" ref="V210:V213" si="579">F210+56</f>
        <v>1780.9999999999998</v>
      </c>
      <c r="W210" s="270">
        <f t="shared" ref="W210:W213" si="580">+V210*$X$1</f>
        <v>1780.9999999999998</v>
      </c>
      <c r="X210" s="139"/>
      <c r="Y210" s="148"/>
      <c r="Z210" s="139"/>
      <c r="AA210" s="139"/>
      <c r="AB210" s="184">
        <v>466</v>
      </c>
    </row>
    <row r="211" spans="1:28" ht="12.6" customHeight="1" x14ac:dyDescent="0.2">
      <c r="A211" s="18"/>
      <c r="B211" s="663" t="s">
        <v>591</v>
      </c>
      <c r="C211" s="695"/>
      <c r="D211" s="695"/>
      <c r="E211" s="695"/>
      <c r="F211" s="355">
        <f>1*X2</f>
        <v>1250</v>
      </c>
      <c r="G211" s="318">
        <f t="shared" si="552"/>
        <v>1250</v>
      </c>
      <c r="H211" s="427"/>
      <c r="I211" s="271"/>
      <c r="J211" s="85">
        <f t="shared" si="553"/>
        <v>1450</v>
      </c>
      <c r="K211" s="271">
        <f t="shared" si="568"/>
        <v>1450</v>
      </c>
      <c r="L211" s="427">
        <f t="shared" si="569"/>
        <v>1400</v>
      </c>
      <c r="M211" s="271">
        <f t="shared" si="570"/>
        <v>1400</v>
      </c>
      <c r="N211" s="427">
        <f t="shared" si="571"/>
        <v>1360</v>
      </c>
      <c r="O211" s="271">
        <f t="shared" si="572"/>
        <v>1360</v>
      </c>
      <c r="P211" s="427">
        <f t="shared" si="573"/>
        <v>1350</v>
      </c>
      <c r="Q211" s="271">
        <f t="shared" si="574"/>
        <v>1350</v>
      </c>
      <c r="R211" s="427">
        <f t="shared" si="575"/>
        <v>1330</v>
      </c>
      <c r="S211" s="271">
        <f t="shared" si="576"/>
        <v>1330</v>
      </c>
      <c r="T211" s="427">
        <f t="shared" si="577"/>
        <v>1315</v>
      </c>
      <c r="U211" s="271">
        <f t="shared" si="578"/>
        <v>1315</v>
      </c>
      <c r="V211" s="427">
        <f t="shared" si="579"/>
        <v>1306</v>
      </c>
      <c r="W211" s="271">
        <f t="shared" si="580"/>
        <v>1306</v>
      </c>
      <c r="X211" s="139"/>
      <c r="Y211" s="139"/>
      <c r="Z211" s="139"/>
      <c r="AA211" s="139"/>
      <c r="AB211" s="184">
        <v>528</v>
      </c>
    </row>
    <row r="212" spans="1:28" ht="12.6" customHeight="1" x14ac:dyDescent="0.2">
      <c r="A212" s="18"/>
      <c r="B212" s="633" t="s">
        <v>347</v>
      </c>
      <c r="C212" s="769"/>
      <c r="D212" s="769"/>
      <c r="E212" s="770"/>
      <c r="F212" s="287">
        <v>4293</v>
      </c>
      <c r="G212" s="293">
        <f t="shared" ref="G212:G215" si="581">+F212*$X$1</f>
        <v>4293</v>
      </c>
      <c r="H212" s="569"/>
      <c r="I212" s="270"/>
      <c r="J212" s="70">
        <f t="shared" si="553"/>
        <v>4493</v>
      </c>
      <c r="K212" s="270">
        <f t="shared" si="568"/>
        <v>4493</v>
      </c>
      <c r="L212" s="569">
        <f t="shared" si="569"/>
        <v>4443</v>
      </c>
      <c r="M212" s="270">
        <f t="shared" si="570"/>
        <v>4443</v>
      </c>
      <c r="N212" s="569">
        <f t="shared" si="571"/>
        <v>4403</v>
      </c>
      <c r="O212" s="270">
        <f t="shared" si="572"/>
        <v>4403</v>
      </c>
      <c r="P212" s="569">
        <f t="shared" si="573"/>
        <v>4393</v>
      </c>
      <c r="Q212" s="270">
        <f t="shared" si="574"/>
        <v>4393</v>
      </c>
      <c r="R212" s="569">
        <f t="shared" si="575"/>
        <v>4373</v>
      </c>
      <c r="S212" s="270">
        <f t="shared" si="576"/>
        <v>4373</v>
      </c>
      <c r="T212" s="569">
        <f t="shared" si="577"/>
        <v>4358</v>
      </c>
      <c r="U212" s="270">
        <f t="shared" si="578"/>
        <v>4358</v>
      </c>
      <c r="V212" s="569">
        <f t="shared" si="579"/>
        <v>4349</v>
      </c>
      <c r="W212" s="270">
        <f t="shared" si="580"/>
        <v>4349</v>
      </c>
      <c r="X212" s="139"/>
      <c r="Y212" s="139"/>
      <c r="Z212" s="139"/>
      <c r="AA212" s="139"/>
      <c r="AB212" s="184"/>
    </row>
    <row r="213" spans="1:28" ht="12.6" customHeight="1" x14ac:dyDescent="0.2">
      <c r="A213" s="18"/>
      <c r="B213" s="708" t="s">
        <v>348</v>
      </c>
      <c r="C213" s="709"/>
      <c r="D213" s="709"/>
      <c r="E213" s="710"/>
      <c r="F213" s="298">
        <v>1333</v>
      </c>
      <c r="G213" s="292">
        <f t="shared" si="581"/>
        <v>1333</v>
      </c>
      <c r="H213" s="626"/>
      <c r="I213" s="271"/>
      <c r="J213" s="85">
        <f t="shared" si="553"/>
        <v>1533</v>
      </c>
      <c r="K213" s="271">
        <f t="shared" si="568"/>
        <v>1533</v>
      </c>
      <c r="L213" s="626">
        <f t="shared" si="569"/>
        <v>1483</v>
      </c>
      <c r="M213" s="271">
        <f t="shared" si="570"/>
        <v>1483</v>
      </c>
      <c r="N213" s="626">
        <f t="shared" si="571"/>
        <v>1443</v>
      </c>
      <c r="O213" s="271">
        <f t="shared" si="572"/>
        <v>1443</v>
      </c>
      <c r="P213" s="626">
        <f t="shared" si="573"/>
        <v>1433</v>
      </c>
      <c r="Q213" s="271">
        <f t="shared" si="574"/>
        <v>1433</v>
      </c>
      <c r="R213" s="626">
        <f t="shared" si="575"/>
        <v>1413</v>
      </c>
      <c r="S213" s="271">
        <f t="shared" si="576"/>
        <v>1413</v>
      </c>
      <c r="T213" s="626">
        <f t="shared" si="577"/>
        <v>1398</v>
      </c>
      <c r="U213" s="271">
        <f t="shared" si="578"/>
        <v>1398</v>
      </c>
      <c r="V213" s="626">
        <f t="shared" si="579"/>
        <v>1389</v>
      </c>
      <c r="W213" s="271">
        <f t="shared" si="580"/>
        <v>1389</v>
      </c>
      <c r="X213" s="139"/>
      <c r="Y213" s="139"/>
      <c r="Z213" s="139"/>
      <c r="AA213" s="139"/>
      <c r="AB213" s="184"/>
    </row>
    <row r="214" spans="1:28" ht="12.6" customHeight="1" x14ac:dyDescent="0.2">
      <c r="A214" s="18"/>
      <c r="B214" s="639" t="s">
        <v>183</v>
      </c>
      <c r="C214" s="640"/>
      <c r="D214" s="640"/>
      <c r="E214" s="640"/>
      <c r="F214" s="287">
        <v>210</v>
      </c>
      <c r="G214" s="327">
        <f>+F214*$X$1</f>
        <v>210</v>
      </c>
      <c r="H214" s="1190" t="s">
        <v>339</v>
      </c>
      <c r="I214" s="1190"/>
      <c r="J214" s="1191"/>
      <c r="K214" s="1191"/>
      <c r="L214" s="1191"/>
      <c r="M214" s="1192"/>
      <c r="N214" s="605">
        <f t="shared" ref="N214" si="582">F214+110</f>
        <v>320</v>
      </c>
      <c r="O214" s="270">
        <f t="shared" ref="O214" si="583">+N214*$X$1</f>
        <v>320</v>
      </c>
      <c r="P214" s="605">
        <f t="shared" ref="P214" si="584">F214+100</f>
        <v>310</v>
      </c>
      <c r="Q214" s="270">
        <f t="shared" ref="Q214" si="585">+P214*$X$1</f>
        <v>310</v>
      </c>
      <c r="R214" s="605">
        <f t="shared" ref="R214" si="586">F214+80</f>
        <v>290</v>
      </c>
      <c r="S214" s="270">
        <f t="shared" ref="S214" si="587">+R214*$X$1</f>
        <v>290</v>
      </c>
      <c r="T214" s="605">
        <f t="shared" ref="T214" si="588">F214+65</f>
        <v>275</v>
      </c>
      <c r="U214" s="270">
        <f t="shared" ref="U214" si="589">+T214*$X$1</f>
        <v>275</v>
      </c>
      <c r="V214" s="605">
        <f t="shared" ref="V214" si="590">F214+56</f>
        <v>266</v>
      </c>
      <c r="W214" s="270">
        <f t="shared" ref="W214" si="591">+V214*$X$1</f>
        <v>266</v>
      </c>
      <c r="X214" s="139"/>
      <c r="Y214" s="139"/>
      <c r="Z214" s="139"/>
      <c r="AA214" s="139"/>
      <c r="AB214" s="184">
        <v>539</v>
      </c>
    </row>
    <row r="215" spans="1:28" ht="12.6" customHeight="1" x14ac:dyDescent="0.2">
      <c r="A215" s="18"/>
      <c r="B215" s="663" t="s">
        <v>450</v>
      </c>
      <c r="C215" s="695"/>
      <c r="D215" s="695"/>
      <c r="E215" s="695"/>
      <c r="F215" s="298">
        <v>530</v>
      </c>
      <c r="G215" s="318">
        <f t="shared" si="581"/>
        <v>530</v>
      </c>
      <c r="H215" s="264"/>
      <c r="I215" s="264"/>
      <c r="J215" s="85"/>
      <c r="K215" s="271"/>
      <c r="L215" s="626"/>
      <c r="M215" s="271"/>
      <c r="N215" s="626"/>
      <c r="O215" s="271"/>
      <c r="P215" s="626"/>
      <c r="Q215" s="271"/>
      <c r="R215" s="626"/>
      <c r="S215" s="271"/>
      <c r="T215" s="626">
        <f t="shared" ref="T215:T217" si="592">F215+65</f>
        <v>595</v>
      </c>
      <c r="U215" s="271">
        <f t="shared" ref="U215:U217" si="593">+T215*$X$1</f>
        <v>595</v>
      </c>
      <c r="V215" s="626">
        <f t="shared" ref="V215:V217" si="594">F215+56</f>
        <v>586</v>
      </c>
      <c r="W215" s="271">
        <f t="shared" ref="W215:W217" si="595">+V215*$X$1</f>
        <v>586</v>
      </c>
      <c r="X215" s="139"/>
      <c r="Y215" s="139"/>
      <c r="Z215" s="139"/>
      <c r="AA215" s="139"/>
      <c r="AB215" s="184">
        <v>540</v>
      </c>
    </row>
    <row r="216" spans="1:28" ht="12.6" customHeight="1" x14ac:dyDescent="0.2">
      <c r="A216" s="18"/>
      <c r="B216" s="639" t="s">
        <v>452</v>
      </c>
      <c r="C216" s="694"/>
      <c r="D216" s="694"/>
      <c r="E216" s="694"/>
      <c r="F216" s="287">
        <v>902</v>
      </c>
      <c r="G216" s="288">
        <f t="shared" ref="G216" si="596">+F216*$X$1</f>
        <v>902</v>
      </c>
      <c r="H216" s="265"/>
      <c r="I216" s="265"/>
      <c r="J216" s="70"/>
      <c r="K216" s="270"/>
      <c r="L216" s="605"/>
      <c r="M216" s="270"/>
      <c r="N216" s="605"/>
      <c r="O216" s="270"/>
      <c r="P216" s="605"/>
      <c r="Q216" s="270"/>
      <c r="R216" s="605"/>
      <c r="S216" s="270"/>
      <c r="T216" s="605">
        <f t="shared" si="592"/>
        <v>967</v>
      </c>
      <c r="U216" s="270">
        <f t="shared" si="593"/>
        <v>967</v>
      </c>
      <c r="V216" s="605">
        <f t="shared" si="594"/>
        <v>958</v>
      </c>
      <c r="W216" s="270">
        <f t="shared" si="595"/>
        <v>958</v>
      </c>
      <c r="X216" s="139"/>
      <c r="Y216" s="139"/>
      <c r="Z216" s="139"/>
      <c r="AA216" s="139"/>
      <c r="AB216" s="184" t="s">
        <v>533</v>
      </c>
    </row>
    <row r="217" spans="1:28" ht="12.6" customHeight="1" x14ac:dyDescent="0.2">
      <c r="A217" s="18"/>
      <c r="B217" s="708" t="s">
        <v>403</v>
      </c>
      <c r="C217" s="709"/>
      <c r="D217" s="709"/>
      <c r="E217" s="710"/>
      <c r="F217" s="355">
        <f>18.74*X2</f>
        <v>23424.999999999996</v>
      </c>
      <c r="G217" s="318">
        <f t="shared" ref="G217" si="597">+F217*$X$1</f>
        <v>23424.999999999996</v>
      </c>
      <c r="H217" s="626">
        <f>F217+600</f>
        <v>24024.999999999996</v>
      </c>
      <c r="I217" s="271">
        <f>+H217*$X$1</f>
        <v>24024.999999999996</v>
      </c>
      <c r="J217" s="85">
        <f>F217+200</f>
        <v>23624.999999999996</v>
      </c>
      <c r="K217" s="271">
        <f t="shared" ref="K217" si="598">+J217*$X$1</f>
        <v>23624.999999999996</v>
      </c>
      <c r="L217" s="626">
        <f t="shared" ref="L217" si="599">F217+150</f>
        <v>23574.999999999996</v>
      </c>
      <c r="M217" s="271">
        <f t="shared" ref="M217" si="600">+L217*$X$1</f>
        <v>23574.999999999996</v>
      </c>
      <c r="N217" s="626">
        <f t="shared" ref="N217" si="601">F217+110</f>
        <v>23534.999999999996</v>
      </c>
      <c r="O217" s="271">
        <f t="shared" ref="O217" si="602">+N217*$X$1</f>
        <v>23534.999999999996</v>
      </c>
      <c r="P217" s="626">
        <f t="shared" ref="P217" si="603">F217+100</f>
        <v>23524.999999999996</v>
      </c>
      <c r="Q217" s="271">
        <f t="shared" ref="Q217" si="604">+P217*$X$1</f>
        <v>23524.999999999996</v>
      </c>
      <c r="R217" s="626">
        <f t="shared" ref="R217" si="605">F217+80</f>
        <v>23504.999999999996</v>
      </c>
      <c r="S217" s="271">
        <f t="shared" ref="S217" si="606">+R217*$X$1</f>
        <v>23504.999999999996</v>
      </c>
      <c r="T217" s="626">
        <f t="shared" si="592"/>
        <v>23489.999999999996</v>
      </c>
      <c r="U217" s="271">
        <f t="shared" si="593"/>
        <v>23489.999999999996</v>
      </c>
      <c r="V217" s="626">
        <f t="shared" si="594"/>
        <v>23480.999999999996</v>
      </c>
      <c r="W217" s="271">
        <f t="shared" si="595"/>
        <v>23480.999999999996</v>
      </c>
      <c r="X217" s="139"/>
      <c r="Y217" s="139"/>
      <c r="Z217" s="139"/>
      <c r="AA217" s="139"/>
      <c r="AB217" s="184">
        <v>542</v>
      </c>
    </row>
    <row r="218" spans="1:28" ht="12.6" customHeight="1" x14ac:dyDescent="0.2">
      <c r="A218" s="18"/>
      <c r="B218" s="691" t="s">
        <v>451</v>
      </c>
      <c r="C218" s="692"/>
      <c r="D218" s="692"/>
      <c r="E218" s="692"/>
      <c r="F218" s="270"/>
      <c r="G218" s="270"/>
      <c r="H218" s="605"/>
      <c r="I218" s="605"/>
      <c r="J218" s="605"/>
      <c r="K218" s="270"/>
      <c r="L218" s="605"/>
      <c r="M218" s="270"/>
      <c r="N218" s="605"/>
      <c r="O218" s="270"/>
      <c r="P218" s="605"/>
      <c r="Q218" s="270"/>
      <c r="R218" s="605"/>
      <c r="S218" s="270"/>
      <c r="T218" s="605"/>
      <c r="U218" s="270"/>
      <c r="V218" s="70"/>
      <c r="W218" s="323"/>
      <c r="X218" s="139"/>
      <c r="Y218" s="139"/>
      <c r="Z218" s="139"/>
      <c r="AA218" s="139"/>
      <c r="AB218" s="184">
        <v>544</v>
      </c>
    </row>
    <row r="219" spans="1:28" ht="12.6" customHeight="1" x14ac:dyDescent="0.2">
      <c r="A219" s="18"/>
      <c r="B219" s="714" t="s">
        <v>184</v>
      </c>
      <c r="C219" s="767"/>
      <c r="D219" s="767"/>
      <c r="E219" s="767"/>
      <c r="F219" s="490">
        <v>411</v>
      </c>
      <c r="G219" s="491">
        <f t="shared" ref="G219:G224" si="607">+F219*$X$1</f>
        <v>411</v>
      </c>
      <c r="H219" s="492"/>
      <c r="I219" s="492"/>
      <c r="J219" s="427">
        <f t="shared" ref="J219:J221" si="608">F219+200</f>
        <v>611</v>
      </c>
      <c r="K219" s="491">
        <f t="shared" ref="K219:K225" si="609">+J219*$X$1</f>
        <v>611</v>
      </c>
      <c r="L219" s="525">
        <f>F219+150</f>
        <v>561</v>
      </c>
      <c r="M219" s="491">
        <f t="shared" ref="M219:M225" si="610">+L219*$X$1</f>
        <v>561</v>
      </c>
      <c r="N219" s="525">
        <f>F219+110</f>
        <v>521</v>
      </c>
      <c r="O219" s="491">
        <f t="shared" ref="O219:O225" si="611">+N219*$X$1</f>
        <v>521</v>
      </c>
      <c r="P219" s="493"/>
      <c r="Q219" s="656" t="s">
        <v>148</v>
      </c>
      <c r="R219" s="657"/>
      <c r="S219" s="657"/>
      <c r="T219" s="657"/>
      <c r="U219" s="657"/>
      <c r="V219" s="657"/>
      <c r="W219" s="658"/>
      <c r="X219" s="123"/>
      <c r="Y219" s="123"/>
      <c r="Z219" s="123"/>
      <c r="AA219" s="123"/>
      <c r="AB219" s="184">
        <v>547</v>
      </c>
    </row>
    <row r="220" spans="1:28" ht="12.6" customHeight="1" x14ac:dyDescent="0.2">
      <c r="A220" s="18"/>
      <c r="B220" s="633" t="s">
        <v>349</v>
      </c>
      <c r="C220" s="1193"/>
      <c r="D220" s="1193"/>
      <c r="E220" s="1194"/>
      <c r="F220" s="270">
        <v>4195</v>
      </c>
      <c r="G220" s="270">
        <f t="shared" si="607"/>
        <v>4195</v>
      </c>
      <c r="H220" s="265"/>
      <c r="I220" s="265"/>
      <c r="J220" s="70">
        <f>F220+250</f>
        <v>4445</v>
      </c>
      <c r="K220" s="270">
        <f t="shared" ref="K220" si="612">+J220*$X$1</f>
        <v>4445</v>
      </c>
      <c r="L220" s="605">
        <f>F220+200</f>
        <v>4395</v>
      </c>
      <c r="M220" s="270">
        <f t="shared" ref="M220" si="613">+L220*$X$1</f>
        <v>4395</v>
      </c>
      <c r="N220" s="605">
        <f>F220+160</f>
        <v>4355</v>
      </c>
      <c r="O220" s="270">
        <f t="shared" ref="O220" si="614">+N220*$X$1</f>
        <v>4355</v>
      </c>
      <c r="P220" s="605">
        <f>F220+130</f>
        <v>4325</v>
      </c>
      <c r="Q220" s="270">
        <f t="shared" ref="Q220" si="615">+P220*$X$1</f>
        <v>4325</v>
      </c>
      <c r="R220" s="605">
        <f>F220+110</f>
        <v>4305</v>
      </c>
      <c r="S220" s="270">
        <f t="shared" ref="S220" si="616">+R220*$X$1</f>
        <v>4305</v>
      </c>
      <c r="T220" s="605">
        <f>F220+90</f>
        <v>4285</v>
      </c>
      <c r="U220" s="270">
        <f t="shared" ref="U220" si="617">+T220*$X$1</f>
        <v>4285</v>
      </c>
      <c r="V220" s="605">
        <f>F220+75</f>
        <v>4270</v>
      </c>
      <c r="W220" s="270">
        <f t="shared" ref="W220" si="618">+V220*$X$1</f>
        <v>4270</v>
      </c>
      <c r="X220" s="123"/>
      <c r="Y220" s="123"/>
      <c r="Z220" s="123"/>
      <c r="AA220" s="123"/>
      <c r="AB220" s="388"/>
    </row>
    <row r="221" spans="1:28" ht="12.6" customHeight="1" x14ac:dyDescent="0.2">
      <c r="A221" s="18"/>
      <c r="B221" s="708" t="s">
        <v>465</v>
      </c>
      <c r="C221" s="709"/>
      <c r="D221" s="709"/>
      <c r="E221" s="710"/>
      <c r="F221" s="298">
        <v>1186</v>
      </c>
      <c r="G221" s="271">
        <f t="shared" si="607"/>
        <v>1186</v>
      </c>
      <c r="H221" s="264"/>
      <c r="I221" s="264"/>
      <c r="J221" s="85">
        <f t="shared" si="608"/>
        <v>1386</v>
      </c>
      <c r="K221" s="271">
        <f t="shared" si="609"/>
        <v>1386</v>
      </c>
      <c r="L221" s="626">
        <f t="shared" ref="L221" si="619">F221+150</f>
        <v>1336</v>
      </c>
      <c r="M221" s="271">
        <f t="shared" si="610"/>
        <v>1336</v>
      </c>
      <c r="N221" s="626">
        <f t="shared" ref="N221" si="620">F221+110</f>
        <v>1296</v>
      </c>
      <c r="O221" s="271">
        <f t="shared" si="611"/>
        <v>1296</v>
      </c>
      <c r="P221" s="626">
        <f t="shared" ref="P221" si="621">F221+100</f>
        <v>1286</v>
      </c>
      <c r="Q221" s="271">
        <f t="shared" ref="Q221:Q225" si="622">+P221*$X$1</f>
        <v>1286</v>
      </c>
      <c r="R221" s="626">
        <f t="shared" ref="R221" si="623">F221+80</f>
        <v>1266</v>
      </c>
      <c r="S221" s="271">
        <f t="shared" ref="S221:S225" si="624">+R221*$X$1</f>
        <v>1266</v>
      </c>
      <c r="T221" s="626">
        <f t="shared" ref="T221" si="625">F221+65</f>
        <v>1251</v>
      </c>
      <c r="U221" s="271">
        <f t="shared" ref="U221:U225" si="626">+T221*$X$1</f>
        <v>1251</v>
      </c>
      <c r="V221" s="626">
        <f t="shared" ref="V221" si="627">F221+56</f>
        <v>1242</v>
      </c>
      <c r="W221" s="271">
        <f t="shared" ref="W221:W225" si="628">+V221*$X$1</f>
        <v>1242</v>
      </c>
      <c r="X221" s="139"/>
      <c r="Y221" s="139"/>
      <c r="Z221" s="139"/>
      <c r="AA221" s="139"/>
      <c r="AB221" s="184">
        <v>550</v>
      </c>
    </row>
    <row r="222" spans="1:28" ht="12.6" customHeight="1" x14ac:dyDescent="0.2">
      <c r="A222" s="18"/>
      <c r="B222" s="633" t="s">
        <v>425</v>
      </c>
      <c r="C222" s="1193"/>
      <c r="D222" s="1193"/>
      <c r="E222" s="1194"/>
      <c r="F222" s="270">
        <v>4038</v>
      </c>
      <c r="G222" s="270">
        <f t="shared" si="607"/>
        <v>4038</v>
      </c>
      <c r="H222" s="265"/>
      <c r="I222" s="265"/>
      <c r="J222" s="70">
        <f>F222+250</f>
        <v>4288</v>
      </c>
      <c r="K222" s="270">
        <f t="shared" ref="K222" si="629">+J222*$X$1</f>
        <v>4288</v>
      </c>
      <c r="L222" s="605">
        <f>F222+200</f>
        <v>4238</v>
      </c>
      <c r="M222" s="270">
        <f t="shared" ref="M222" si="630">+L222*$X$1</f>
        <v>4238</v>
      </c>
      <c r="N222" s="605">
        <f>F222+160</f>
        <v>4198</v>
      </c>
      <c r="O222" s="270">
        <f t="shared" ref="O222" si="631">+N222*$X$1</f>
        <v>4198</v>
      </c>
      <c r="P222" s="605">
        <f>F222+130</f>
        <v>4168</v>
      </c>
      <c r="Q222" s="270">
        <f t="shared" ref="Q222" si="632">+P222*$X$1</f>
        <v>4168</v>
      </c>
      <c r="R222" s="605">
        <f>F222+110</f>
        <v>4148</v>
      </c>
      <c r="S222" s="270">
        <f t="shared" ref="S222" si="633">+R222*$X$1</f>
        <v>4148</v>
      </c>
      <c r="T222" s="605">
        <f>F222+90</f>
        <v>4128</v>
      </c>
      <c r="U222" s="270">
        <f t="shared" ref="U222" si="634">+T222*$X$1</f>
        <v>4128</v>
      </c>
      <c r="V222" s="605">
        <f>F222+75</f>
        <v>4113</v>
      </c>
      <c r="W222" s="270">
        <f t="shared" ref="W222" si="635">+V222*$X$1</f>
        <v>4113</v>
      </c>
      <c r="X222" s="123"/>
      <c r="Y222" s="123"/>
      <c r="Z222" s="123"/>
      <c r="AA222" s="123"/>
      <c r="AB222" s="184">
        <v>551</v>
      </c>
    </row>
    <row r="223" spans="1:28" ht="12.6" customHeight="1" x14ac:dyDescent="0.2">
      <c r="A223" s="18"/>
      <c r="B223" s="788" t="s">
        <v>423</v>
      </c>
      <c r="C223" s="789"/>
      <c r="D223" s="789"/>
      <c r="E223" s="790"/>
      <c r="F223" s="298">
        <v>4510</v>
      </c>
      <c r="G223" s="271">
        <f t="shared" si="607"/>
        <v>4510</v>
      </c>
      <c r="H223" s="264"/>
      <c r="I223" s="264"/>
      <c r="J223" s="85">
        <f>F223+250</f>
        <v>4760</v>
      </c>
      <c r="K223" s="271">
        <f t="shared" ref="K223" si="636">+J223*$X$1</f>
        <v>4760</v>
      </c>
      <c r="L223" s="626">
        <f>F223+200</f>
        <v>4710</v>
      </c>
      <c r="M223" s="271">
        <f t="shared" ref="M223" si="637">+L223*$X$1</f>
        <v>4710</v>
      </c>
      <c r="N223" s="626">
        <f>F223+160</f>
        <v>4670</v>
      </c>
      <c r="O223" s="271">
        <f t="shared" ref="O223" si="638">+N223*$X$1</f>
        <v>4670</v>
      </c>
      <c r="P223" s="626">
        <f>F223+130</f>
        <v>4640</v>
      </c>
      <c r="Q223" s="271">
        <f t="shared" ref="Q223" si="639">+P223*$X$1</f>
        <v>4640</v>
      </c>
      <c r="R223" s="626">
        <f>F223+110</f>
        <v>4620</v>
      </c>
      <c r="S223" s="271">
        <f t="shared" ref="S223" si="640">+R223*$X$1</f>
        <v>4620</v>
      </c>
      <c r="T223" s="626">
        <f>F223+90</f>
        <v>4600</v>
      </c>
      <c r="U223" s="271">
        <f t="shared" ref="U223" si="641">+T223*$X$1</f>
        <v>4600</v>
      </c>
      <c r="V223" s="626">
        <f>F223+75</f>
        <v>4585</v>
      </c>
      <c r="W223" s="271">
        <f t="shared" ref="W223" si="642">+V223*$X$1</f>
        <v>4585</v>
      </c>
      <c r="X223" s="123"/>
      <c r="Y223" s="123"/>
      <c r="Z223" s="123"/>
      <c r="AA223" s="123"/>
      <c r="AB223" s="184" t="s">
        <v>422</v>
      </c>
    </row>
    <row r="224" spans="1:28" ht="12.6" customHeight="1" x14ac:dyDescent="0.2">
      <c r="A224" s="18"/>
      <c r="B224" s="738" t="s">
        <v>424</v>
      </c>
      <c r="C224" s="739"/>
      <c r="D224" s="739"/>
      <c r="E224" s="740"/>
      <c r="F224" s="287">
        <v>4900</v>
      </c>
      <c r="G224" s="270">
        <f t="shared" si="607"/>
        <v>4900</v>
      </c>
      <c r="H224" s="265"/>
      <c r="I224" s="265"/>
      <c r="J224" s="70">
        <f>F224+250</f>
        <v>5150</v>
      </c>
      <c r="K224" s="270">
        <f t="shared" ref="K224" si="643">+J224*$X$1</f>
        <v>5150</v>
      </c>
      <c r="L224" s="605">
        <f>F224+200</f>
        <v>5100</v>
      </c>
      <c r="M224" s="270">
        <f t="shared" ref="M224" si="644">+L224*$X$1</f>
        <v>5100</v>
      </c>
      <c r="N224" s="605">
        <f>F224+160</f>
        <v>5060</v>
      </c>
      <c r="O224" s="270">
        <f t="shared" ref="O224" si="645">+N224*$X$1</f>
        <v>5060</v>
      </c>
      <c r="P224" s="605">
        <f>F224+130</f>
        <v>5030</v>
      </c>
      <c r="Q224" s="270">
        <f t="shared" ref="Q224" si="646">+P224*$X$1</f>
        <v>5030</v>
      </c>
      <c r="R224" s="605">
        <f>F224+110</f>
        <v>5010</v>
      </c>
      <c r="S224" s="270">
        <f t="shared" ref="S224" si="647">+R224*$X$1</f>
        <v>5010</v>
      </c>
      <c r="T224" s="605">
        <f>F224+90</f>
        <v>4990</v>
      </c>
      <c r="U224" s="270">
        <f t="shared" ref="U224" si="648">+T224*$X$1</f>
        <v>4990</v>
      </c>
      <c r="V224" s="605">
        <f>F224+75</f>
        <v>4975</v>
      </c>
      <c r="W224" s="270">
        <f t="shared" ref="W224" si="649">+V224*$X$1</f>
        <v>4975</v>
      </c>
      <c r="X224" s="123"/>
      <c r="Y224" s="123"/>
      <c r="Z224" s="123"/>
      <c r="AA224" s="123"/>
      <c r="AB224" s="184" t="s">
        <v>426</v>
      </c>
    </row>
    <row r="225" spans="1:34" ht="12.6" customHeight="1" x14ac:dyDescent="0.2">
      <c r="A225" s="18"/>
      <c r="B225" s="629" t="s">
        <v>386</v>
      </c>
      <c r="C225" s="630"/>
      <c r="D225" s="630"/>
      <c r="E225" s="630"/>
      <c r="F225" s="271">
        <v>4312</v>
      </c>
      <c r="G225" s="271">
        <f t="shared" ref="G225" si="650">+F225*$X$1</f>
        <v>4312</v>
      </c>
      <c r="H225" s="264"/>
      <c r="I225" s="264"/>
      <c r="J225" s="85">
        <f>F225+250</f>
        <v>4562</v>
      </c>
      <c r="K225" s="271">
        <f t="shared" si="609"/>
        <v>4562</v>
      </c>
      <c r="L225" s="626">
        <f>F225+200</f>
        <v>4512</v>
      </c>
      <c r="M225" s="271">
        <f t="shared" si="610"/>
        <v>4512</v>
      </c>
      <c r="N225" s="626">
        <f>F225+160</f>
        <v>4472</v>
      </c>
      <c r="O225" s="271">
        <f t="shared" si="611"/>
        <v>4472</v>
      </c>
      <c r="P225" s="626">
        <f>F225+130</f>
        <v>4442</v>
      </c>
      <c r="Q225" s="271">
        <f t="shared" si="622"/>
        <v>4442</v>
      </c>
      <c r="R225" s="626">
        <f>F225+110</f>
        <v>4422</v>
      </c>
      <c r="S225" s="271">
        <f t="shared" si="624"/>
        <v>4422</v>
      </c>
      <c r="T225" s="626">
        <f>F225+90</f>
        <v>4402</v>
      </c>
      <c r="U225" s="271">
        <f t="shared" si="626"/>
        <v>4402</v>
      </c>
      <c r="V225" s="626">
        <f>F225+75</f>
        <v>4387</v>
      </c>
      <c r="W225" s="271">
        <f t="shared" si="628"/>
        <v>4387</v>
      </c>
      <c r="X225" s="123"/>
      <c r="Y225" s="123"/>
      <c r="Z225" s="123"/>
      <c r="AA225" s="123"/>
      <c r="AB225" s="184">
        <v>553</v>
      </c>
    </row>
    <row r="226" spans="1:34" ht="12.6" customHeight="1" x14ac:dyDescent="0.2">
      <c r="A226" s="18"/>
      <c r="B226" s="639" t="s">
        <v>590</v>
      </c>
      <c r="C226" s="694"/>
      <c r="D226" s="694"/>
      <c r="E226" s="694"/>
      <c r="F226" s="356">
        <f>5.66*X2</f>
        <v>7075</v>
      </c>
      <c r="G226" s="288">
        <f t="shared" ref="G226" si="651">+F226*$X$1</f>
        <v>7075</v>
      </c>
      <c r="H226" s="605">
        <f>F226+800</f>
        <v>7875</v>
      </c>
      <c r="I226" s="270">
        <f>+H226*$X$1</f>
        <v>7875</v>
      </c>
      <c r="J226" s="605">
        <f>F226+600</f>
        <v>7675</v>
      </c>
      <c r="K226" s="270">
        <f>+J226*$X$1</f>
        <v>7675</v>
      </c>
      <c r="L226" s="605">
        <f>F226+500</f>
        <v>7575</v>
      </c>
      <c r="M226" s="270">
        <f t="shared" ref="M226" si="652">+L226*$X$1</f>
        <v>7575</v>
      </c>
      <c r="N226" s="605">
        <f>F226+450</f>
        <v>7525</v>
      </c>
      <c r="O226" s="270">
        <f t="shared" ref="O226" si="653">+N226*$X$1</f>
        <v>7525</v>
      </c>
      <c r="P226" s="605">
        <f>F226+360</f>
        <v>7435</v>
      </c>
      <c r="Q226" s="270">
        <f t="shared" ref="Q226" si="654">+P226*$X$1</f>
        <v>7435</v>
      </c>
      <c r="R226" s="605">
        <f>F226+330</f>
        <v>7405</v>
      </c>
      <c r="S226" s="270">
        <f t="shared" ref="S226" si="655">+R226*$X$1</f>
        <v>7405</v>
      </c>
      <c r="T226" s="97">
        <f>F226+300</f>
        <v>7375</v>
      </c>
      <c r="U226" s="246">
        <f t="shared" ref="U226" si="656">+T226*$X$1</f>
        <v>7375</v>
      </c>
      <c r="V226" s="97">
        <f>F226+260</f>
        <v>7335</v>
      </c>
      <c r="W226" s="246">
        <f t="shared" ref="W226" si="657">+V226*$X$1</f>
        <v>7335</v>
      </c>
      <c r="X226" s="139"/>
      <c r="Y226" s="139"/>
      <c r="Z226" s="139"/>
      <c r="AA226" s="139"/>
      <c r="AB226" s="184">
        <v>616</v>
      </c>
    </row>
    <row r="227" spans="1:34" ht="12.6" customHeight="1" x14ac:dyDescent="0.2">
      <c r="A227" s="18"/>
      <c r="B227" s="705" t="s">
        <v>343</v>
      </c>
      <c r="C227" s="706"/>
      <c r="D227" s="706"/>
      <c r="E227" s="706"/>
      <c r="F227" s="491">
        <v>220</v>
      </c>
      <c r="G227" s="491">
        <f t="shared" ref="G227:G230" si="658">+F227*$X$1</f>
        <v>220</v>
      </c>
      <c r="H227" s="492"/>
      <c r="I227" s="494"/>
      <c r="J227" s="566">
        <f>F227+200</f>
        <v>420</v>
      </c>
      <c r="K227" s="491">
        <f t="shared" ref="K227" si="659">+J227*$X$1</f>
        <v>420</v>
      </c>
      <c r="L227" s="566">
        <f>F227+150</f>
        <v>370</v>
      </c>
      <c r="M227" s="491">
        <f>+L227*$X$1</f>
        <v>370</v>
      </c>
      <c r="N227" s="566">
        <f>F227+110</f>
        <v>330</v>
      </c>
      <c r="O227" s="491">
        <f>+N227*$X$1</f>
        <v>330</v>
      </c>
      <c r="P227" s="566"/>
      <c r="Q227" s="636" t="s">
        <v>148</v>
      </c>
      <c r="R227" s="637"/>
      <c r="S227" s="637"/>
      <c r="T227" s="637"/>
      <c r="U227" s="637"/>
      <c r="V227" s="637"/>
      <c r="W227" s="637"/>
      <c r="X227" s="139"/>
      <c r="Y227" s="139"/>
      <c r="Z227" s="139"/>
      <c r="AA227" s="139"/>
      <c r="AB227" s="184">
        <v>618</v>
      </c>
    </row>
    <row r="228" spans="1:34" ht="12.6" customHeight="1" x14ac:dyDescent="0.2">
      <c r="A228" s="98"/>
      <c r="B228" s="696" t="s">
        <v>460</v>
      </c>
      <c r="C228" s="697"/>
      <c r="D228" s="697"/>
      <c r="E228" s="697"/>
      <c r="F228" s="491">
        <v>600</v>
      </c>
      <c r="G228" s="491">
        <f t="shared" si="658"/>
        <v>600</v>
      </c>
      <c r="H228" s="566"/>
      <c r="I228" s="491"/>
      <c r="J228" s="492"/>
      <c r="K228" s="494"/>
      <c r="L228" s="566">
        <f>F228+160</f>
        <v>760</v>
      </c>
      <c r="M228" s="491">
        <f t="shared" ref="M228:M234" si="660">+L228*$X$1</f>
        <v>760</v>
      </c>
      <c r="N228" s="566"/>
      <c r="O228" s="491"/>
      <c r="P228" s="566">
        <f>F228+5.1</f>
        <v>605.1</v>
      </c>
      <c r="Q228" s="636" t="s">
        <v>148</v>
      </c>
      <c r="R228" s="637"/>
      <c r="S228" s="637"/>
      <c r="T228" s="637"/>
      <c r="U228" s="637"/>
      <c r="V228" s="637"/>
      <c r="W228" s="637"/>
      <c r="X228" s="124"/>
      <c r="Y228" s="139"/>
      <c r="Z228" s="139"/>
      <c r="AA228" s="139"/>
      <c r="AB228" s="184">
        <v>621</v>
      </c>
    </row>
    <row r="229" spans="1:34" ht="12.6" customHeight="1" x14ac:dyDescent="0.2">
      <c r="A229" s="21"/>
      <c r="B229" s="629" t="s">
        <v>185</v>
      </c>
      <c r="C229" s="630"/>
      <c r="D229" s="630"/>
      <c r="E229" s="630"/>
      <c r="F229" s="352">
        <f>2.93*X2</f>
        <v>3662.5</v>
      </c>
      <c r="G229" s="271">
        <f>+F229*$X$1</f>
        <v>3662.5</v>
      </c>
      <c r="H229" s="269"/>
      <c r="I229" s="321"/>
      <c r="J229" s="85">
        <f t="shared" ref="J229:J234" si="661">F229+200</f>
        <v>3862.5</v>
      </c>
      <c r="K229" s="271">
        <f t="shared" ref="K229:K234" si="662">+J229*$X$1</f>
        <v>3862.5</v>
      </c>
      <c r="L229" s="626">
        <f t="shared" ref="L229:L234" si="663">F229+150</f>
        <v>3812.5</v>
      </c>
      <c r="M229" s="271">
        <f t="shared" si="660"/>
        <v>3812.5</v>
      </c>
      <c r="N229" s="626">
        <f t="shared" ref="N229:N234" si="664">F229+110</f>
        <v>3772.5</v>
      </c>
      <c r="O229" s="271">
        <f t="shared" ref="O229:O234" si="665">+N229*$X$1</f>
        <v>3772.5</v>
      </c>
      <c r="P229" s="626">
        <f t="shared" ref="P229:P234" si="666">F229+100</f>
        <v>3762.5</v>
      </c>
      <c r="Q229" s="271">
        <f t="shared" ref="Q229:Q234" si="667">+P229*$X$1</f>
        <v>3762.5</v>
      </c>
      <c r="R229" s="626">
        <f t="shared" ref="R229:R234" si="668">F229+80</f>
        <v>3742.5</v>
      </c>
      <c r="S229" s="271">
        <f t="shared" ref="S229:S234" si="669">+R229*$X$1</f>
        <v>3742.5</v>
      </c>
      <c r="T229" s="626">
        <f t="shared" ref="T229:T234" si="670">F229+65</f>
        <v>3727.5</v>
      </c>
      <c r="U229" s="271">
        <f t="shared" ref="U229:U234" si="671">+T229*$X$1</f>
        <v>3727.5</v>
      </c>
      <c r="V229" s="626">
        <f t="shared" ref="V229:V234" si="672">F229+56</f>
        <v>3718.5</v>
      </c>
      <c r="W229" s="271">
        <f t="shared" ref="W229:W234" si="673">+V229*$X$1</f>
        <v>3718.5</v>
      </c>
      <c r="X229" s="139"/>
      <c r="Y229" s="148"/>
      <c r="Z229" s="139"/>
      <c r="AA229" s="139"/>
      <c r="AB229" s="184">
        <v>624</v>
      </c>
    </row>
    <row r="230" spans="1:34" ht="12.6" customHeight="1" x14ac:dyDescent="0.2">
      <c r="A230" s="21"/>
      <c r="B230" s="848" t="s">
        <v>186</v>
      </c>
      <c r="C230" s="1063"/>
      <c r="D230" s="1063"/>
      <c r="E230" s="1063"/>
      <c r="F230" s="351">
        <f>5.057*X2</f>
        <v>6321.2500000000009</v>
      </c>
      <c r="G230" s="270">
        <f t="shared" si="658"/>
        <v>6321.2500000000009</v>
      </c>
      <c r="H230" s="297"/>
      <c r="I230" s="320"/>
      <c r="J230" s="70">
        <f t="shared" si="661"/>
        <v>6521.2500000000009</v>
      </c>
      <c r="K230" s="270">
        <f t="shared" si="662"/>
        <v>6521.2500000000009</v>
      </c>
      <c r="L230" s="605">
        <f t="shared" si="663"/>
        <v>6471.2500000000009</v>
      </c>
      <c r="M230" s="270">
        <f t="shared" si="660"/>
        <v>6471.2500000000009</v>
      </c>
      <c r="N230" s="605">
        <f t="shared" si="664"/>
        <v>6431.2500000000009</v>
      </c>
      <c r="O230" s="270">
        <f t="shared" si="665"/>
        <v>6431.2500000000009</v>
      </c>
      <c r="P230" s="605">
        <f t="shared" si="666"/>
        <v>6421.2500000000009</v>
      </c>
      <c r="Q230" s="270">
        <f t="shared" si="667"/>
        <v>6421.2500000000009</v>
      </c>
      <c r="R230" s="605">
        <f t="shared" si="668"/>
        <v>6401.2500000000009</v>
      </c>
      <c r="S230" s="270">
        <f t="shared" si="669"/>
        <v>6401.2500000000009</v>
      </c>
      <c r="T230" s="605">
        <f t="shared" si="670"/>
        <v>6386.2500000000009</v>
      </c>
      <c r="U230" s="270">
        <f t="shared" si="671"/>
        <v>6386.2500000000009</v>
      </c>
      <c r="V230" s="605">
        <f t="shared" si="672"/>
        <v>6377.2500000000009</v>
      </c>
      <c r="W230" s="270">
        <f t="shared" si="673"/>
        <v>6377.2500000000009</v>
      </c>
      <c r="X230" s="139"/>
      <c r="Y230" s="148"/>
      <c r="Z230" s="139"/>
      <c r="AA230" s="139"/>
      <c r="AB230" s="184" t="s">
        <v>187</v>
      </c>
    </row>
    <row r="231" spans="1:34" ht="12.6" customHeight="1" x14ac:dyDescent="0.2">
      <c r="A231" s="21"/>
      <c r="B231" s="708" t="s">
        <v>188</v>
      </c>
      <c r="C231" s="709"/>
      <c r="D231" s="709"/>
      <c r="E231" s="710"/>
      <c r="F231" s="352">
        <f>5.6*X2</f>
        <v>7000</v>
      </c>
      <c r="G231" s="271">
        <f t="shared" ref="G231:G232" si="674">+F231*$X$1</f>
        <v>7000</v>
      </c>
      <c r="H231" s="269"/>
      <c r="I231" s="321"/>
      <c r="J231" s="85">
        <f t="shared" si="661"/>
        <v>7200</v>
      </c>
      <c r="K231" s="271">
        <f t="shared" si="662"/>
        <v>7200</v>
      </c>
      <c r="L231" s="626">
        <f t="shared" si="663"/>
        <v>7150</v>
      </c>
      <c r="M231" s="271">
        <f t="shared" si="660"/>
        <v>7150</v>
      </c>
      <c r="N231" s="626">
        <f t="shared" si="664"/>
        <v>7110</v>
      </c>
      <c r="O231" s="271">
        <f t="shared" si="665"/>
        <v>7110</v>
      </c>
      <c r="P231" s="626">
        <f t="shared" si="666"/>
        <v>7100</v>
      </c>
      <c r="Q231" s="271">
        <f t="shared" si="667"/>
        <v>7100</v>
      </c>
      <c r="R231" s="626">
        <f t="shared" si="668"/>
        <v>7080</v>
      </c>
      <c r="S231" s="271">
        <f t="shared" si="669"/>
        <v>7080</v>
      </c>
      <c r="T231" s="626">
        <f t="shared" si="670"/>
        <v>7065</v>
      </c>
      <c r="U231" s="271">
        <f t="shared" si="671"/>
        <v>7065</v>
      </c>
      <c r="V231" s="626">
        <f t="shared" si="672"/>
        <v>7056</v>
      </c>
      <c r="W231" s="271">
        <f t="shared" si="673"/>
        <v>7056</v>
      </c>
      <c r="X231" s="139"/>
      <c r="Y231" s="148"/>
      <c r="Z231" s="139"/>
      <c r="AA231" s="139"/>
      <c r="AB231" s="184">
        <v>629</v>
      </c>
    </row>
    <row r="232" spans="1:34" ht="12.6" customHeight="1" x14ac:dyDescent="0.2">
      <c r="A232" s="21"/>
      <c r="B232" s="633" t="s">
        <v>389</v>
      </c>
      <c r="C232" s="634"/>
      <c r="D232" s="634"/>
      <c r="E232" s="635"/>
      <c r="F232" s="351">
        <f>8.55*X2</f>
        <v>10687.5</v>
      </c>
      <c r="G232" s="270">
        <f t="shared" si="674"/>
        <v>10687.5</v>
      </c>
      <c r="H232" s="297"/>
      <c r="I232" s="320"/>
      <c r="J232" s="70">
        <f t="shared" si="661"/>
        <v>10887.5</v>
      </c>
      <c r="K232" s="270">
        <f t="shared" si="662"/>
        <v>10887.5</v>
      </c>
      <c r="L232" s="605">
        <f t="shared" si="663"/>
        <v>10837.5</v>
      </c>
      <c r="M232" s="270">
        <f t="shared" si="660"/>
        <v>10837.5</v>
      </c>
      <c r="N232" s="605">
        <f t="shared" si="664"/>
        <v>10797.5</v>
      </c>
      <c r="O232" s="270">
        <f t="shared" si="665"/>
        <v>10797.5</v>
      </c>
      <c r="P232" s="605">
        <f t="shared" si="666"/>
        <v>10787.5</v>
      </c>
      <c r="Q232" s="270">
        <f t="shared" si="667"/>
        <v>10787.5</v>
      </c>
      <c r="R232" s="605">
        <f t="shared" si="668"/>
        <v>10767.5</v>
      </c>
      <c r="S232" s="270">
        <f t="shared" si="669"/>
        <v>10767.5</v>
      </c>
      <c r="T232" s="605">
        <f t="shared" si="670"/>
        <v>10752.5</v>
      </c>
      <c r="U232" s="270">
        <f t="shared" si="671"/>
        <v>10752.5</v>
      </c>
      <c r="V232" s="605">
        <f t="shared" si="672"/>
        <v>10743.5</v>
      </c>
      <c r="W232" s="270">
        <f t="shared" si="673"/>
        <v>10743.5</v>
      </c>
      <c r="X232" s="139"/>
      <c r="Y232" s="148"/>
      <c r="Z232" s="139"/>
      <c r="AA232" s="139"/>
      <c r="AB232" s="184">
        <v>630</v>
      </c>
    </row>
    <row r="233" spans="1:34" ht="12.6" customHeight="1" x14ac:dyDescent="0.2">
      <c r="A233" s="21"/>
      <c r="B233" s="708" t="s">
        <v>512</v>
      </c>
      <c r="C233" s="709"/>
      <c r="D233" s="709"/>
      <c r="E233" s="710"/>
      <c r="F233" s="352">
        <f>0.96*X2</f>
        <v>1200</v>
      </c>
      <c r="G233" s="273">
        <f t="shared" ref="G233" si="675">+F233*$X$1</f>
        <v>1200</v>
      </c>
      <c r="H233" s="269"/>
      <c r="I233" s="326"/>
      <c r="J233" s="485">
        <f t="shared" si="661"/>
        <v>1400</v>
      </c>
      <c r="K233" s="273">
        <f t="shared" si="662"/>
        <v>1400</v>
      </c>
      <c r="L233" s="626">
        <f t="shared" si="663"/>
        <v>1350</v>
      </c>
      <c r="M233" s="271">
        <f t="shared" si="660"/>
        <v>1350</v>
      </c>
      <c r="N233" s="626">
        <f t="shared" si="664"/>
        <v>1310</v>
      </c>
      <c r="O233" s="271">
        <f t="shared" si="665"/>
        <v>1310</v>
      </c>
      <c r="P233" s="626">
        <f t="shared" si="666"/>
        <v>1300</v>
      </c>
      <c r="Q233" s="271">
        <f t="shared" si="667"/>
        <v>1300</v>
      </c>
      <c r="R233" s="626">
        <f t="shared" si="668"/>
        <v>1280</v>
      </c>
      <c r="S233" s="271">
        <f t="shared" si="669"/>
        <v>1280</v>
      </c>
      <c r="T233" s="626">
        <f t="shared" si="670"/>
        <v>1265</v>
      </c>
      <c r="U233" s="271">
        <f t="shared" si="671"/>
        <v>1265</v>
      </c>
      <c r="V233" s="626">
        <f t="shared" si="672"/>
        <v>1256</v>
      </c>
      <c r="W233" s="271">
        <f t="shared" si="673"/>
        <v>1256</v>
      </c>
      <c r="X233" s="139"/>
      <c r="Y233" s="148"/>
      <c r="Z233" s="139"/>
      <c r="AA233" s="139"/>
      <c r="AB233" s="184">
        <v>631</v>
      </c>
    </row>
    <row r="234" spans="1:34" ht="12.6" customHeight="1" x14ac:dyDescent="0.2">
      <c r="A234" s="21"/>
      <c r="B234" s="633" t="s">
        <v>865</v>
      </c>
      <c r="C234" s="634"/>
      <c r="D234" s="634"/>
      <c r="E234" s="635"/>
      <c r="F234" s="351">
        <f>2.69*X2</f>
        <v>3362.5</v>
      </c>
      <c r="G234" s="270">
        <f t="shared" ref="G234" si="676">+F234*$X$1</f>
        <v>3362.5</v>
      </c>
      <c r="H234" s="265"/>
      <c r="I234" s="320"/>
      <c r="J234" s="70">
        <f t="shared" si="661"/>
        <v>3562.5</v>
      </c>
      <c r="K234" s="270">
        <f t="shared" si="662"/>
        <v>3562.5</v>
      </c>
      <c r="L234" s="605">
        <f t="shared" si="663"/>
        <v>3512.5</v>
      </c>
      <c r="M234" s="270">
        <f t="shared" si="660"/>
        <v>3512.5</v>
      </c>
      <c r="N234" s="605">
        <f t="shared" si="664"/>
        <v>3472.5</v>
      </c>
      <c r="O234" s="270">
        <f t="shared" si="665"/>
        <v>3472.5</v>
      </c>
      <c r="P234" s="605">
        <f t="shared" si="666"/>
        <v>3462.5</v>
      </c>
      <c r="Q234" s="270">
        <f t="shared" si="667"/>
        <v>3462.5</v>
      </c>
      <c r="R234" s="605">
        <f t="shared" si="668"/>
        <v>3442.5</v>
      </c>
      <c r="S234" s="270">
        <f t="shared" si="669"/>
        <v>3442.5</v>
      </c>
      <c r="T234" s="605">
        <f t="shared" si="670"/>
        <v>3427.5</v>
      </c>
      <c r="U234" s="270">
        <f t="shared" si="671"/>
        <v>3427.5</v>
      </c>
      <c r="V234" s="605">
        <f t="shared" si="672"/>
        <v>3418.5</v>
      </c>
      <c r="W234" s="270">
        <f t="shared" si="673"/>
        <v>3418.5</v>
      </c>
      <c r="X234" s="139"/>
      <c r="Y234" s="148"/>
      <c r="Z234" s="139"/>
      <c r="AA234" s="139"/>
      <c r="AB234" s="184">
        <v>633</v>
      </c>
    </row>
    <row r="235" spans="1:34" ht="12.6" customHeight="1" x14ac:dyDescent="0.2">
      <c r="A235" s="21"/>
      <c r="B235" s="708" t="s">
        <v>478</v>
      </c>
      <c r="C235" s="709"/>
      <c r="D235" s="709"/>
      <c r="E235" s="710"/>
      <c r="F235" s="352">
        <f>1.352*X2</f>
        <v>1690</v>
      </c>
      <c r="G235" s="271">
        <f>+F235*$X$1</f>
        <v>1690</v>
      </c>
      <c r="H235" s="628"/>
      <c r="I235" s="321"/>
      <c r="J235" s="85">
        <f>F235+200</f>
        <v>1890</v>
      </c>
      <c r="K235" s="271">
        <f>+J235*$X$1</f>
        <v>1890</v>
      </c>
      <c r="L235" s="626">
        <f>F235+150</f>
        <v>1840</v>
      </c>
      <c r="M235" s="271">
        <f>+L235*$X$1</f>
        <v>1840</v>
      </c>
      <c r="N235" s="626">
        <f>F235+110</f>
        <v>1800</v>
      </c>
      <c r="O235" s="271">
        <f>+N235*$X$1</f>
        <v>1800</v>
      </c>
      <c r="P235" s="626">
        <f>F235+100</f>
        <v>1790</v>
      </c>
      <c r="Q235" s="271">
        <f>+P235*$X$1</f>
        <v>1790</v>
      </c>
      <c r="R235" s="626">
        <f>F235+80</f>
        <v>1770</v>
      </c>
      <c r="S235" s="271">
        <f>+R235*$X$1</f>
        <v>1770</v>
      </c>
      <c r="T235" s="626">
        <f>F235+65</f>
        <v>1755</v>
      </c>
      <c r="U235" s="271">
        <f>+T235*$X$1</f>
        <v>1755</v>
      </c>
      <c r="V235" s="626">
        <f>F235+56</f>
        <v>1746</v>
      </c>
      <c r="W235" s="271">
        <f>+V235*$X$1</f>
        <v>1746</v>
      </c>
      <c r="X235" s="139"/>
      <c r="Y235" s="148"/>
      <c r="Z235" s="139"/>
      <c r="AA235" s="139"/>
      <c r="AB235" s="184">
        <v>640</v>
      </c>
    </row>
    <row r="236" spans="1:34" ht="12.6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58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AB236" s="93"/>
    </row>
    <row r="237" spans="1:34" ht="12.6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58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AB237" s="93"/>
    </row>
    <row r="238" spans="1:34" ht="12.6" customHeight="1" x14ac:dyDescent="0.2">
      <c r="A238" s="18"/>
      <c r="B238" s="3"/>
      <c r="C238" s="3"/>
      <c r="D238" s="3"/>
      <c r="E238" s="3"/>
      <c r="F238" s="4"/>
      <c r="G238" s="4"/>
      <c r="H238" s="3"/>
      <c r="I238" s="3"/>
      <c r="J238" s="3"/>
      <c r="K238" s="158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AB238" s="4"/>
    </row>
    <row r="239" spans="1:34" ht="15.75" customHeight="1" x14ac:dyDescent="0.2">
      <c r="A239" s="18"/>
      <c r="B239" s="711" t="s">
        <v>11</v>
      </c>
      <c r="C239" s="984" t="s">
        <v>12</v>
      </c>
      <c r="D239" s="985"/>
      <c r="E239" s="985"/>
      <c r="F239" s="763" t="s">
        <v>13</v>
      </c>
      <c r="G239" s="763" t="s">
        <v>13</v>
      </c>
      <c r="H239" s="661" t="s">
        <v>770</v>
      </c>
      <c r="I239" s="661"/>
      <c r="J239" s="662"/>
      <c r="K239" s="662"/>
      <c r="L239" s="662"/>
      <c r="M239" s="662"/>
      <c r="N239" s="662"/>
      <c r="O239" s="662"/>
      <c r="P239" s="662"/>
      <c r="Q239" s="662"/>
      <c r="R239" s="662"/>
      <c r="S239" s="662"/>
      <c r="T239" s="662"/>
      <c r="U239" s="662"/>
      <c r="V239" s="662"/>
      <c r="W239" s="662"/>
      <c r="X239" s="679" t="s">
        <v>14</v>
      </c>
      <c r="Y239" s="680"/>
      <c r="Z239" s="680"/>
      <c r="AA239" s="681"/>
      <c r="AB239" s="677" t="s">
        <v>15</v>
      </c>
      <c r="AF239" s="675" t="s">
        <v>3</v>
      </c>
      <c r="AG239" s="676"/>
      <c r="AH239" s="676"/>
    </row>
    <row r="240" spans="1:34" ht="11.25" customHeight="1" x14ac:dyDescent="0.2">
      <c r="A240" s="18"/>
      <c r="B240" s="711"/>
      <c r="C240" s="985"/>
      <c r="D240" s="985"/>
      <c r="E240" s="985"/>
      <c r="F240" s="764"/>
      <c r="G240" s="764"/>
      <c r="H240" s="442"/>
      <c r="I240" s="434" t="s">
        <v>279</v>
      </c>
      <c r="J240" s="436"/>
      <c r="K240" s="434" t="s">
        <v>17</v>
      </c>
      <c r="L240" s="437"/>
      <c r="M240" s="437" t="s">
        <v>18</v>
      </c>
      <c r="N240" s="437"/>
      <c r="O240" s="434" t="s">
        <v>19</v>
      </c>
      <c r="P240" s="437"/>
      <c r="Q240" s="437" t="s">
        <v>280</v>
      </c>
      <c r="R240" s="437"/>
      <c r="S240" s="437" t="s">
        <v>20</v>
      </c>
      <c r="T240" s="437"/>
      <c r="U240" s="437" t="s">
        <v>21</v>
      </c>
      <c r="V240" s="437"/>
      <c r="W240" s="437" t="s">
        <v>22</v>
      </c>
      <c r="X240" s="682"/>
      <c r="Y240" s="683"/>
      <c r="Z240" s="683"/>
      <c r="AA240" s="684"/>
      <c r="AB240" s="678"/>
    </row>
    <row r="241" spans="1:28" ht="12.6" customHeight="1" x14ac:dyDescent="0.2">
      <c r="A241" s="18"/>
      <c r="B241" s="629" t="s">
        <v>189</v>
      </c>
      <c r="C241" s="638"/>
      <c r="D241" s="638"/>
      <c r="E241" s="638"/>
      <c r="F241" s="352">
        <f>2.7*X2</f>
        <v>3375</v>
      </c>
      <c r="G241" s="271">
        <f>+F241*$X$1</f>
        <v>3375</v>
      </c>
      <c r="H241" s="626">
        <f>F241+600</f>
        <v>3975</v>
      </c>
      <c r="I241" s="271">
        <f t="shared" ref="I241" si="677">+H241*$X$1</f>
        <v>3975</v>
      </c>
      <c r="J241" s="626">
        <f>F241+200</f>
        <v>3575</v>
      </c>
      <c r="K241" s="271">
        <f t="shared" ref="K241" si="678">+J241*$X$1</f>
        <v>3575</v>
      </c>
      <c r="L241" s="626">
        <f>F241+150</f>
        <v>3525</v>
      </c>
      <c r="M241" s="271">
        <f t="shared" ref="M241" si="679">+L241*$X$1</f>
        <v>3525</v>
      </c>
      <c r="N241" s="626">
        <f>F241+100</f>
        <v>3475</v>
      </c>
      <c r="O241" s="271">
        <f>+N241*$X$1</f>
        <v>3475</v>
      </c>
      <c r="P241" s="626">
        <f>F241+90</f>
        <v>3465</v>
      </c>
      <c r="Q241" s="271">
        <f t="shared" ref="Q241" si="680">+P241*$X$1</f>
        <v>3465</v>
      </c>
      <c r="R241" s="626">
        <f>F241+70</f>
        <v>3445</v>
      </c>
      <c r="S241" s="271">
        <f>+R241*$X$1</f>
        <v>3445</v>
      </c>
      <c r="T241" s="626">
        <f>F241+56</f>
        <v>3431</v>
      </c>
      <c r="U241" s="271">
        <f t="shared" ref="U241" si="681">+T241*$X$1</f>
        <v>3431</v>
      </c>
      <c r="V241" s="626">
        <f>F241+49</f>
        <v>3424</v>
      </c>
      <c r="W241" s="271">
        <f t="shared" ref="W241" si="682">+V241*$X$1</f>
        <v>3424</v>
      </c>
      <c r="X241" s="686"/>
      <c r="Y241" s="771"/>
      <c r="Z241" s="771"/>
      <c r="AA241" s="687"/>
      <c r="AB241" s="184">
        <v>705</v>
      </c>
    </row>
    <row r="242" spans="1:28" ht="12.6" customHeight="1" x14ac:dyDescent="0.2">
      <c r="A242" s="18"/>
      <c r="B242" s="691" t="s">
        <v>490</v>
      </c>
      <c r="C242" s="692"/>
      <c r="D242" s="692"/>
      <c r="E242" s="692"/>
      <c r="F242" s="270">
        <v>9800</v>
      </c>
      <c r="G242" s="270">
        <f t="shared" ref="G242:G243" si="683">+F242*$X$1</f>
        <v>9800</v>
      </c>
      <c r="H242" s="605">
        <f>F242+600</f>
        <v>10400</v>
      </c>
      <c r="I242" s="270">
        <f t="shared" ref="I242:I243" si="684">+H242*$X$1</f>
        <v>10400</v>
      </c>
      <c r="J242" s="605">
        <f>F242+260</f>
        <v>10060</v>
      </c>
      <c r="K242" s="270">
        <f t="shared" ref="K242:K243" si="685">+J242*$X$1</f>
        <v>10060</v>
      </c>
      <c r="L242" s="605">
        <f>F242+230</f>
        <v>10030</v>
      </c>
      <c r="M242" s="270">
        <f t="shared" ref="M242:M243" si="686">+L242*$X$1</f>
        <v>10030</v>
      </c>
      <c r="N242" s="605">
        <f>F242+200</f>
        <v>10000</v>
      </c>
      <c r="O242" s="270">
        <f t="shared" ref="O242:O243" si="687">+N242*$X$1</f>
        <v>10000</v>
      </c>
      <c r="P242" s="605">
        <f>F242+170</f>
        <v>9970</v>
      </c>
      <c r="Q242" s="270">
        <f t="shared" ref="Q242:Q243" si="688">+P242*$X$1</f>
        <v>9970</v>
      </c>
      <c r="R242" s="605">
        <f>F242+150</f>
        <v>9950</v>
      </c>
      <c r="S242" s="270">
        <f t="shared" ref="S242:S243" si="689">+R242*$X$1</f>
        <v>9950</v>
      </c>
      <c r="T242" s="97">
        <f>F242+130</f>
        <v>9930</v>
      </c>
      <c r="U242" s="246">
        <f t="shared" ref="U242:U243" si="690">+T242*$X$1</f>
        <v>9930</v>
      </c>
      <c r="V242" s="97">
        <f>F242+110</f>
        <v>9910</v>
      </c>
      <c r="W242" s="246">
        <f t="shared" ref="W242:W243" si="691">+V242*$X$1</f>
        <v>9910</v>
      </c>
      <c r="X242" s="641"/>
      <c r="Y242" s="642"/>
      <c r="Z242" s="642"/>
      <c r="AA242" s="643"/>
      <c r="AB242" s="184">
        <v>815</v>
      </c>
    </row>
    <row r="243" spans="1:28" ht="12.6" customHeight="1" x14ac:dyDescent="0.2">
      <c r="A243" s="18"/>
      <c r="B243" s="631" t="s">
        <v>996</v>
      </c>
      <c r="C243" s="632"/>
      <c r="D243" s="632"/>
      <c r="E243" s="632"/>
      <c r="F243" s="352">
        <f>5.51*X2</f>
        <v>6887.5</v>
      </c>
      <c r="G243" s="271">
        <f t="shared" si="683"/>
        <v>6887.5</v>
      </c>
      <c r="H243" s="626">
        <f t="shared" ref="H243" si="692">F243+600</f>
        <v>7487.5</v>
      </c>
      <c r="I243" s="271">
        <f t="shared" si="684"/>
        <v>7487.5</v>
      </c>
      <c r="J243" s="626">
        <f t="shared" ref="J243" si="693">F243+260</f>
        <v>7147.5</v>
      </c>
      <c r="K243" s="271">
        <f t="shared" si="685"/>
        <v>7147.5</v>
      </c>
      <c r="L243" s="626">
        <f t="shared" ref="L243" si="694">F243+230</f>
        <v>7117.5</v>
      </c>
      <c r="M243" s="271">
        <f t="shared" si="686"/>
        <v>7117.5</v>
      </c>
      <c r="N243" s="626">
        <f t="shared" ref="N243" si="695">F243+200</f>
        <v>7087.5</v>
      </c>
      <c r="O243" s="271">
        <f t="shared" si="687"/>
        <v>7087.5</v>
      </c>
      <c r="P243" s="626">
        <f t="shared" ref="P243" si="696">F243+170</f>
        <v>7057.5</v>
      </c>
      <c r="Q243" s="271">
        <f t="shared" si="688"/>
        <v>7057.5</v>
      </c>
      <c r="R243" s="626">
        <f t="shared" ref="R243" si="697">F243+150</f>
        <v>7037.5</v>
      </c>
      <c r="S243" s="271">
        <f t="shared" si="689"/>
        <v>7037.5</v>
      </c>
      <c r="T243" s="96">
        <f t="shared" ref="T243" si="698">F243+130</f>
        <v>7017.5</v>
      </c>
      <c r="U243" s="286">
        <f t="shared" si="690"/>
        <v>7017.5</v>
      </c>
      <c r="V243" s="96">
        <f t="shared" ref="V243" si="699">F243+110</f>
        <v>6997.5</v>
      </c>
      <c r="W243" s="286">
        <f t="shared" si="691"/>
        <v>6997.5</v>
      </c>
      <c r="X243" s="641"/>
      <c r="Y243" s="642"/>
      <c r="Z243" s="642"/>
      <c r="AA243" s="643"/>
      <c r="AB243" s="184">
        <v>816</v>
      </c>
    </row>
    <row r="244" spans="1:28" ht="12.6" customHeight="1" x14ac:dyDescent="0.2">
      <c r="A244" s="18"/>
      <c r="B244" s="631" t="s">
        <v>895</v>
      </c>
      <c r="C244" s="713"/>
      <c r="D244" s="713"/>
      <c r="E244" s="713"/>
      <c r="F244" s="351">
        <f>32.25*X2</f>
        <v>40312.5</v>
      </c>
      <c r="G244" s="270">
        <f>+F244*$X$1</f>
        <v>40312.5</v>
      </c>
      <c r="H244" s="605">
        <f>F244+600</f>
        <v>40912.5</v>
      </c>
      <c r="I244" s="270">
        <f t="shared" ref="I244" si="700">+H244*$X$1</f>
        <v>40912.5</v>
      </c>
      <c r="J244" s="605">
        <f>F244+260</f>
        <v>40572.5</v>
      </c>
      <c r="K244" s="270">
        <f t="shared" ref="K244" si="701">+J244*$X$1</f>
        <v>40572.5</v>
      </c>
      <c r="L244" s="605">
        <f>F244+230</f>
        <v>40542.5</v>
      </c>
      <c r="M244" s="270">
        <f t="shared" ref="M244" si="702">+L244*$X$1</f>
        <v>40542.5</v>
      </c>
      <c r="N244" s="605">
        <f>F244+200</f>
        <v>40512.5</v>
      </c>
      <c r="O244" s="270">
        <f t="shared" ref="O244" si="703">+N244*$X$1</f>
        <v>40512.5</v>
      </c>
      <c r="P244" s="605">
        <f>F244+170</f>
        <v>40482.5</v>
      </c>
      <c r="Q244" s="270">
        <f t="shared" ref="Q244" si="704">+P244*$X$1</f>
        <v>40482.5</v>
      </c>
      <c r="R244" s="605">
        <f>F244+150</f>
        <v>40462.5</v>
      </c>
      <c r="S244" s="270">
        <f t="shared" ref="S244" si="705">+R244*$X$1</f>
        <v>40462.5</v>
      </c>
      <c r="T244" s="97">
        <f>F244+130</f>
        <v>40442.5</v>
      </c>
      <c r="U244" s="246">
        <f t="shared" ref="U244" si="706">+T244*$X$1</f>
        <v>40442.5</v>
      </c>
      <c r="V244" s="97">
        <f>F244+110</f>
        <v>40422.5</v>
      </c>
      <c r="W244" s="246">
        <f t="shared" ref="W244" si="707">+V244*$X$1</f>
        <v>40422.5</v>
      </c>
      <c r="X244" s="641"/>
      <c r="Y244" s="642"/>
      <c r="Z244" s="642"/>
      <c r="AA244" s="643"/>
      <c r="AB244" s="184">
        <v>817</v>
      </c>
    </row>
    <row r="245" spans="1:28" ht="12.6" customHeight="1" x14ac:dyDescent="0.2">
      <c r="A245" s="18"/>
      <c r="B245" s="631" t="s">
        <v>896</v>
      </c>
      <c r="C245" s="713"/>
      <c r="D245" s="713"/>
      <c r="E245" s="713"/>
      <c r="F245" s="352">
        <f>16.04*X2</f>
        <v>20050</v>
      </c>
      <c r="G245" s="271">
        <f>+F245*$X$1</f>
        <v>20050</v>
      </c>
      <c r="H245" s="626">
        <f>F245+600</f>
        <v>20650</v>
      </c>
      <c r="I245" s="271">
        <f t="shared" ref="I245" si="708">+H245*$X$1</f>
        <v>20650</v>
      </c>
      <c r="J245" s="626">
        <f>F245+260</f>
        <v>20310</v>
      </c>
      <c r="K245" s="271">
        <f t="shared" ref="K245" si="709">+J245*$X$1</f>
        <v>20310</v>
      </c>
      <c r="L245" s="626">
        <f>F245+230</f>
        <v>20280</v>
      </c>
      <c r="M245" s="271">
        <f t="shared" ref="M245" si="710">+L245*$X$1</f>
        <v>20280</v>
      </c>
      <c r="N245" s="626">
        <f>F245+200</f>
        <v>20250</v>
      </c>
      <c r="O245" s="271">
        <f t="shared" ref="O245" si="711">+N245*$X$1</f>
        <v>20250</v>
      </c>
      <c r="P245" s="626">
        <f>F245+170</f>
        <v>20220</v>
      </c>
      <c r="Q245" s="271">
        <f t="shared" ref="Q245" si="712">+P245*$X$1</f>
        <v>20220</v>
      </c>
      <c r="R245" s="626">
        <f>F245+150</f>
        <v>20200</v>
      </c>
      <c r="S245" s="271">
        <f t="shared" ref="S245" si="713">+R245*$X$1</f>
        <v>20200</v>
      </c>
      <c r="T245" s="96">
        <f>F245+130</f>
        <v>20180</v>
      </c>
      <c r="U245" s="286">
        <f t="shared" ref="U245" si="714">+T245*$X$1</f>
        <v>20180</v>
      </c>
      <c r="V245" s="96">
        <f>F245+110</f>
        <v>20160</v>
      </c>
      <c r="W245" s="286">
        <f t="shared" ref="W245" si="715">+V245*$X$1</f>
        <v>20160</v>
      </c>
      <c r="X245" s="641"/>
      <c r="Y245" s="642"/>
      <c r="Z245" s="642"/>
      <c r="AA245" s="643"/>
      <c r="AB245" s="184">
        <v>818</v>
      </c>
    </row>
    <row r="246" spans="1:28" ht="12.6" customHeight="1" x14ac:dyDescent="0.2">
      <c r="A246" s="18"/>
      <c r="B246" s="691" t="s">
        <v>489</v>
      </c>
      <c r="C246" s="692"/>
      <c r="D246" s="692"/>
      <c r="E246" s="692"/>
      <c r="F246" s="270">
        <v>13990</v>
      </c>
      <c r="G246" s="270">
        <f t="shared" ref="G246" si="716">+F246*$X$1</f>
        <v>13990</v>
      </c>
      <c r="H246" s="605">
        <f t="shared" ref="H246:H273" si="717">F246+600</f>
        <v>14590</v>
      </c>
      <c r="I246" s="270">
        <f t="shared" ref="I246:I273" si="718">+H246*$X$1</f>
        <v>14590</v>
      </c>
      <c r="J246" s="605">
        <f t="shared" ref="J246:J273" si="719">F246+260</f>
        <v>14250</v>
      </c>
      <c r="K246" s="270">
        <f t="shared" ref="K246:K273" si="720">+J246*$X$1</f>
        <v>14250</v>
      </c>
      <c r="L246" s="605">
        <f t="shared" ref="L246:L273" si="721">F246+230</f>
        <v>14220</v>
      </c>
      <c r="M246" s="270">
        <f t="shared" ref="M246:M273" si="722">+L246*$X$1</f>
        <v>14220</v>
      </c>
      <c r="N246" s="605">
        <f t="shared" ref="N246:N273" si="723">F246+200</f>
        <v>14190</v>
      </c>
      <c r="O246" s="270">
        <f t="shared" ref="O246:O273" si="724">+N246*$X$1</f>
        <v>14190</v>
      </c>
      <c r="P246" s="605">
        <f t="shared" ref="P246:P273" si="725">F246+170</f>
        <v>14160</v>
      </c>
      <c r="Q246" s="270">
        <f t="shared" ref="Q246:Q273" si="726">+P246*$X$1</f>
        <v>14160</v>
      </c>
      <c r="R246" s="605">
        <f t="shared" ref="R246:R273" si="727">F246+150</f>
        <v>14140</v>
      </c>
      <c r="S246" s="270">
        <f t="shared" ref="S246:S273" si="728">+R246*$X$1</f>
        <v>14140</v>
      </c>
      <c r="T246" s="97">
        <f t="shared" ref="T246:T273" si="729">F246+130</f>
        <v>14120</v>
      </c>
      <c r="U246" s="246">
        <f t="shared" ref="U246:U273" si="730">+T246*$X$1</f>
        <v>14120</v>
      </c>
      <c r="V246" s="97">
        <f t="shared" ref="V246:V273" si="731">F246+110</f>
        <v>14100</v>
      </c>
      <c r="W246" s="246">
        <f t="shared" ref="W246:W273" si="732">+V246*$X$1</f>
        <v>14100</v>
      </c>
      <c r="X246" s="641"/>
      <c r="Y246" s="642"/>
      <c r="Z246" s="642"/>
      <c r="AA246" s="643"/>
      <c r="AB246" s="184">
        <v>819</v>
      </c>
    </row>
    <row r="247" spans="1:28" ht="12.6" customHeight="1" x14ac:dyDescent="0.2">
      <c r="A247" s="18"/>
      <c r="B247" s="629" t="s">
        <v>665</v>
      </c>
      <c r="C247" s="638"/>
      <c r="D247" s="638"/>
      <c r="E247" s="638"/>
      <c r="F247" s="352">
        <f>4.7*X2</f>
        <v>5875</v>
      </c>
      <c r="G247" s="271">
        <f>+F247*$X$1</f>
        <v>5875</v>
      </c>
      <c r="H247" s="626">
        <f t="shared" si="717"/>
        <v>6475</v>
      </c>
      <c r="I247" s="271">
        <f t="shared" si="718"/>
        <v>6475</v>
      </c>
      <c r="J247" s="626">
        <f t="shared" si="719"/>
        <v>6135</v>
      </c>
      <c r="K247" s="271">
        <f t="shared" si="720"/>
        <v>6135</v>
      </c>
      <c r="L247" s="626">
        <f t="shared" si="721"/>
        <v>6105</v>
      </c>
      <c r="M247" s="271">
        <f t="shared" si="722"/>
        <v>6105</v>
      </c>
      <c r="N247" s="626">
        <f t="shared" si="723"/>
        <v>6075</v>
      </c>
      <c r="O247" s="271">
        <f t="shared" si="724"/>
        <v>6075</v>
      </c>
      <c r="P247" s="626">
        <f t="shared" si="725"/>
        <v>6045</v>
      </c>
      <c r="Q247" s="271">
        <f t="shared" si="726"/>
        <v>6045</v>
      </c>
      <c r="R247" s="626">
        <f t="shared" si="727"/>
        <v>6025</v>
      </c>
      <c r="S247" s="271">
        <f t="shared" si="728"/>
        <v>6025</v>
      </c>
      <c r="T247" s="96">
        <f t="shared" si="729"/>
        <v>6005</v>
      </c>
      <c r="U247" s="286">
        <f t="shared" si="730"/>
        <v>6005</v>
      </c>
      <c r="V247" s="96">
        <f t="shared" si="731"/>
        <v>5985</v>
      </c>
      <c r="W247" s="286">
        <f t="shared" si="732"/>
        <v>5985</v>
      </c>
      <c r="X247" s="641"/>
      <c r="Y247" s="642"/>
      <c r="Z247" s="642"/>
      <c r="AA247" s="643"/>
      <c r="AB247" s="184">
        <v>821</v>
      </c>
    </row>
    <row r="248" spans="1:28" ht="12.6" customHeight="1" x14ac:dyDescent="0.2">
      <c r="A248" s="18"/>
      <c r="B248" s="631" t="s">
        <v>847</v>
      </c>
      <c r="C248" s="632"/>
      <c r="D248" s="632"/>
      <c r="E248" s="632"/>
      <c r="F248" s="351">
        <f>12*X2</f>
        <v>15000</v>
      </c>
      <c r="G248" s="270">
        <f t="shared" ref="G248" si="733">+F248*$X$1</f>
        <v>15000</v>
      </c>
      <c r="H248" s="605">
        <f t="shared" si="717"/>
        <v>15600</v>
      </c>
      <c r="I248" s="270">
        <f t="shared" si="718"/>
        <v>15600</v>
      </c>
      <c r="J248" s="605">
        <f t="shared" si="719"/>
        <v>15260</v>
      </c>
      <c r="K248" s="270">
        <f t="shared" si="720"/>
        <v>15260</v>
      </c>
      <c r="L248" s="605">
        <f t="shared" si="721"/>
        <v>15230</v>
      </c>
      <c r="M248" s="270">
        <f t="shared" si="722"/>
        <v>15230</v>
      </c>
      <c r="N248" s="605">
        <f t="shared" si="723"/>
        <v>15200</v>
      </c>
      <c r="O248" s="270">
        <f t="shared" si="724"/>
        <v>15200</v>
      </c>
      <c r="P248" s="605">
        <f t="shared" si="725"/>
        <v>15170</v>
      </c>
      <c r="Q248" s="270">
        <f t="shared" si="726"/>
        <v>15170</v>
      </c>
      <c r="R248" s="605">
        <f t="shared" si="727"/>
        <v>15150</v>
      </c>
      <c r="S248" s="270">
        <f t="shared" si="728"/>
        <v>15150</v>
      </c>
      <c r="T248" s="97">
        <f t="shared" si="729"/>
        <v>15130</v>
      </c>
      <c r="U248" s="246">
        <f t="shared" si="730"/>
        <v>15130</v>
      </c>
      <c r="V248" s="97">
        <f t="shared" si="731"/>
        <v>15110</v>
      </c>
      <c r="W248" s="246">
        <f t="shared" si="732"/>
        <v>15110</v>
      </c>
      <c r="X248" s="641"/>
      <c r="Y248" s="642"/>
      <c r="Z248" s="642"/>
      <c r="AA248" s="643"/>
      <c r="AB248" s="184">
        <v>822</v>
      </c>
    </row>
    <row r="249" spans="1:28" ht="12.6" customHeight="1" x14ac:dyDescent="0.2">
      <c r="A249" s="18"/>
      <c r="B249" s="629" t="s">
        <v>485</v>
      </c>
      <c r="C249" s="638"/>
      <c r="D249" s="638"/>
      <c r="E249" s="638"/>
      <c r="F249" s="271">
        <v>12995</v>
      </c>
      <c r="G249" s="271">
        <f>+F249*$X$1</f>
        <v>12995</v>
      </c>
      <c r="H249" s="626">
        <f t="shared" si="717"/>
        <v>13595</v>
      </c>
      <c r="I249" s="271">
        <f t="shared" si="718"/>
        <v>13595</v>
      </c>
      <c r="J249" s="626">
        <f t="shared" si="719"/>
        <v>13255</v>
      </c>
      <c r="K249" s="271">
        <f t="shared" si="720"/>
        <v>13255</v>
      </c>
      <c r="L249" s="626">
        <f t="shared" si="721"/>
        <v>13225</v>
      </c>
      <c r="M249" s="271">
        <f t="shared" si="722"/>
        <v>13225</v>
      </c>
      <c r="N249" s="626">
        <f t="shared" si="723"/>
        <v>13195</v>
      </c>
      <c r="O249" s="271">
        <f t="shared" si="724"/>
        <v>13195</v>
      </c>
      <c r="P249" s="626">
        <f t="shared" si="725"/>
        <v>13165</v>
      </c>
      <c r="Q249" s="271">
        <f t="shared" si="726"/>
        <v>13165</v>
      </c>
      <c r="R249" s="626">
        <f t="shared" si="727"/>
        <v>13145</v>
      </c>
      <c r="S249" s="271">
        <f t="shared" si="728"/>
        <v>13145</v>
      </c>
      <c r="T249" s="96">
        <f t="shared" si="729"/>
        <v>13125</v>
      </c>
      <c r="U249" s="286">
        <f t="shared" si="730"/>
        <v>13125</v>
      </c>
      <c r="V249" s="96">
        <f t="shared" si="731"/>
        <v>13105</v>
      </c>
      <c r="W249" s="286">
        <f t="shared" si="732"/>
        <v>13105</v>
      </c>
      <c r="X249" s="641"/>
      <c r="Y249" s="642"/>
      <c r="Z249" s="642"/>
      <c r="AA249" s="643"/>
      <c r="AB249" s="184">
        <v>823</v>
      </c>
    </row>
    <row r="250" spans="1:28" ht="12.6" customHeight="1" x14ac:dyDescent="0.2">
      <c r="A250" s="18"/>
      <c r="B250" s="631" t="s">
        <v>857</v>
      </c>
      <c r="C250" s="632"/>
      <c r="D250" s="632"/>
      <c r="E250" s="632"/>
      <c r="F250" s="351">
        <f>3.45*X2</f>
        <v>4312.5</v>
      </c>
      <c r="G250" s="270">
        <f t="shared" ref="G250" si="734">+F250*$X$1</f>
        <v>4312.5</v>
      </c>
      <c r="H250" s="605">
        <f t="shared" si="717"/>
        <v>4912.5</v>
      </c>
      <c r="I250" s="270">
        <f t="shared" si="718"/>
        <v>4912.5</v>
      </c>
      <c r="J250" s="605">
        <f t="shared" si="719"/>
        <v>4572.5</v>
      </c>
      <c r="K250" s="270">
        <f t="shared" si="720"/>
        <v>4572.5</v>
      </c>
      <c r="L250" s="605">
        <f t="shared" si="721"/>
        <v>4542.5</v>
      </c>
      <c r="M250" s="270">
        <f t="shared" si="722"/>
        <v>4542.5</v>
      </c>
      <c r="N250" s="605">
        <f t="shared" si="723"/>
        <v>4512.5</v>
      </c>
      <c r="O250" s="270">
        <f t="shared" si="724"/>
        <v>4512.5</v>
      </c>
      <c r="P250" s="605">
        <f t="shared" si="725"/>
        <v>4482.5</v>
      </c>
      <c r="Q250" s="270">
        <f t="shared" si="726"/>
        <v>4482.5</v>
      </c>
      <c r="R250" s="605">
        <f t="shared" si="727"/>
        <v>4462.5</v>
      </c>
      <c r="S250" s="270">
        <f t="shared" si="728"/>
        <v>4462.5</v>
      </c>
      <c r="T250" s="97">
        <f t="shared" si="729"/>
        <v>4442.5</v>
      </c>
      <c r="U250" s="246">
        <f t="shared" si="730"/>
        <v>4442.5</v>
      </c>
      <c r="V250" s="97">
        <f t="shared" si="731"/>
        <v>4422.5</v>
      </c>
      <c r="W250" s="246">
        <f t="shared" si="732"/>
        <v>4422.5</v>
      </c>
      <c r="X250" s="641"/>
      <c r="Y250" s="642"/>
      <c r="Z250" s="642"/>
      <c r="AA250" s="643"/>
      <c r="AB250" s="184">
        <v>824</v>
      </c>
    </row>
    <row r="251" spans="1:28" ht="12.6" customHeight="1" x14ac:dyDescent="0.2">
      <c r="A251" s="18"/>
      <c r="B251" s="629" t="s">
        <v>795</v>
      </c>
      <c r="C251" s="638"/>
      <c r="D251" s="638"/>
      <c r="E251" s="638"/>
      <c r="F251" s="352">
        <f>3.4*X2</f>
        <v>4250</v>
      </c>
      <c r="G251" s="271">
        <f>+F251*$X$1</f>
        <v>4250</v>
      </c>
      <c r="H251" s="626">
        <f t="shared" si="717"/>
        <v>4850</v>
      </c>
      <c r="I251" s="271">
        <f t="shared" si="718"/>
        <v>4850</v>
      </c>
      <c r="J251" s="626">
        <f t="shared" si="719"/>
        <v>4510</v>
      </c>
      <c r="K251" s="271">
        <f t="shared" si="720"/>
        <v>4510</v>
      </c>
      <c r="L251" s="626">
        <f t="shared" si="721"/>
        <v>4480</v>
      </c>
      <c r="M251" s="271">
        <f t="shared" si="722"/>
        <v>4480</v>
      </c>
      <c r="N251" s="626">
        <f t="shared" si="723"/>
        <v>4450</v>
      </c>
      <c r="O251" s="271">
        <f t="shared" si="724"/>
        <v>4450</v>
      </c>
      <c r="P251" s="626">
        <f t="shared" si="725"/>
        <v>4420</v>
      </c>
      <c r="Q251" s="271">
        <f t="shared" si="726"/>
        <v>4420</v>
      </c>
      <c r="R251" s="626">
        <f t="shared" si="727"/>
        <v>4400</v>
      </c>
      <c r="S251" s="271">
        <f t="shared" si="728"/>
        <v>4400</v>
      </c>
      <c r="T251" s="96">
        <f t="shared" si="729"/>
        <v>4380</v>
      </c>
      <c r="U251" s="286">
        <f t="shared" si="730"/>
        <v>4380</v>
      </c>
      <c r="V251" s="96">
        <f t="shared" si="731"/>
        <v>4360</v>
      </c>
      <c r="W251" s="286">
        <f t="shared" si="732"/>
        <v>4360</v>
      </c>
      <c r="X251" s="641"/>
      <c r="Y251" s="642"/>
      <c r="Z251" s="642"/>
      <c r="AA251" s="643"/>
      <c r="AB251" s="184">
        <v>825</v>
      </c>
    </row>
    <row r="252" spans="1:28" ht="12.6" customHeight="1" x14ac:dyDescent="0.2">
      <c r="A252" s="18"/>
      <c r="B252" s="691" t="s">
        <v>660</v>
      </c>
      <c r="C252" s="692"/>
      <c r="D252" s="692"/>
      <c r="E252" s="692"/>
      <c r="F252" s="351">
        <f>7.5*X2</f>
        <v>9375</v>
      </c>
      <c r="G252" s="270">
        <f>+F252*$X$1</f>
        <v>9375</v>
      </c>
      <c r="H252" s="605">
        <f t="shared" si="717"/>
        <v>9975</v>
      </c>
      <c r="I252" s="270">
        <f t="shared" si="718"/>
        <v>9975</v>
      </c>
      <c r="J252" s="605">
        <f t="shared" si="719"/>
        <v>9635</v>
      </c>
      <c r="K252" s="270">
        <f t="shared" si="720"/>
        <v>9635</v>
      </c>
      <c r="L252" s="605">
        <f t="shared" si="721"/>
        <v>9605</v>
      </c>
      <c r="M252" s="270">
        <f t="shared" si="722"/>
        <v>9605</v>
      </c>
      <c r="N252" s="605">
        <f t="shared" si="723"/>
        <v>9575</v>
      </c>
      <c r="O252" s="270">
        <f t="shared" si="724"/>
        <v>9575</v>
      </c>
      <c r="P252" s="605">
        <f t="shared" si="725"/>
        <v>9545</v>
      </c>
      <c r="Q252" s="270">
        <f t="shared" si="726"/>
        <v>9545</v>
      </c>
      <c r="R252" s="605">
        <f t="shared" si="727"/>
        <v>9525</v>
      </c>
      <c r="S252" s="270">
        <f t="shared" si="728"/>
        <v>9525</v>
      </c>
      <c r="T252" s="97">
        <f t="shared" si="729"/>
        <v>9505</v>
      </c>
      <c r="U252" s="246">
        <f t="shared" si="730"/>
        <v>9505</v>
      </c>
      <c r="V252" s="97">
        <f t="shared" si="731"/>
        <v>9485</v>
      </c>
      <c r="W252" s="246">
        <f t="shared" si="732"/>
        <v>9485</v>
      </c>
      <c r="X252" s="641"/>
      <c r="Y252" s="642"/>
      <c r="Z252" s="642"/>
      <c r="AA252" s="643"/>
      <c r="AB252" s="184">
        <v>826</v>
      </c>
    </row>
    <row r="253" spans="1:28" ht="12.6" customHeight="1" x14ac:dyDescent="0.2">
      <c r="A253" s="18"/>
      <c r="B253" s="741" t="s">
        <v>826</v>
      </c>
      <c r="C253" s="638"/>
      <c r="D253" s="638"/>
      <c r="E253" s="638"/>
      <c r="F253" s="352">
        <f>2.9*X2</f>
        <v>3625</v>
      </c>
      <c r="G253" s="271">
        <f t="shared" ref="G253" si="735">+F253*$X$1</f>
        <v>3625</v>
      </c>
      <c r="H253" s="626">
        <f t="shared" si="717"/>
        <v>4225</v>
      </c>
      <c r="I253" s="271">
        <f t="shared" si="718"/>
        <v>4225</v>
      </c>
      <c r="J253" s="626">
        <f t="shared" si="719"/>
        <v>3885</v>
      </c>
      <c r="K253" s="271">
        <f t="shared" si="720"/>
        <v>3885</v>
      </c>
      <c r="L253" s="626">
        <f t="shared" si="721"/>
        <v>3855</v>
      </c>
      <c r="M253" s="271">
        <f t="shared" si="722"/>
        <v>3855</v>
      </c>
      <c r="N253" s="626">
        <f t="shared" si="723"/>
        <v>3825</v>
      </c>
      <c r="O253" s="271">
        <f t="shared" si="724"/>
        <v>3825</v>
      </c>
      <c r="P253" s="626">
        <f t="shared" si="725"/>
        <v>3795</v>
      </c>
      <c r="Q253" s="271">
        <f t="shared" si="726"/>
        <v>3795</v>
      </c>
      <c r="R253" s="626">
        <f t="shared" si="727"/>
        <v>3775</v>
      </c>
      <c r="S253" s="271">
        <f t="shared" si="728"/>
        <v>3775</v>
      </c>
      <c r="T253" s="96">
        <f t="shared" si="729"/>
        <v>3755</v>
      </c>
      <c r="U253" s="286">
        <f t="shared" si="730"/>
        <v>3755</v>
      </c>
      <c r="V253" s="96">
        <f t="shared" si="731"/>
        <v>3735</v>
      </c>
      <c r="W253" s="286">
        <f t="shared" si="732"/>
        <v>3735</v>
      </c>
      <c r="X253" s="641"/>
      <c r="Y253" s="642"/>
      <c r="Z253" s="642"/>
      <c r="AA253" s="643"/>
      <c r="AB253" s="184">
        <v>827</v>
      </c>
    </row>
    <row r="254" spans="1:28" ht="12.6" customHeight="1" x14ac:dyDescent="0.2">
      <c r="A254" s="18"/>
      <c r="B254" s="696" t="s">
        <v>661</v>
      </c>
      <c r="C254" s="697"/>
      <c r="D254" s="697"/>
      <c r="E254" s="697"/>
      <c r="F254" s="495">
        <f>6.9*X2</f>
        <v>8625</v>
      </c>
      <c r="G254" s="491">
        <f>+F254*$X$1</f>
        <v>8625</v>
      </c>
      <c r="H254" s="592">
        <f t="shared" si="717"/>
        <v>9225</v>
      </c>
      <c r="I254" s="491">
        <f t="shared" si="718"/>
        <v>9225</v>
      </c>
      <c r="J254" s="592">
        <f t="shared" si="719"/>
        <v>8885</v>
      </c>
      <c r="K254" s="491">
        <f t="shared" si="720"/>
        <v>8885</v>
      </c>
      <c r="L254" s="592">
        <f t="shared" si="721"/>
        <v>8855</v>
      </c>
      <c r="M254" s="491">
        <f t="shared" si="722"/>
        <v>8855</v>
      </c>
      <c r="N254" s="592">
        <f t="shared" si="723"/>
        <v>8825</v>
      </c>
      <c r="O254" s="491">
        <f t="shared" si="724"/>
        <v>8825</v>
      </c>
      <c r="P254" s="592">
        <f t="shared" si="725"/>
        <v>8795</v>
      </c>
      <c r="Q254" s="491">
        <f t="shared" si="726"/>
        <v>8795</v>
      </c>
      <c r="R254" s="592">
        <f t="shared" si="727"/>
        <v>8775</v>
      </c>
      <c r="S254" s="491">
        <f t="shared" si="728"/>
        <v>8775</v>
      </c>
      <c r="T254" s="586">
        <f t="shared" si="729"/>
        <v>8755</v>
      </c>
      <c r="U254" s="585">
        <f t="shared" si="730"/>
        <v>8755</v>
      </c>
      <c r="V254" s="586">
        <f t="shared" si="731"/>
        <v>8735</v>
      </c>
      <c r="W254" s="585">
        <f t="shared" si="732"/>
        <v>8735</v>
      </c>
      <c r="X254" s="641"/>
      <c r="Y254" s="642"/>
      <c r="Z254" s="642"/>
      <c r="AA254" s="643"/>
      <c r="AB254" s="184">
        <v>828</v>
      </c>
    </row>
    <row r="255" spans="1:28" ht="12.6" customHeight="1" x14ac:dyDescent="0.2">
      <c r="A255" s="18"/>
      <c r="B255" s="629" t="s">
        <v>587</v>
      </c>
      <c r="C255" s="638"/>
      <c r="D255" s="638"/>
      <c r="E255" s="638"/>
      <c r="F255" s="352">
        <f>3.612*X2</f>
        <v>4515</v>
      </c>
      <c r="G255" s="271">
        <f>+F255*$X$1</f>
        <v>4515</v>
      </c>
      <c r="H255" s="626">
        <f t="shared" si="717"/>
        <v>5115</v>
      </c>
      <c r="I255" s="271">
        <f t="shared" si="718"/>
        <v>5115</v>
      </c>
      <c r="J255" s="626">
        <f t="shared" si="719"/>
        <v>4775</v>
      </c>
      <c r="K255" s="271">
        <f t="shared" si="720"/>
        <v>4775</v>
      </c>
      <c r="L255" s="626">
        <f t="shared" si="721"/>
        <v>4745</v>
      </c>
      <c r="M255" s="271">
        <f t="shared" si="722"/>
        <v>4745</v>
      </c>
      <c r="N255" s="626">
        <f t="shared" si="723"/>
        <v>4715</v>
      </c>
      <c r="O255" s="271">
        <f t="shared" si="724"/>
        <v>4715</v>
      </c>
      <c r="P255" s="626">
        <f t="shared" si="725"/>
        <v>4685</v>
      </c>
      <c r="Q255" s="271">
        <f t="shared" si="726"/>
        <v>4685</v>
      </c>
      <c r="R255" s="626">
        <f t="shared" si="727"/>
        <v>4665</v>
      </c>
      <c r="S255" s="271">
        <f t="shared" si="728"/>
        <v>4665</v>
      </c>
      <c r="T255" s="96">
        <f t="shared" si="729"/>
        <v>4645</v>
      </c>
      <c r="U255" s="286">
        <f t="shared" si="730"/>
        <v>4645</v>
      </c>
      <c r="V255" s="96">
        <f t="shared" si="731"/>
        <v>4625</v>
      </c>
      <c r="W255" s="286">
        <f t="shared" si="732"/>
        <v>4625</v>
      </c>
      <c r="X255" s="641"/>
      <c r="Y255" s="642"/>
      <c r="Z255" s="642"/>
      <c r="AA255" s="643"/>
      <c r="AB255" s="184">
        <v>829</v>
      </c>
    </row>
    <row r="256" spans="1:28" ht="12.6" customHeight="1" x14ac:dyDescent="0.2">
      <c r="A256" s="18"/>
      <c r="B256" s="691" t="s">
        <v>796</v>
      </c>
      <c r="C256" s="692"/>
      <c r="D256" s="692"/>
      <c r="E256" s="692"/>
      <c r="F256" s="351">
        <f>7.75*X2</f>
        <v>9687.5</v>
      </c>
      <c r="G256" s="270">
        <f>+F256*$X$1</f>
        <v>9687.5</v>
      </c>
      <c r="H256" s="605">
        <f t="shared" si="717"/>
        <v>10287.5</v>
      </c>
      <c r="I256" s="270">
        <f t="shared" si="718"/>
        <v>10287.5</v>
      </c>
      <c r="J256" s="605">
        <f t="shared" si="719"/>
        <v>9947.5</v>
      </c>
      <c r="K256" s="270">
        <f t="shared" si="720"/>
        <v>9947.5</v>
      </c>
      <c r="L256" s="605">
        <f t="shared" si="721"/>
        <v>9917.5</v>
      </c>
      <c r="M256" s="270">
        <f t="shared" si="722"/>
        <v>9917.5</v>
      </c>
      <c r="N256" s="605">
        <f t="shared" si="723"/>
        <v>9887.5</v>
      </c>
      <c r="O256" s="270">
        <f t="shared" si="724"/>
        <v>9887.5</v>
      </c>
      <c r="P256" s="605">
        <f t="shared" si="725"/>
        <v>9857.5</v>
      </c>
      <c r="Q256" s="270">
        <f t="shared" si="726"/>
        <v>9857.5</v>
      </c>
      <c r="R256" s="605">
        <f t="shared" si="727"/>
        <v>9837.5</v>
      </c>
      <c r="S256" s="270">
        <f t="shared" si="728"/>
        <v>9837.5</v>
      </c>
      <c r="T256" s="97">
        <f t="shared" si="729"/>
        <v>9817.5</v>
      </c>
      <c r="U256" s="246">
        <f t="shared" si="730"/>
        <v>9817.5</v>
      </c>
      <c r="V256" s="97">
        <f t="shared" si="731"/>
        <v>9797.5</v>
      </c>
      <c r="W256" s="246">
        <f t="shared" si="732"/>
        <v>9797.5</v>
      </c>
      <c r="X256" s="641"/>
      <c r="Y256" s="642"/>
      <c r="Z256" s="642"/>
      <c r="AA256" s="643"/>
      <c r="AB256" s="184">
        <v>831</v>
      </c>
    </row>
    <row r="257" spans="1:28" ht="12.6" customHeight="1" x14ac:dyDescent="0.2">
      <c r="A257" s="18"/>
      <c r="B257" s="631" t="s">
        <v>946</v>
      </c>
      <c r="C257" s="632"/>
      <c r="D257" s="632"/>
      <c r="E257" s="632"/>
      <c r="F257" s="352">
        <f>2.81*X2</f>
        <v>3512.5</v>
      </c>
      <c r="G257" s="271">
        <f t="shared" ref="G257" si="736">+F257*$X$1</f>
        <v>3512.5</v>
      </c>
      <c r="H257" s="626">
        <f t="shared" si="717"/>
        <v>4112.5</v>
      </c>
      <c r="I257" s="271">
        <f t="shared" si="718"/>
        <v>4112.5</v>
      </c>
      <c r="J257" s="626">
        <f t="shared" si="719"/>
        <v>3772.5</v>
      </c>
      <c r="K257" s="271">
        <f t="shared" si="720"/>
        <v>3772.5</v>
      </c>
      <c r="L257" s="626">
        <f t="shared" si="721"/>
        <v>3742.5</v>
      </c>
      <c r="M257" s="271">
        <f t="shared" si="722"/>
        <v>3742.5</v>
      </c>
      <c r="N257" s="626">
        <f t="shared" si="723"/>
        <v>3712.5</v>
      </c>
      <c r="O257" s="271">
        <f t="shared" si="724"/>
        <v>3712.5</v>
      </c>
      <c r="P257" s="626">
        <f t="shared" si="725"/>
        <v>3682.5</v>
      </c>
      <c r="Q257" s="271">
        <f t="shared" si="726"/>
        <v>3682.5</v>
      </c>
      <c r="R257" s="626">
        <f t="shared" si="727"/>
        <v>3662.5</v>
      </c>
      <c r="S257" s="271">
        <f t="shared" si="728"/>
        <v>3662.5</v>
      </c>
      <c r="T257" s="96">
        <f t="shared" si="729"/>
        <v>3642.5</v>
      </c>
      <c r="U257" s="286">
        <f t="shared" si="730"/>
        <v>3642.5</v>
      </c>
      <c r="V257" s="96">
        <f t="shared" si="731"/>
        <v>3622.5</v>
      </c>
      <c r="W257" s="286">
        <f t="shared" si="732"/>
        <v>3622.5</v>
      </c>
      <c r="X257" s="641"/>
      <c r="Y257" s="642"/>
      <c r="Z257" s="642"/>
      <c r="AA257" s="643"/>
      <c r="AB257" s="184">
        <v>832</v>
      </c>
    </row>
    <row r="258" spans="1:28" ht="12.6" customHeight="1" x14ac:dyDescent="0.2">
      <c r="A258" s="18"/>
      <c r="B258" s="691" t="s">
        <v>538</v>
      </c>
      <c r="C258" s="692"/>
      <c r="D258" s="692"/>
      <c r="E258" s="692"/>
      <c r="F258" s="351">
        <f>11.8*X2</f>
        <v>14750</v>
      </c>
      <c r="G258" s="270">
        <f t="shared" ref="G258" si="737">+F258*$X$1</f>
        <v>14750</v>
      </c>
      <c r="H258" s="605">
        <f t="shared" si="717"/>
        <v>15350</v>
      </c>
      <c r="I258" s="270">
        <f t="shared" si="718"/>
        <v>15350</v>
      </c>
      <c r="J258" s="605">
        <f t="shared" si="719"/>
        <v>15010</v>
      </c>
      <c r="K258" s="270">
        <f t="shared" si="720"/>
        <v>15010</v>
      </c>
      <c r="L258" s="605">
        <f t="shared" si="721"/>
        <v>14980</v>
      </c>
      <c r="M258" s="270">
        <f t="shared" si="722"/>
        <v>14980</v>
      </c>
      <c r="N258" s="605">
        <f t="shared" si="723"/>
        <v>14950</v>
      </c>
      <c r="O258" s="270">
        <f t="shared" si="724"/>
        <v>14950</v>
      </c>
      <c r="P258" s="605">
        <f t="shared" si="725"/>
        <v>14920</v>
      </c>
      <c r="Q258" s="270">
        <f t="shared" si="726"/>
        <v>14920</v>
      </c>
      <c r="R258" s="605">
        <f t="shared" si="727"/>
        <v>14900</v>
      </c>
      <c r="S258" s="270">
        <f t="shared" si="728"/>
        <v>14900</v>
      </c>
      <c r="T258" s="97">
        <f t="shared" si="729"/>
        <v>14880</v>
      </c>
      <c r="U258" s="246">
        <f t="shared" si="730"/>
        <v>14880</v>
      </c>
      <c r="V258" s="97">
        <f t="shared" si="731"/>
        <v>14860</v>
      </c>
      <c r="W258" s="246">
        <f t="shared" si="732"/>
        <v>14860</v>
      </c>
      <c r="X258" s="641"/>
      <c r="Y258" s="642"/>
      <c r="Z258" s="642"/>
      <c r="AA258" s="643"/>
      <c r="AB258" s="184">
        <v>833</v>
      </c>
    </row>
    <row r="259" spans="1:28" ht="12.6" customHeight="1" x14ac:dyDescent="0.2">
      <c r="A259" s="18"/>
      <c r="B259" s="629" t="s">
        <v>583</v>
      </c>
      <c r="C259" s="638"/>
      <c r="D259" s="638"/>
      <c r="E259" s="638"/>
      <c r="F259" s="352">
        <f>7.33*X2</f>
        <v>9162.5</v>
      </c>
      <c r="G259" s="271">
        <f t="shared" ref="G259" si="738">+F259*$X$1</f>
        <v>9162.5</v>
      </c>
      <c r="H259" s="626">
        <f t="shared" si="717"/>
        <v>9762.5</v>
      </c>
      <c r="I259" s="271">
        <f t="shared" si="718"/>
        <v>9762.5</v>
      </c>
      <c r="J259" s="626">
        <f t="shared" si="719"/>
        <v>9422.5</v>
      </c>
      <c r="K259" s="271">
        <f t="shared" si="720"/>
        <v>9422.5</v>
      </c>
      <c r="L259" s="626">
        <f t="shared" si="721"/>
        <v>9392.5</v>
      </c>
      <c r="M259" s="271">
        <f t="shared" si="722"/>
        <v>9392.5</v>
      </c>
      <c r="N259" s="626">
        <f t="shared" si="723"/>
        <v>9362.5</v>
      </c>
      <c r="O259" s="271">
        <f t="shared" si="724"/>
        <v>9362.5</v>
      </c>
      <c r="P259" s="626">
        <f t="shared" si="725"/>
        <v>9332.5</v>
      </c>
      <c r="Q259" s="271">
        <f t="shared" si="726"/>
        <v>9332.5</v>
      </c>
      <c r="R259" s="626">
        <f t="shared" si="727"/>
        <v>9312.5</v>
      </c>
      <c r="S259" s="271">
        <f t="shared" si="728"/>
        <v>9312.5</v>
      </c>
      <c r="T259" s="96">
        <f t="shared" si="729"/>
        <v>9292.5</v>
      </c>
      <c r="U259" s="286">
        <f t="shared" si="730"/>
        <v>9292.5</v>
      </c>
      <c r="V259" s="96">
        <f t="shared" si="731"/>
        <v>9272.5</v>
      </c>
      <c r="W259" s="286">
        <f t="shared" si="732"/>
        <v>9272.5</v>
      </c>
      <c r="X259" s="641"/>
      <c r="Y259" s="642"/>
      <c r="Z259" s="642"/>
      <c r="AA259" s="643"/>
      <c r="AB259" s="184">
        <v>834</v>
      </c>
    </row>
    <row r="260" spans="1:28" ht="12.6" customHeight="1" x14ac:dyDescent="0.2">
      <c r="A260" s="18"/>
      <c r="B260" s="691" t="s">
        <v>585</v>
      </c>
      <c r="C260" s="692"/>
      <c r="D260" s="692"/>
      <c r="E260" s="692"/>
      <c r="F260" s="351">
        <f>7.2*X2</f>
        <v>9000</v>
      </c>
      <c r="G260" s="270">
        <f>+F260*$X$1</f>
        <v>9000</v>
      </c>
      <c r="H260" s="605">
        <f t="shared" si="717"/>
        <v>9600</v>
      </c>
      <c r="I260" s="270">
        <f t="shared" si="718"/>
        <v>9600</v>
      </c>
      <c r="J260" s="605">
        <f t="shared" si="719"/>
        <v>9260</v>
      </c>
      <c r="K260" s="270">
        <f t="shared" si="720"/>
        <v>9260</v>
      </c>
      <c r="L260" s="605">
        <f t="shared" si="721"/>
        <v>9230</v>
      </c>
      <c r="M260" s="270">
        <f t="shared" si="722"/>
        <v>9230</v>
      </c>
      <c r="N260" s="605">
        <f t="shared" si="723"/>
        <v>9200</v>
      </c>
      <c r="O260" s="270">
        <f t="shared" si="724"/>
        <v>9200</v>
      </c>
      <c r="P260" s="605">
        <f t="shared" si="725"/>
        <v>9170</v>
      </c>
      <c r="Q260" s="270">
        <f t="shared" si="726"/>
        <v>9170</v>
      </c>
      <c r="R260" s="605">
        <f t="shared" si="727"/>
        <v>9150</v>
      </c>
      <c r="S260" s="270">
        <f t="shared" si="728"/>
        <v>9150</v>
      </c>
      <c r="T260" s="97">
        <f t="shared" si="729"/>
        <v>9130</v>
      </c>
      <c r="U260" s="246">
        <f t="shared" si="730"/>
        <v>9130</v>
      </c>
      <c r="V260" s="97">
        <f t="shared" si="731"/>
        <v>9110</v>
      </c>
      <c r="W260" s="246">
        <f t="shared" si="732"/>
        <v>9110</v>
      </c>
      <c r="X260" s="641"/>
      <c r="Y260" s="642"/>
      <c r="Z260" s="642"/>
      <c r="AA260" s="643"/>
      <c r="AB260" s="184">
        <v>836</v>
      </c>
    </row>
    <row r="261" spans="1:28" ht="12.6" customHeight="1" x14ac:dyDescent="0.2">
      <c r="A261" s="18"/>
      <c r="B261" s="741" t="s">
        <v>818</v>
      </c>
      <c r="C261" s="638"/>
      <c r="D261" s="638"/>
      <c r="E261" s="638"/>
      <c r="F261" s="352">
        <f>4.8*X2</f>
        <v>6000</v>
      </c>
      <c r="G261" s="271">
        <f t="shared" ref="G261" si="739">+F261*$X$1</f>
        <v>6000</v>
      </c>
      <c r="H261" s="626">
        <f t="shared" si="717"/>
        <v>6600</v>
      </c>
      <c r="I261" s="271">
        <f t="shared" si="718"/>
        <v>6600</v>
      </c>
      <c r="J261" s="626">
        <f t="shared" si="719"/>
        <v>6260</v>
      </c>
      <c r="K261" s="271">
        <f t="shared" si="720"/>
        <v>6260</v>
      </c>
      <c r="L261" s="626">
        <f t="shared" si="721"/>
        <v>6230</v>
      </c>
      <c r="M261" s="271">
        <f t="shared" si="722"/>
        <v>6230</v>
      </c>
      <c r="N261" s="626">
        <f t="shared" si="723"/>
        <v>6200</v>
      </c>
      <c r="O261" s="271">
        <f t="shared" si="724"/>
        <v>6200</v>
      </c>
      <c r="P261" s="626">
        <f t="shared" si="725"/>
        <v>6170</v>
      </c>
      <c r="Q261" s="271">
        <f t="shared" si="726"/>
        <v>6170</v>
      </c>
      <c r="R261" s="626">
        <f t="shared" si="727"/>
        <v>6150</v>
      </c>
      <c r="S261" s="271">
        <f t="shared" si="728"/>
        <v>6150</v>
      </c>
      <c r="T261" s="96">
        <f t="shared" si="729"/>
        <v>6130</v>
      </c>
      <c r="U261" s="286">
        <f t="shared" si="730"/>
        <v>6130</v>
      </c>
      <c r="V261" s="96">
        <f t="shared" si="731"/>
        <v>6110</v>
      </c>
      <c r="W261" s="286">
        <f t="shared" si="732"/>
        <v>6110</v>
      </c>
      <c r="X261" s="641"/>
      <c r="Y261" s="642"/>
      <c r="Z261" s="642"/>
      <c r="AA261" s="643"/>
      <c r="AB261" s="184">
        <v>837</v>
      </c>
    </row>
    <row r="262" spans="1:28" ht="12.6" customHeight="1" x14ac:dyDescent="0.2">
      <c r="A262" s="18"/>
      <c r="B262" s="693" t="s">
        <v>928</v>
      </c>
      <c r="C262" s="632"/>
      <c r="D262" s="632"/>
      <c r="E262" s="632"/>
      <c r="F262" s="351">
        <f>7.98*X2</f>
        <v>9975</v>
      </c>
      <c r="G262" s="270">
        <f t="shared" ref="G262" si="740">+F262*$X$1</f>
        <v>9975</v>
      </c>
      <c r="H262" s="605">
        <f t="shared" si="717"/>
        <v>10575</v>
      </c>
      <c r="I262" s="270">
        <f t="shared" si="718"/>
        <v>10575</v>
      </c>
      <c r="J262" s="605">
        <f t="shared" si="719"/>
        <v>10235</v>
      </c>
      <c r="K262" s="270">
        <f t="shared" si="720"/>
        <v>10235</v>
      </c>
      <c r="L262" s="605">
        <f t="shared" si="721"/>
        <v>10205</v>
      </c>
      <c r="M262" s="270">
        <f t="shared" si="722"/>
        <v>10205</v>
      </c>
      <c r="N262" s="605">
        <f t="shared" si="723"/>
        <v>10175</v>
      </c>
      <c r="O262" s="270">
        <f t="shared" si="724"/>
        <v>10175</v>
      </c>
      <c r="P262" s="605">
        <f t="shared" si="725"/>
        <v>10145</v>
      </c>
      <c r="Q262" s="270">
        <f t="shared" si="726"/>
        <v>10145</v>
      </c>
      <c r="R262" s="605">
        <f t="shared" si="727"/>
        <v>10125</v>
      </c>
      <c r="S262" s="270">
        <f t="shared" si="728"/>
        <v>10125</v>
      </c>
      <c r="T262" s="97">
        <f t="shared" si="729"/>
        <v>10105</v>
      </c>
      <c r="U262" s="246">
        <f t="shared" si="730"/>
        <v>10105</v>
      </c>
      <c r="V262" s="97">
        <f t="shared" si="731"/>
        <v>10085</v>
      </c>
      <c r="W262" s="246">
        <f t="shared" si="732"/>
        <v>10085</v>
      </c>
      <c r="X262" s="641"/>
      <c r="Y262" s="642"/>
      <c r="Z262" s="642"/>
      <c r="AA262" s="643"/>
      <c r="AB262" s="184">
        <v>838</v>
      </c>
    </row>
    <row r="263" spans="1:28" ht="12.6" customHeight="1" x14ac:dyDescent="0.2">
      <c r="A263" s="18"/>
      <c r="B263" s="693" t="s">
        <v>925</v>
      </c>
      <c r="C263" s="632"/>
      <c r="D263" s="632"/>
      <c r="E263" s="632"/>
      <c r="F263" s="352">
        <f>2.55*X2</f>
        <v>3187.5</v>
      </c>
      <c r="G263" s="271">
        <f t="shared" ref="G263" si="741">+F263*$X$1</f>
        <v>3187.5</v>
      </c>
      <c r="H263" s="626">
        <f t="shared" si="717"/>
        <v>3787.5</v>
      </c>
      <c r="I263" s="271">
        <f t="shared" si="718"/>
        <v>3787.5</v>
      </c>
      <c r="J263" s="626">
        <f t="shared" si="719"/>
        <v>3447.5</v>
      </c>
      <c r="K263" s="271">
        <f t="shared" si="720"/>
        <v>3447.5</v>
      </c>
      <c r="L263" s="626">
        <f t="shared" si="721"/>
        <v>3417.5</v>
      </c>
      <c r="M263" s="271">
        <f t="shared" si="722"/>
        <v>3417.5</v>
      </c>
      <c r="N263" s="626">
        <f t="shared" si="723"/>
        <v>3387.5</v>
      </c>
      <c r="O263" s="271">
        <f t="shared" si="724"/>
        <v>3387.5</v>
      </c>
      <c r="P263" s="626">
        <f t="shared" si="725"/>
        <v>3357.5</v>
      </c>
      <c r="Q263" s="271">
        <f t="shared" si="726"/>
        <v>3357.5</v>
      </c>
      <c r="R263" s="626">
        <f t="shared" si="727"/>
        <v>3337.5</v>
      </c>
      <c r="S263" s="271">
        <f t="shared" si="728"/>
        <v>3337.5</v>
      </c>
      <c r="T263" s="96">
        <f t="shared" si="729"/>
        <v>3317.5</v>
      </c>
      <c r="U263" s="286">
        <f t="shared" si="730"/>
        <v>3317.5</v>
      </c>
      <c r="V263" s="96">
        <f t="shared" si="731"/>
        <v>3297.5</v>
      </c>
      <c r="W263" s="286">
        <f t="shared" si="732"/>
        <v>3297.5</v>
      </c>
      <c r="X263" s="641"/>
      <c r="Y263" s="642"/>
      <c r="Z263" s="642"/>
      <c r="AA263" s="643"/>
      <c r="AB263" s="184">
        <v>839</v>
      </c>
    </row>
    <row r="264" spans="1:28" ht="12.6" customHeight="1" x14ac:dyDescent="0.2">
      <c r="A264" s="18"/>
      <c r="B264" s="693" t="s">
        <v>926</v>
      </c>
      <c r="C264" s="632"/>
      <c r="D264" s="632"/>
      <c r="E264" s="632"/>
      <c r="F264" s="351">
        <f>2.36*X2</f>
        <v>2950</v>
      </c>
      <c r="G264" s="270">
        <f t="shared" ref="G264" si="742">+F264*$X$1</f>
        <v>2950</v>
      </c>
      <c r="H264" s="605">
        <f t="shared" si="717"/>
        <v>3550</v>
      </c>
      <c r="I264" s="270">
        <f t="shared" si="718"/>
        <v>3550</v>
      </c>
      <c r="J264" s="605">
        <f t="shared" si="719"/>
        <v>3210</v>
      </c>
      <c r="K264" s="270">
        <f t="shared" si="720"/>
        <v>3210</v>
      </c>
      <c r="L264" s="605">
        <f t="shared" si="721"/>
        <v>3180</v>
      </c>
      <c r="M264" s="270">
        <f t="shared" si="722"/>
        <v>3180</v>
      </c>
      <c r="N264" s="605">
        <f t="shared" si="723"/>
        <v>3150</v>
      </c>
      <c r="O264" s="270">
        <f t="shared" si="724"/>
        <v>3150</v>
      </c>
      <c r="P264" s="605">
        <f t="shared" si="725"/>
        <v>3120</v>
      </c>
      <c r="Q264" s="270">
        <f t="shared" si="726"/>
        <v>3120</v>
      </c>
      <c r="R264" s="605">
        <f t="shared" si="727"/>
        <v>3100</v>
      </c>
      <c r="S264" s="270">
        <f t="shared" si="728"/>
        <v>3100</v>
      </c>
      <c r="T264" s="97">
        <f t="shared" si="729"/>
        <v>3080</v>
      </c>
      <c r="U264" s="246">
        <f t="shared" si="730"/>
        <v>3080</v>
      </c>
      <c r="V264" s="97">
        <f t="shared" si="731"/>
        <v>3060</v>
      </c>
      <c r="W264" s="246">
        <f t="shared" si="732"/>
        <v>3060</v>
      </c>
      <c r="X264" s="641"/>
      <c r="Y264" s="642"/>
      <c r="Z264" s="642"/>
      <c r="AA264" s="643"/>
      <c r="AB264" s="184">
        <v>840</v>
      </c>
    </row>
    <row r="265" spans="1:28" ht="12.6" customHeight="1" x14ac:dyDescent="0.2">
      <c r="A265" s="18"/>
      <c r="B265" s="663" t="s">
        <v>466</v>
      </c>
      <c r="C265" s="664"/>
      <c r="D265" s="664"/>
      <c r="E265" s="664"/>
      <c r="F265" s="355">
        <f>7.21*X2</f>
        <v>9012.5</v>
      </c>
      <c r="G265" s="298">
        <f>+F265*$X$1</f>
        <v>9012.5</v>
      </c>
      <c r="H265" s="626">
        <f t="shared" si="717"/>
        <v>9612.5</v>
      </c>
      <c r="I265" s="271">
        <f t="shared" si="718"/>
        <v>9612.5</v>
      </c>
      <c r="J265" s="626">
        <f t="shared" si="719"/>
        <v>9272.5</v>
      </c>
      <c r="K265" s="271">
        <f t="shared" si="720"/>
        <v>9272.5</v>
      </c>
      <c r="L265" s="626">
        <f t="shared" si="721"/>
        <v>9242.5</v>
      </c>
      <c r="M265" s="271">
        <f t="shared" si="722"/>
        <v>9242.5</v>
      </c>
      <c r="N265" s="626">
        <f t="shared" si="723"/>
        <v>9212.5</v>
      </c>
      <c r="O265" s="271">
        <f t="shared" si="724"/>
        <v>9212.5</v>
      </c>
      <c r="P265" s="626">
        <f t="shared" si="725"/>
        <v>9182.5</v>
      </c>
      <c r="Q265" s="271">
        <f t="shared" si="726"/>
        <v>9182.5</v>
      </c>
      <c r="R265" s="626">
        <f t="shared" si="727"/>
        <v>9162.5</v>
      </c>
      <c r="S265" s="271">
        <f t="shared" si="728"/>
        <v>9162.5</v>
      </c>
      <c r="T265" s="96">
        <f t="shared" si="729"/>
        <v>9142.5</v>
      </c>
      <c r="U265" s="286">
        <f t="shared" si="730"/>
        <v>9142.5</v>
      </c>
      <c r="V265" s="96">
        <f t="shared" si="731"/>
        <v>9122.5</v>
      </c>
      <c r="W265" s="286">
        <f t="shared" si="732"/>
        <v>9122.5</v>
      </c>
      <c r="X265" s="641"/>
      <c r="Y265" s="642"/>
      <c r="Z265" s="642"/>
      <c r="AA265" s="643"/>
      <c r="AB265" s="373">
        <v>916</v>
      </c>
    </row>
    <row r="266" spans="1:28" ht="12.6" customHeight="1" x14ac:dyDescent="0.2">
      <c r="A266" s="18"/>
      <c r="B266" s="691" t="s">
        <v>756</v>
      </c>
      <c r="C266" s="692"/>
      <c r="D266" s="692"/>
      <c r="E266" s="692"/>
      <c r="F266" s="351">
        <f>6.41*X2</f>
        <v>8012.5</v>
      </c>
      <c r="G266" s="270">
        <f>+F266*$X$1</f>
        <v>8012.5</v>
      </c>
      <c r="H266" s="605">
        <f t="shared" si="717"/>
        <v>8612.5</v>
      </c>
      <c r="I266" s="270">
        <f t="shared" si="718"/>
        <v>8612.5</v>
      </c>
      <c r="J266" s="605">
        <f t="shared" si="719"/>
        <v>8272.5</v>
      </c>
      <c r="K266" s="270">
        <f t="shared" si="720"/>
        <v>8272.5</v>
      </c>
      <c r="L266" s="605">
        <f t="shared" si="721"/>
        <v>8242.5</v>
      </c>
      <c r="M266" s="270">
        <f t="shared" si="722"/>
        <v>8242.5</v>
      </c>
      <c r="N266" s="605">
        <f t="shared" si="723"/>
        <v>8212.5</v>
      </c>
      <c r="O266" s="270">
        <f t="shared" si="724"/>
        <v>8212.5</v>
      </c>
      <c r="P266" s="605">
        <f t="shared" si="725"/>
        <v>8182.5</v>
      </c>
      <c r="Q266" s="270">
        <f t="shared" si="726"/>
        <v>8182.5</v>
      </c>
      <c r="R266" s="605">
        <f t="shared" si="727"/>
        <v>8162.5</v>
      </c>
      <c r="S266" s="270">
        <f t="shared" si="728"/>
        <v>8162.5</v>
      </c>
      <c r="T266" s="97">
        <f t="shared" si="729"/>
        <v>8142.5</v>
      </c>
      <c r="U266" s="246">
        <f t="shared" si="730"/>
        <v>8142.5</v>
      </c>
      <c r="V266" s="97">
        <f t="shared" si="731"/>
        <v>8122.5</v>
      </c>
      <c r="W266" s="246">
        <f t="shared" si="732"/>
        <v>8122.5</v>
      </c>
      <c r="X266" s="641"/>
      <c r="Y266" s="642"/>
      <c r="Z266" s="642"/>
      <c r="AA266" s="643"/>
      <c r="AB266" s="184">
        <v>917</v>
      </c>
    </row>
    <row r="267" spans="1:28" ht="12.6" customHeight="1" x14ac:dyDescent="0.2">
      <c r="A267" s="18"/>
      <c r="B267" s="629" t="s">
        <v>190</v>
      </c>
      <c r="C267" s="638"/>
      <c r="D267" s="638"/>
      <c r="E267" s="638"/>
      <c r="F267" s="352">
        <f>9.93*X2</f>
        <v>12412.5</v>
      </c>
      <c r="G267" s="271">
        <f>+F267*$X$1</f>
        <v>12412.5</v>
      </c>
      <c r="H267" s="626">
        <f t="shared" si="717"/>
        <v>13012.5</v>
      </c>
      <c r="I267" s="271">
        <f t="shared" si="718"/>
        <v>13012.5</v>
      </c>
      <c r="J267" s="626">
        <f t="shared" si="719"/>
        <v>12672.5</v>
      </c>
      <c r="K267" s="271">
        <f t="shared" si="720"/>
        <v>12672.5</v>
      </c>
      <c r="L267" s="626">
        <f t="shared" si="721"/>
        <v>12642.5</v>
      </c>
      <c r="M267" s="271">
        <f t="shared" si="722"/>
        <v>12642.5</v>
      </c>
      <c r="N267" s="626">
        <f t="shared" si="723"/>
        <v>12612.5</v>
      </c>
      <c r="O267" s="271">
        <f t="shared" si="724"/>
        <v>12612.5</v>
      </c>
      <c r="P267" s="626">
        <f t="shared" si="725"/>
        <v>12582.5</v>
      </c>
      <c r="Q267" s="271">
        <f t="shared" si="726"/>
        <v>12582.5</v>
      </c>
      <c r="R267" s="626">
        <f t="shared" si="727"/>
        <v>12562.5</v>
      </c>
      <c r="S267" s="271">
        <f t="shared" si="728"/>
        <v>12562.5</v>
      </c>
      <c r="T267" s="96">
        <f t="shared" si="729"/>
        <v>12542.5</v>
      </c>
      <c r="U267" s="286">
        <f t="shared" si="730"/>
        <v>12542.5</v>
      </c>
      <c r="V267" s="96">
        <f t="shared" si="731"/>
        <v>12522.5</v>
      </c>
      <c r="W267" s="286">
        <f t="shared" si="732"/>
        <v>12522.5</v>
      </c>
      <c r="X267" s="776"/>
      <c r="Y267" s="777"/>
      <c r="Z267" s="777"/>
      <c r="AA267" s="778"/>
      <c r="AB267" s="384">
        <v>918</v>
      </c>
    </row>
    <row r="268" spans="1:28" ht="12.6" customHeight="1" x14ac:dyDescent="0.2">
      <c r="A268" s="18"/>
      <c r="B268" s="691" t="s">
        <v>414</v>
      </c>
      <c r="C268" s="692"/>
      <c r="D268" s="692"/>
      <c r="E268" s="692"/>
      <c r="F268" s="351">
        <f>8.9*X2</f>
        <v>11125</v>
      </c>
      <c r="G268" s="270">
        <f>+F268*$X$1</f>
        <v>11125</v>
      </c>
      <c r="H268" s="605">
        <f t="shared" si="717"/>
        <v>11725</v>
      </c>
      <c r="I268" s="270">
        <f t="shared" si="718"/>
        <v>11725</v>
      </c>
      <c r="J268" s="605">
        <f t="shared" si="719"/>
        <v>11385</v>
      </c>
      <c r="K268" s="270">
        <f t="shared" si="720"/>
        <v>11385</v>
      </c>
      <c r="L268" s="605">
        <f t="shared" si="721"/>
        <v>11355</v>
      </c>
      <c r="M268" s="270">
        <f t="shared" si="722"/>
        <v>11355</v>
      </c>
      <c r="N268" s="605">
        <f t="shared" si="723"/>
        <v>11325</v>
      </c>
      <c r="O268" s="270">
        <f t="shared" si="724"/>
        <v>11325</v>
      </c>
      <c r="P268" s="605">
        <f t="shared" si="725"/>
        <v>11295</v>
      </c>
      <c r="Q268" s="270">
        <f t="shared" si="726"/>
        <v>11295</v>
      </c>
      <c r="R268" s="605">
        <f t="shared" si="727"/>
        <v>11275</v>
      </c>
      <c r="S268" s="270">
        <f t="shared" si="728"/>
        <v>11275</v>
      </c>
      <c r="T268" s="97">
        <f t="shared" si="729"/>
        <v>11255</v>
      </c>
      <c r="U268" s="246">
        <f t="shared" si="730"/>
        <v>11255</v>
      </c>
      <c r="V268" s="97">
        <f t="shared" si="731"/>
        <v>11235</v>
      </c>
      <c r="W268" s="246">
        <f t="shared" si="732"/>
        <v>11235</v>
      </c>
      <c r="X268" s="641"/>
      <c r="Y268" s="707"/>
      <c r="Z268" s="707"/>
      <c r="AA268" s="643"/>
      <c r="AB268" s="184">
        <v>919</v>
      </c>
    </row>
    <row r="269" spans="1:28" ht="12.6" customHeight="1" x14ac:dyDescent="0.2">
      <c r="A269" s="18"/>
      <c r="B269" s="629" t="s">
        <v>775</v>
      </c>
      <c r="C269" s="638"/>
      <c r="D269" s="638"/>
      <c r="E269" s="638"/>
      <c r="F269" s="352">
        <f>7.5*X2</f>
        <v>9375</v>
      </c>
      <c r="G269" s="271">
        <f t="shared" ref="G269:G273" si="743">+F269*$X$1</f>
        <v>9375</v>
      </c>
      <c r="H269" s="626">
        <f t="shared" si="717"/>
        <v>9975</v>
      </c>
      <c r="I269" s="271">
        <f t="shared" si="718"/>
        <v>9975</v>
      </c>
      <c r="J269" s="626">
        <f t="shared" si="719"/>
        <v>9635</v>
      </c>
      <c r="K269" s="271">
        <f t="shared" si="720"/>
        <v>9635</v>
      </c>
      <c r="L269" s="626">
        <f t="shared" si="721"/>
        <v>9605</v>
      </c>
      <c r="M269" s="271">
        <f t="shared" si="722"/>
        <v>9605</v>
      </c>
      <c r="N269" s="626">
        <f t="shared" si="723"/>
        <v>9575</v>
      </c>
      <c r="O269" s="271">
        <f t="shared" si="724"/>
        <v>9575</v>
      </c>
      <c r="P269" s="626">
        <f t="shared" si="725"/>
        <v>9545</v>
      </c>
      <c r="Q269" s="271">
        <f t="shared" si="726"/>
        <v>9545</v>
      </c>
      <c r="R269" s="626">
        <f t="shared" si="727"/>
        <v>9525</v>
      </c>
      <c r="S269" s="271">
        <f t="shared" si="728"/>
        <v>9525</v>
      </c>
      <c r="T269" s="96">
        <f t="shared" si="729"/>
        <v>9505</v>
      </c>
      <c r="U269" s="286">
        <f t="shared" si="730"/>
        <v>9505</v>
      </c>
      <c r="V269" s="96">
        <f t="shared" si="731"/>
        <v>9485</v>
      </c>
      <c r="W269" s="286">
        <f t="shared" si="732"/>
        <v>9485</v>
      </c>
      <c r="X269" s="641"/>
      <c r="Y269" s="642"/>
      <c r="Z269" s="642"/>
      <c r="AA269" s="643"/>
      <c r="AB269" s="184">
        <v>920</v>
      </c>
    </row>
    <row r="270" spans="1:28" ht="12.6" customHeight="1" x14ac:dyDescent="0.2">
      <c r="A270" s="18"/>
      <c r="B270" s="691" t="s">
        <v>774</v>
      </c>
      <c r="C270" s="692"/>
      <c r="D270" s="692"/>
      <c r="E270" s="692"/>
      <c r="F270" s="351">
        <f>7.5*X2</f>
        <v>9375</v>
      </c>
      <c r="G270" s="270">
        <f t="shared" ref="G270" si="744">+F270*$X$1</f>
        <v>9375</v>
      </c>
      <c r="H270" s="605">
        <f t="shared" si="717"/>
        <v>9975</v>
      </c>
      <c r="I270" s="270">
        <f t="shared" si="718"/>
        <v>9975</v>
      </c>
      <c r="J270" s="605">
        <f t="shared" si="719"/>
        <v>9635</v>
      </c>
      <c r="K270" s="270">
        <f t="shared" si="720"/>
        <v>9635</v>
      </c>
      <c r="L270" s="605">
        <f t="shared" si="721"/>
        <v>9605</v>
      </c>
      <c r="M270" s="270">
        <f t="shared" si="722"/>
        <v>9605</v>
      </c>
      <c r="N270" s="605">
        <f t="shared" si="723"/>
        <v>9575</v>
      </c>
      <c r="O270" s="270">
        <f t="shared" si="724"/>
        <v>9575</v>
      </c>
      <c r="P270" s="605">
        <f t="shared" si="725"/>
        <v>9545</v>
      </c>
      <c r="Q270" s="270">
        <f t="shared" si="726"/>
        <v>9545</v>
      </c>
      <c r="R270" s="605">
        <f t="shared" si="727"/>
        <v>9525</v>
      </c>
      <c r="S270" s="270">
        <f t="shared" si="728"/>
        <v>9525</v>
      </c>
      <c r="T270" s="97">
        <f t="shared" si="729"/>
        <v>9505</v>
      </c>
      <c r="U270" s="246">
        <f t="shared" si="730"/>
        <v>9505</v>
      </c>
      <c r="V270" s="97">
        <f t="shared" si="731"/>
        <v>9485</v>
      </c>
      <c r="W270" s="246">
        <f t="shared" si="732"/>
        <v>9485</v>
      </c>
      <c r="X270" s="641"/>
      <c r="Y270" s="642"/>
      <c r="Z270" s="642"/>
      <c r="AA270" s="643"/>
      <c r="AB270" s="184" t="s">
        <v>776</v>
      </c>
    </row>
    <row r="271" spans="1:28" ht="12.6" customHeight="1" x14ac:dyDescent="0.2">
      <c r="A271" s="18"/>
      <c r="B271" s="629" t="s">
        <v>819</v>
      </c>
      <c r="C271" s="638"/>
      <c r="D271" s="638"/>
      <c r="E271" s="638"/>
      <c r="F271" s="352">
        <f>7.36*X2</f>
        <v>9200</v>
      </c>
      <c r="G271" s="271">
        <f t="shared" ref="G271:G272" si="745">+F271*$X$1</f>
        <v>9200</v>
      </c>
      <c r="H271" s="626">
        <f t="shared" si="717"/>
        <v>9800</v>
      </c>
      <c r="I271" s="271">
        <f t="shared" si="718"/>
        <v>9800</v>
      </c>
      <c r="J271" s="626">
        <f t="shared" si="719"/>
        <v>9460</v>
      </c>
      <c r="K271" s="271">
        <f t="shared" si="720"/>
        <v>9460</v>
      </c>
      <c r="L271" s="626">
        <f t="shared" si="721"/>
        <v>9430</v>
      </c>
      <c r="M271" s="271">
        <f t="shared" si="722"/>
        <v>9430</v>
      </c>
      <c r="N271" s="626">
        <f t="shared" si="723"/>
        <v>9400</v>
      </c>
      <c r="O271" s="271">
        <f t="shared" si="724"/>
        <v>9400</v>
      </c>
      <c r="P271" s="626">
        <f t="shared" si="725"/>
        <v>9370</v>
      </c>
      <c r="Q271" s="271">
        <f t="shared" si="726"/>
        <v>9370</v>
      </c>
      <c r="R271" s="626">
        <f t="shared" si="727"/>
        <v>9350</v>
      </c>
      <c r="S271" s="271">
        <f t="shared" si="728"/>
        <v>9350</v>
      </c>
      <c r="T271" s="96">
        <f t="shared" si="729"/>
        <v>9330</v>
      </c>
      <c r="U271" s="286">
        <f t="shared" si="730"/>
        <v>9330</v>
      </c>
      <c r="V271" s="96">
        <f t="shared" si="731"/>
        <v>9310</v>
      </c>
      <c r="W271" s="286">
        <f t="shared" si="732"/>
        <v>9310</v>
      </c>
      <c r="X271" s="641"/>
      <c r="Y271" s="642"/>
      <c r="Z271" s="642"/>
      <c r="AA271" s="643"/>
      <c r="AB271" s="184" t="s">
        <v>820</v>
      </c>
    </row>
    <row r="272" spans="1:28" ht="12.6" customHeight="1" x14ac:dyDescent="0.2">
      <c r="A272" s="18"/>
      <c r="B272" s="693" t="s">
        <v>862</v>
      </c>
      <c r="C272" s="632"/>
      <c r="D272" s="632"/>
      <c r="E272" s="632"/>
      <c r="F272" s="351">
        <f>5.81*X2</f>
        <v>7262.4999999999991</v>
      </c>
      <c r="G272" s="270">
        <f t="shared" si="745"/>
        <v>7262.4999999999991</v>
      </c>
      <c r="H272" s="569">
        <f t="shared" si="717"/>
        <v>7862.4999999999991</v>
      </c>
      <c r="I272" s="270">
        <f t="shared" si="718"/>
        <v>7862.4999999999991</v>
      </c>
      <c r="J272" s="569">
        <f t="shared" si="719"/>
        <v>7522.4999999999991</v>
      </c>
      <c r="K272" s="270">
        <f t="shared" si="720"/>
        <v>7522.4999999999991</v>
      </c>
      <c r="L272" s="569">
        <f t="shared" si="721"/>
        <v>7492.4999999999991</v>
      </c>
      <c r="M272" s="270">
        <f t="shared" si="722"/>
        <v>7492.4999999999991</v>
      </c>
      <c r="N272" s="569">
        <f t="shared" si="723"/>
        <v>7462.4999999999991</v>
      </c>
      <c r="O272" s="270">
        <f t="shared" si="724"/>
        <v>7462.4999999999991</v>
      </c>
      <c r="P272" s="569">
        <f t="shared" si="725"/>
        <v>7432.4999999999991</v>
      </c>
      <c r="Q272" s="270">
        <f t="shared" si="726"/>
        <v>7432.4999999999991</v>
      </c>
      <c r="R272" s="569">
        <f t="shared" si="727"/>
        <v>7412.4999999999991</v>
      </c>
      <c r="S272" s="270">
        <f t="shared" si="728"/>
        <v>7412.4999999999991</v>
      </c>
      <c r="T272" s="97">
        <f t="shared" si="729"/>
        <v>7392.4999999999991</v>
      </c>
      <c r="U272" s="246">
        <f t="shared" si="730"/>
        <v>7392.4999999999991</v>
      </c>
      <c r="V272" s="97">
        <f t="shared" si="731"/>
        <v>7372.4999999999991</v>
      </c>
      <c r="W272" s="246">
        <f t="shared" si="732"/>
        <v>7372.4999999999991</v>
      </c>
      <c r="X272" s="641"/>
      <c r="Y272" s="642"/>
      <c r="Z272" s="642"/>
      <c r="AA272" s="643"/>
      <c r="AB272" s="184">
        <v>923</v>
      </c>
    </row>
    <row r="273" spans="1:38" ht="12.6" customHeight="1" x14ac:dyDescent="0.2">
      <c r="A273" s="18"/>
      <c r="B273" s="629" t="s">
        <v>757</v>
      </c>
      <c r="C273" s="638"/>
      <c r="D273" s="638"/>
      <c r="E273" s="638"/>
      <c r="F273" s="352">
        <f>5.7*X2</f>
        <v>7125</v>
      </c>
      <c r="G273" s="271">
        <f t="shared" si="743"/>
        <v>7125</v>
      </c>
      <c r="H273" s="427">
        <f t="shared" si="717"/>
        <v>7725</v>
      </c>
      <c r="I273" s="271">
        <f t="shared" si="718"/>
        <v>7725</v>
      </c>
      <c r="J273" s="427">
        <f t="shared" si="719"/>
        <v>7385</v>
      </c>
      <c r="K273" s="271">
        <f t="shared" si="720"/>
        <v>7385</v>
      </c>
      <c r="L273" s="427">
        <f t="shared" si="721"/>
        <v>7355</v>
      </c>
      <c r="M273" s="271">
        <f t="shared" si="722"/>
        <v>7355</v>
      </c>
      <c r="N273" s="427">
        <f t="shared" si="723"/>
        <v>7325</v>
      </c>
      <c r="O273" s="271">
        <f t="shared" si="724"/>
        <v>7325</v>
      </c>
      <c r="P273" s="427">
        <f t="shared" si="725"/>
        <v>7295</v>
      </c>
      <c r="Q273" s="271">
        <f t="shared" si="726"/>
        <v>7295</v>
      </c>
      <c r="R273" s="427">
        <f t="shared" si="727"/>
        <v>7275</v>
      </c>
      <c r="S273" s="271">
        <f t="shared" si="728"/>
        <v>7275</v>
      </c>
      <c r="T273" s="96">
        <f t="shared" si="729"/>
        <v>7255</v>
      </c>
      <c r="U273" s="286">
        <f t="shared" si="730"/>
        <v>7255</v>
      </c>
      <c r="V273" s="96">
        <f t="shared" si="731"/>
        <v>7235</v>
      </c>
      <c r="W273" s="286">
        <f t="shared" si="732"/>
        <v>7235</v>
      </c>
      <c r="X273" s="686"/>
      <c r="Y273" s="771"/>
      <c r="Z273" s="771"/>
      <c r="AA273" s="687"/>
      <c r="AB273" s="184" t="s">
        <v>758</v>
      </c>
    </row>
    <row r="274" spans="1:38" ht="12.6" customHeight="1" x14ac:dyDescent="0.2">
      <c r="A274" s="18"/>
      <c r="B274" s="631" t="s">
        <v>884</v>
      </c>
      <c r="C274" s="632"/>
      <c r="D274" s="632"/>
      <c r="E274" s="632"/>
      <c r="F274" s="351">
        <f>1.07*X2</f>
        <v>1337.5</v>
      </c>
      <c r="G274" s="270">
        <f t="shared" ref="G274" si="746">+F274*$X$1</f>
        <v>1337.5</v>
      </c>
      <c r="H274" s="569"/>
      <c r="I274" s="270"/>
      <c r="J274" s="569">
        <f t="shared" ref="J274:J277" si="747">F274+260</f>
        <v>1597.5</v>
      </c>
      <c r="K274" s="270">
        <f t="shared" ref="K274:K277" si="748">+J274*$X$1</f>
        <v>1597.5</v>
      </c>
      <c r="L274" s="569">
        <f t="shared" ref="L274:L277" si="749">F274+230</f>
        <v>1567.5</v>
      </c>
      <c r="M274" s="270">
        <f t="shared" ref="M274:M277" si="750">+L274*$X$1</f>
        <v>1567.5</v>
      </c>
      <c r="N274" s="569">
        <f t="shared" ref="N274:N277" si="751">F274+200</f>
        <v>1537.5</v>
      </c>
      <c r="O274" s="270">
        <f t="shared" ref="O274:O277" si="752">+N274*$X$1</f>
        <v>1537.5</v>
      </c>
      <c r="P274" s="569">
        <f t="shared" ref="P274:P277" si="753">F274+170</f>
        <v>1507.5</v>
      </c>
      <c r="Q274" s="270">
        <f t="shared" ref="Q274:Q277" si="754">+P274*$X$1</f>
        <v>1507.5</v>
      </c>
      <c r="R274" s="569">
        <f t="shared" ref="R274:R277" si="755">F274+150</f>
        <v>1487.5</v>
      </c>
      <c r="S274" s="270">
        <f t="shared" ref="S274:S277" si="756">+R274*$X$1</f>
        <v>1487.5</v>
      </c>
      <c r="T274" s="97">
        <f t="shared" ref="T274:T277" si="757">F274+130</f>
        <v>1467.5</v>
      </c>
      <c r="U274" s="246">
        <f t="shared" ref="U274:U277" si="758">+T274*$X$1</f>
        <v>1467.5</v>
      </c>
      <c r="V274" s="97">
        <f t="shared" ref="V274:V277" si="759">F274+110</f>
        <v>1447.5</v>
      </c>
      <c r="W274" s="246">
        <f t="shared" ref="W274:W277" si="760">+V274*$X$1</f>
        <v>1447.5</v>
      </c>
      <c r="X274" s="641"/>
      <c r="Y274" s="642"/>
      <c r="Z274" s="642"/>
      <c r="AA274" s="643"/>
      <c r="AB274" s="184">
        <v>927</v>
      </c>
    </row>
    <row r="275" spans="1:38" ht="12.6" customHeight="1" x14ac:dyDescent="0.2">
      <c r="A275" s="98"/>
      <c r="B275" s="629" t="s">
        <v>402</v>
      </c>
      <c r="C275" s="638"/>
      <c r="D275" s="638"/>
      <c r="E275" s="638"/>
      <c r="F275" s="352">
        <f>7*X2</f>
        <v>8750</v>
      </c>
      <c r="G275" s="271">
        <f t="shared" ref="G275:G278" si="761">+F275*$X$1</f>
        <v>8750</v>
      </c>
      <c r="H275" s="427">
        <f t="shared" ref="H275:H277" si="762">F275+600</f>
        <v>9350</v>
      </c>
      <c r="I275" s="271">
        <f t="shared" ref="I275:I277" si="763">+H275*$X$1</f>
        <v>9350</v>
      </c>
      <c r="J275" s="427">
        <f t="shared" si="747"/>
        <v>9010</v>
      </c>
      <c r="K275" s="271">
        <f t="shared" si="748"/>
        <v>9010</v>
      </c>
      <c r="L275" s="427">
        <f t="shared" si="749"/>
        <v>8980</v>
      </c>
      <c r="M275" s="271">
        <f t="shared" si="750"/>
        <v>8980</v>
      </c>
      <c r="N275" s="427">
        <f t="shared" si="751"/>
        <v>8950</v>
      </c>
      <c r="O275" s="271">
        <f t="shared" si="752"/>
        <v>8950</v>
      </c>
      <c r="P275" s="427">
        <f t="shared" si="753"/>
        <v>8920</v>
      </c>
      <c r="Q275" s="271">
        <f t="shared" si="754"/>
        <v>8920</v>
      </c>
      <c r="R275" s="427">
        <f t="shared" si="755"/>
        <v>8900</v>
      </c>
      <c r="S275" s="271">
        <f t="shared" si="756"/>
        <v>8900</v>
      </c>
      <c r="T275" s="96">
        <f t="shared" si="757"/>
        <v>8880</v>
      </c>
      <c r="U275" s="286">
        <f t="shared" si="758"/>
        <v>8880</v>
      </c>
      <c r="V275" s="96">
        <f t="shared" si="759"/>
        <v>8860</v>
      </c>
      <c r="W275" s="286">
        <f t="shared" si="760"/>
        <v>8860</v>
      </c>
      <c r="X275" s="641"/>
      <c r="Y275" s="642"/>
      <c r="Z275" s="642"/>
      <c r="AA275" s="643"/>
      <c r="AB275" s="184">
        <v>928</v>
      </c>
    </row>
    <row r="276" spans="1:38" ht="12.6" customHeight="1" x14ac:dyDescent="0.2">
      <c r="A276" s="18"/>
      <c r="B276" s="691" t="s">
        <v>372</v>
      </c>
      <c r="C276" s="692"/>
      <c r="D276" s="692"/>
      <c r="E276" s="692"/>
      <c r="F276" s="351">
        <f>7.29*X2</f>
        <v>9112.5</v>
      </c>
      <c r="G276" s="270">
        <f t="shared" si="761"/>
        <v>9112.5</v>
      </c>
      <c r="H276" s="569">
        <f t="shared" si="762"/>
        <v>9712.5</v>
      </c>
      <c r="I276" s="270">
        <f t="shared" si="763"/>
        <v>9712.5</v>
      </c>
      <c r="J276" s="569">
        <f t="shared" si="747"/>
        <v>9372.5</v>
      </c>
      <c r="K276" s="270">
        <f t="shared" si="748"/>
        <v>9372.5</v>
      </c>
      <c r="L276" s="569">
        <f t="shared" si="749"/>
        <v>9342.5</v>
      </c>
      <c r="M276" s="270">
        <f t="shared" si="750"/>
        <v>9342.5</v>
      </c>
      <c r="N276" s="569">
        <f t="shared" si="751"/>
        <v>9312.5</v>
      </c>
      <c r="O276" s="270">
        <f t="shared" si="752"/>
        <v>9312.5</v>
      </c>
      <c r="P276" s="569">
        <f t="shared" si="753"/>
        <v>9282.5</v>
      </c>
      <c r="Q276" s="270">
        <f t="shared" si="754"/>
        <v>9282.5</v>
      </c>
      <c r="R276" s="569">
        <f t="shared" si="755"/>
        <v>9262.5</v>
      </c>
      <c r="S276" s="270">
        <f t="shared" si="756"/>
        <v>9262.5</v>
      </c>
      <c r="T276" s="97">
        <f t="shared" si="757"/>
        <v>9242.5</v>
      </c>
      <c r="U276" s="246">
        <f t="shared" si="758"/>
        <v>9242.5</v>
      </c>
      <c r="V276" s="97">
        <f t="shared" si="759"/>
        <v>9222.5</v>
      </c>
      <c r="W276" s="246">
        <f t="shared" si="760"/>
        <v>9222.5</v>
      </c>
      <c r="X276" s="641"/>
      <c r="Y276" s="707"/>
      <c r="Z276" s="707"/>
      <c r="AA276" s="643"/>
      <c r="AB276" s="184">
        <v>931</v>
      </c>
    </row>
    <row r="277" spans="1:38" ht="12.6" customHeight="1" x14ac:dyDescent="0.2">
      <c r="A277" s="18"/>
      <c r="B277" s="629" t="s">
        <v>755</v>
      </c>
      <c r="C277" s="638"/>
      <c r="D277" s="638"/>
      <c r="E277" s="638"/>
      <c r="F277" s="352">
        <f>2.98*X2</f>
        <v>3725</v>
      </c>
      <c r="G277" s="271">
        <f t="shared" si="761"/>
        <v>3725</v>
      </c>
      <c r="H277" s="427">
        <f t="shared" si="762"/>
        <v>4325</v>
      </c>
      <c r="I277" s="271">
        <f t="shared" si="763"/>
        <v>4325</v>
      </c>
      <c r="J277" s="427">
        <f t="shared" si="747"/>
        <v>3985</v>
      </c>
      <c r="K277" s="271">
        <f t="shared" si="748"/>
        <v>3985</v>
      </c>
      <c r="L277" s="427">
        <f t="shared" si="749"/>
        <v>3955</v>
      </c>
      <c r="M277" s="271">
        <f t="shared" si="750"/>
        <v>3955</v>
      </c>
      <c r="N277" s="427">
        <f t="shared" si="751"/>
        <v>3925</v>
      </c>
      <c r="O277" s="271">
        <f t="shared" si="752"/>
        <v>3925</v>
      </c>
      <c r="P277" s="427">
        <f t="shared" si="753"/>
        <v>3895</v>
      </c>
      <c r="Q277" s="271">
        <f t="shared" si="754"/>
        <v>3895</v>
      </c>
      <c r="R277" s="427">
        <f t="shared" si="755"/>
        <v>3875</v>
      </c>
      <c r="S277" s="271">
        <f t="shared" si="756"/>
        <v>3875</v>
      </c>
      <c r="T277" s="96">
        <f t="shared" si="757"/>
        <v>3855</v>
      </c>
      <c r="U277" s="286">
        <f t="shared" si="758"/>
        <v>3855</v>
      </c>
      <c r="V277" s="96">
        <f t="shared" si="759"/>
        <v>3835</v>
      </c>
      <c r="W277" s="286">
        <f t="shared" si="760"/>
        <v>3835</v>
      </c>
      <c r="X277" s="641"/>
      <c r="Y277" s="707"/>
      <c r="Z277" s="707"/>
      <c r="AA277" s="643"/>
      <c r="AB277" s="184">
        <v>933</v>
      </c>
    </row>
    <row r="278" spans="1:38" ht="12.6" customHeight="1" x14ac:dyDescent="0.2">
      <c r="A278" s="18"/>
      <c r="B278" s="691" t="s">
        <v>558</v>
      </c>
      <c r="C278" s="692"/>
      <c r="D278" s="692"/>
      <c r="E278" s="692"/>
      <c r="F278" s="351">
        <f>7.55*X2</f>
        <v>9437.5</v>
      </c>
      <c r="G278" s="270">
        <f t="shared" si="761"/>
        <v>9437.5</v>
      </c>
      <c r="H278" s="569">
        <f t="shared" ref="H278:H286" si="764">F278+600</f>
        <v>10037.5</v>
      </c>
      <c r="I278" s="270">
        <f t="shared" ref="I278:I286" si="765">+H278*$X$1</f>
        <v>10037.5</v>
      </c>
      <c r="J278" s="569">
        <f t="shared" ref="J278:J286" si="766">F278+260</f>
        <v>9697.5</v>
      </c>
      <c r="K278" s="270">
        <f t="shared" ref="K278:K286" si="767">+J278*$X$1</f>
        <v>9697.5</v>
      </c>
      <c r="L278" s="569">
        <f t="shared" ref="L278:L286" si="768">F278+230</f>
        <v>9667.5</v>
      </c>
      <c r="M278" s="270">
        <f t="shared" ref="M278:M286" si="769">+L278*$X$1</f>
        <v>9667.5</v>
      </c>
      <c r="N278" s="569">
        <f t="shared" ref="N278:N286" si="770">F278+200</f>
        <v>9637.5</v>
      </c>
      <c r="O278" s="270">
        <f t="shared" ref="O278:O286" si="771">+N278*$X$1</f>
        <v>9637.5</v>
      </c>
      <c r="P278" s="569">
        <f t="shared" ref="P278:P286" si="772">F278+170</f>
        <v>9607.5</v>
      </c>
      <c r="Q278" s="270">
        <f t="shared" ref="Q278:Q286" si="773">+P278*$X$1</f>
        <v>9607.5</v>
      </c>
      <c r="R278" s="569">
        <f t="shared" ref="R278:R286" si="774">F278+150</f>
        <v>9587.5</v>
      </c>
      <c r="S278" s="270">
        <f t="shared" ref="S278:S286" si="775">+R278*$X$1</f>
        <v>9587.5</v>
      </c>
      <c r="T278" s="97">
        <f t="shared" ref="T278:T286" si="776">F278+130</f>
        <v>9567.5</v>
      </c>
      <c r="U278" s="246">
        <f t="shared" ref="U278:U286" si="777">+T278*$X$1</f>
        <v>9567.5</v>
      </c>
      <c r="V278" s="97">
        <f t="shared" ref="V278:V286" si="778">F278+110</f>
        <v>9547.5</v>
      </c>
      <c r="W278" s="246">
        <f t="shared" ref="W278:W286" si="779">+V278*$X$1</f>
        <v>9547.5</v>
      </c>
      <c r="X278" s="349"/>
      <c r="Y278" s="349"/>
      <c r="Z278" s="349"/>
      <c r="AA278" s="349"/>
      <c r="AB278" s="184">
        <v>935</v>
      </c>
    </row>
    <row r="279" spans="1:38" ht="12.6" customHeight="1" x14ac:dyDescent="0.2">
      <c r="A279" s="18"/>
      <c r="B279" s="629" t="s">
        <v>586</v>
      </c>
      <c r="C279" s="638"/>
      <c r="D279" s="638"/>
      <c r="E279" s="638"/>
      <c r="F279" s="352">
        <f>10*X2</f>
        <v>12500</v>
      </c>
      <c r="G279" s="271">
        <f t="shared" ref="G279" si="780">+F279*$X$1</f>
        <v>12500</v>
      </c>
      <c r="H279" s="427">
        <f t="shared" si="764"/>
        <v>13100</v>
      </c>
      <c r="I279" s="271">
        <f t="shared" si="765"/>
        <v>13100</v>
      </c>
      <c r="J279" s="427">
        <f t="shared" si="766"/>
        <v>12760</v>
      </c>
      <c r="K279" s="271">
        <f t="shared" si="767"/>
        <v>12760</v>
      </c>
      <c r="L279" s="427">
        <f t="shared" si="768"/>
        <v>12730</v>
      </c>
      <c r="M279" s="271">
        <f t="shared" si="769"/>
        <v>12730</v>
      </c>
      <c r="N279" s="427">
        <f t="shared" si="770"/>
        <v>12700</v>
      </c>
      <c r="O279" s="271">
        <f t="shared" si="771"/>
        <v>12700</v>
      </c>
      <c r="P279" s="427">
        <f t="shared" si="772"/>
        <v>12670</v>
      </c>
      <c r="Q279" s="271">
        <f t="shared" si="773"/>
        <v>12670</v>
      </c>
      <c r="R279" s="427">
        <f t="shared" si="774"/>
        <v>12650</v>
      </c>
      <c r="S279" s="271">
        <f t="shared" si="775"/>
        <v>12650</v>
      </c>
      <c r="T279" s="96">
        <f t="shared" si="776"/>
        <v>12630</v>
      </c>
      <c r="U279" s="286">
        <f t="shared" si="777"/>
        <v>12630</v>
      </c>
      <c r="V279" s="96">
        <f t="shared" si="778"/>
        <v>12610</v>
      </c>
      <c r="W279" s="286">
        <f t="shared" si="779"/>
        <v>12610</v>
      </c>
      <c r="X279" s="641"/>
      <c r="Y279" s="642"/>
      <c r="Z279" s="642"/>
      <c r="AA279" s="643"/>
      <c r="AB279" s="184">
        <v>936</v>
      </c>
    </row>
    <row r="280" spans="1:38" ht="12.6" customHeight="1" x14ac:dyDescent="0.2">
      <c r="A280" s="18"/>
      <c r="B280" s="691" t="s">
        <v>812</v>
      </c>
      <c r="C280" s="692"/>
      <c r="D280" s="692"/>
      <c r="E280" s="692"/>
      <c r="F280" s="351">
        <f>4.9*X2</f>
        <v>6125</v>
      </c>
      <c r="G280" s="270">
        <f t="shared" ref="G280" si="781">+F280*$X$1</f>
        <v>6125</v>
      </c>
      <c r="H280" s="569">
        <f t="shared" si="764"/>
        <v>6725</v>
      </c>
      <c r="I280" s="270">
        <f t="shared" si="765"/>
        <v>6725</v>
      </c>
      <c r="J280" s="569">
        <f t="shared" si="766"/>
        <v>6385</v>
      </c>
      <c r="K280" s="270">
        <f t="shared" si="767"/>
        <v>6385</v>
      </c>
      <c r="L280" s="569">
        <f t="shared" si="768"/>
        <v>6355</v>
      </c>
      <c r="M280" s="270">
        <f t="shared" si="769"/>
        <v>6355</v>
      </c>
      <c r="N280" s="569">
        <f t="shared" si="770"/>
        <v>6325</v>
      </c>
      <c r="O280" s="270">
        <f t="shared" si="771"/>
        <v>6325</v>
      </c>
      <c r="P280" s="569">
        <f t="shared" si="772"/>
        <v>6295</v>
      </c>
      <c r="Q280" s="270">
        <f t="shared" si="773"/>
        <v>6295</v>
      </c>
      <c r="R280" s="569">
        <f t="shared" si="774"/>
        <v>6275</v>
      </c>
      <c r="S280" s="270">
        <f t="shared" si="775"/>
        <v>6275</v>
      </c>
      <c r="T280" s="97">
        <f t="shared" si="776"/>
        <v>6255</v>
      </c>
      <c r="U280" s="246">
        <f t="shared" si="777"/>
        <v>6255</v>
      </c>
      <c r="V280" s="97">
        <f t="shared" si="778"/>
        <v>6235</v>
      </c>
      <c r="W280" s="246">
        <f t="shared" si="779"/>
        <v>6235</v>
      </c>
      <c r="X280" s="641"/>
      <c r="Y280" s="642"/>
      <c r="Z280" s="642"/>
      <c r="AA280" s="643"/>
      <c r="AB280" s="184">
        <v>940</v>
      </c>
    </row>
    <row r="281" spans="1:38" ht="12.6" customHeight="1" x14ac:dyDescent="0.2">
      <c r="A281" s="18"/>
      <c r="B281" s="708" t="s">
        <v>191</v>
      </c>
      <c r="C281" s="831"/>
      <c r="D281" s="831"/>
      <c r="E281" s="832"/>
      <c r="F281" s="352">
        <f>5.483*X2</f>
        <v>6853.75</v>
      </c>
      <c r="G281" s="271">
        <f t="shared" ref="G281:G285" si="782">+F281*$X$1</f>
        <v>6853.75</v>
      </c>
      <c r="H281" s="427">
        <f t="shared" si="764"/>
        <v>7453.75</v>
      </c>
      <c r="I281" s="271">
        <f t="shared" si="765"/>
        <v>7453.75</v>
      </c>
      <c r="J281" s="427">
        <f t="shared" si="766"/>
        <v>7113.75</v>
      </c>
      <c r="K281" s="271">
        <f t="shared" si="767"/>
        <v>7113.75</v>
      </c>
      <c r="L281" s="427">
        <f t="shared" si="768"/>
        <v>7083.75</v>
      </c>
      <c r="M281" s="271">
        <f t="shared" si="769"/>
        <v>7083.75</v>
      </c>
      <c r="N281" s="427">
        <f t="shared" si="770"/>
        <v>7053.75</v>
      </c>
      <c r="O281" s="271">
        <f t="shared" si="771"/>
        <v>7053.75</v>
      </c>
      <c r="P281" s="427">
        <f t="shared" si="772"/>
        <v>7023.75</v>
      </c>
      <c r="Q281" s="271">
        <f t="shared" si="773"/>
        <v>7023.75</v>
      </c>
      <c r="R281" s="427">
        <f t="shared" si="774"/>
        <v>7003.75</v>
      </c>
      <c r="S281" s="271">
        <f t="shared" si="775"/>
        <v>7003.75</v>
      </c>
      <c r="T281" s="96">
        <f t="shared" si="776"/>
        <v>6983.75</v>
      </c>
      <c r="U281" s="286">
        <f t="shared" si="777"/>
        <v>6983.75</v>
      </c>
      <c r="V281" s="96">
        <f t="shared" si="778"/>
        <v>6963.75</v>
      </c>
      <c r="W281" s="286">
        <f t="shared" si="779"/>
        <v>6963.75</v>
      </c>
      <c r="X281" s="125"/>
      <c r="Y281" s="127"/>
      <c r="Z281" s="123"/>
      <c r="AA281" s="123"/>
      <c r="AB281" s="184">
        <v>945</v>
      </c>
      <c r="AD281" s="64"/>
      <c r="AE281" s="64"/>
      <c r="AF281" s="64"/>
      <c r="AG281" s="64"/>
    </row>
    <row r="282" spans="1:38" ht="12.6" customHeight="1" x14ac:dyDescent="0.2">
      <c r="A282" s="18"/>
      <c r="B282" s="691" t="s">
        <v>456</v>
      </c>
      <c r="C282" s="692"/>
      <c r="D282" s="692"/>
      <c r="E282" s="692"/>
      <c r="F282" s="351">
        <f>4.52*X2</f>
        <v>5649.9999999999991</v>
      </c>
      <c r="G282" s="270">
        <f t="shared" ref="G282" si="783">+F282*$X$1</f>
        <v>5649.9999999999991</v>
      </c>
      <c r="H282" s="569">
        <f t="shared" si="764"/>
        <v>6249.9999999999991</v>
      </c>
      <c r="I282" s="270">
        <f t="shared" si="765"/>
        <v>6249.9999999999991</v>
      </c>
      <c r="J282" s="569">
        <f t="shared" si="766"/>
        <v>5909.9999999999991</v>
      </c>
      <c r="K282" s="270">
        <f t="shared" si="767"/>
        <v>5909.9999999999991</v>
      </c>
      <c r="L282" s="569">
        <f t="shared" si="768"/>
        <v>5879.9999999999991</v>
      </c>
      <c r="M282" s="270">
        <f t="shared" si="769"/>
        <v>5879.9999999999991</v>
      </c>
      <c r="N282" s="569">
        <f t="shared" si="770"/>
        <v>5849.9999999999991</v>
      </c>
      <c r="O282" s="270">
        <f t="shared" si="771"/>
        <v>5849.9999999999991</v>
      </c>
      <c r="P282" s="569">
        <f t="shared" si="772"/>
        <v>5819.9999999999991</v>
      </c>
      <c r="Q282" s="270">
        <f t="shared" si="773"/>
        <v>5819.9999999999991</v>
      </c>
      <c r="R282" s="569">
        <f t="shared" si="774"/>
        <v>5799.9999999999991</v>
      </c>
      <c r="S282" s="270">
        <f t="shared" si="775"/>
        <v>5799.9999999999991</v>
      </c>
      <c r="T282" s="97">
        <f t="shared" si="776"/>
        <v>5779.9999999999991</v>
      </c>
      <c r="U282" s="246">
        <f t="shared" si="777"/>
        <v>5779.9999999999991</v>
      </c>
      <c r="V282" s="97">
        <f t="shared" si="778"/>
        <v>5759.9999999999991</v>
      </c>
      <c r="W282" s="246">
        <f t="shared" si="779"/>
        <v>5759.9999999999991</v>
      </c>
      <c r="X282" s="143"/>
      <c r="Y282" s="143"/>
      <c r="Z282" s="143"/>
      <c r="AA282" s="143"/>
      <c r="AB282" s="184">
        <v>946</v>
      </c>
    </row>
    <row r="283" spans="1:38" ht="12.6" customHeight="1" x14ac:dyDescent="0.2">
      <c r="A283" s="18"/>
      <c r="B283" s="760" t="s">
        <v>192</v>
      </c>
      <c r="C283" s="761"/>
      <c r="D283" s="761"/>
      <c r="E283" s="762"/>
      <c r="F283" s="352">
        <f>5.1*X2</f>
        <v>6375</v>
      </c>
      <c r="G283" s="271">
        <f t="shared" si="782"/>
        <v>6375</v>
      </c>
      <c r="H283" s="427">
        <f t="shared" si="764"/>
        <v>6975</v>
      </c>
      <c r="I283" s="271">
        <f t="shared" si="765"/>
        <v>6975</v>
      </c>
      <c r="J283" s="427"/>
      <c r="K283" s="271"/>
      <c r="L283" s="427"/>
      <c r="M283" s="271"/>
      <c r="N283" s="427"/>
      <c r="O283" s="271"/>
      <c r="P283" s="427"/>
      <c r="Q283" s="271"/>
      <c r="R283" s="427"/>
      <c r="S283" s="271"/>
      <c r="T283" s="96"/>
      <c r="U283" s="286"/>
      <c r="V283" s="96"/>
      <c r="W283" s="286"/>
      <c r="X283" s="641"/>
      <c r="Y283" s="707"/>
      <c r="Z283" s="707"/>
      <c r="AA283" s="643"/>
      <c r="AB283" s="384">
        <v>949</v>
      </c>
    </row>
    <row r="284" spans="1:38" ht="12.6" customHeight="1" x14ac:dyDescent="0.2">
      <c r="A284" s="18"/>
      <c r="B284" s="691" t="s">
        <v>559</v>
      </c>
      <c r="C284" s="692"/>
      <c r="D284" s="692"/>
      <c r="E284" s="692"/>
      <c r="F284" s="351">
        <f>6*X2</f>
        <v>7500</v>
      </c>
      <c r="G284" s="270">
        <f t="shared" si="782"/>
        <v>7500</v>
      </c>
      <c r="H284" s="569">
        <f t="shared" si="764"/>
        <v>8100</v>
      </c>
      <c r="I284" s="270">
        <f t="shared" si="765"/>
        <v>8100</v>
      </c>
      <c r="J284" s="569">
        <f t="shared" si="766"/>
        <v>7760</v>
      </c>
      <c r="K284" s="270">
        <f t="shared" si="767"/>
        <v>7760</v>
      </c>
      <c r="L284" s="569">
        <f t="shared" si="768"/>
        <v>7730</v>
      </c>
      <c r="M284" s="270">
        <f t="shared" si="769"/>
        <v>7730</v>
      </c>
      <c r="N284" s="569">
        <f t="shared" si="770"/>
        <v>7700</v>
      </c>
      <c r="O284" s="270">
        <f t="shared" si="771"/>
        <v>7700</v>
      </c>
      <c r="P284" s="569">
        <f t="shared" si="772"/>
        <v>7670</v>
      </c>
      <c r="Q284" s="270">
        <f t="shared" si="773"/>
        <v>7670</v>
      </c>
      <c r="R284" s="569">
        <f t="shared" si="774"/>
        <v>7650</v>
      </c>
      <c r="S284" s="270">
        <f t="shared" si="775"/>
        <v>7650</v>
      </c>
      <c r="T284" s="97">
        <f t="shared" si="776"/>
        <v>7630</v>
      </c>
      <c r="U284" s="246">
        <f t="shared" si="777"/>
        <v>7630</v>
      </c>
      <c r="V284" s="97">
        <f t="shared" si="778"/>
        <v>7610</v>
      </c>
      <c r="W284" s="246">
        <f t="shared" si="779"/>
        <v>7610</v>
      </c>
      <c r="X284" s="672"/>
      <c r="Y284" s="1118"/>
      <c r="Z284" s="1118"/>
      <c r="AA284" s="948"/>
      <c r="AB284" s="184">
        <v>962</v>
      </c>
    </row>
    <row r="285" spans="1:38" ht="12.6" customHeight="1" x14ac:dyDescent="0.2">
      <c r="A285" s="18"/>
      <c r="B285" s="629" t="s">
        <v>803</v>
      </c>
      <c r="C285" s="638"/>
      <c r="D285" s="638"/>
      <c r="E285" s="638"/>
      <c r="F285" s="352">
        <f>10.94*X2</f>
        <v>13675</v>
      </c>
      <c r="G285" s="271">
        <f t="shared" si="782"/>
        <v>13675</v>
      </c>
      <c r="H285" s="427">
        <f t="shared" si="764"/>
        <v>14275</v>
      </c>
      <c r="I285" s="271">
        <f t="shared" si="765"/>
        <v>14275</v>
      </c>
      <c r="J285" s="427">
        <f t="shared" si="766"/>
        <v>13935</v>
      </c>
      <c r="K285" s="271">
        <f t="shared" si="767"/>
        <v>13935</v>
      </c>
      <c r="L285" s="427">
        <f t="shared" si="768"/>
        <v>13905</v>
      </c>
      <c r="M285" s="271">
        <f t="shared" si="769"/>
        <v>13905</v>
      </c>
      <c r="N285" s="427">
        <f t="shared" si="770"/>
        <v>13875</v>
      </c>
      <c r="O285" s="271">
        <f t="shared" si="771"/>
        <v>13875</v>
      </c>
      <c r="P285" s="427">
        <f t="shared" si="772"/>
        <v>13845</v>
      </c>
      <c r="Q285" s="271">
        <f t="shared" si="773"/>
        <v>13845</v>
      </c>
      <c r="R285" s="427">
        <f t="shared" si="774"/>
        <v>13825</v>
      </c>
      <c r="S285" s="271">
        <f t="shared" si="775"/>
        <v>13825</v>
      </c>
      <c r="T285" s="96">
        <f t="shared" si="776"/>
        <v>13805</v>
      </c>
      <c r="U285" s="286">
        <f t="shared" si="777"/>
        <v>13805</v>
      </c>
      <c r="V285" s="96">
        <f t="shared" si="778"/>
        <v>13785</v>
      </c>
      <c r="W285" s="286">
        <f t="shared" si="779"/>
        <v>13785</v>
      </c>
      <c r="X285" s="425"/>
      <c r="Y285" s="425"/>
      <c r="Z285" s="425"/>
      <c r="AA285" s="425"/>
      <c r="AB285" s="184">
        <v>963</v>
      </c>
    </row>
    <row r="286" spans="1:38" ht="12.6" customHeight="1" x14ac:dyDescent="0.2">
      <c r="A286" s="18"/>
      <c r="B286" s="691" t="s">
        <v>840</v>
      </c>
      <c r="C286" s="692"/>
      <c r="D286" s="692"/>
      <c r="E286" s="692"/>
      <c r="F286" s="351">
        <f>7.1*X2</f>
        <v>8875</v>
      </c>
      <c r="G286" s="270">
        <f t="shared" ref="G286" si="784">+F286*$X$1</f>
        <v>8875</v>
      </c>
      <c r="H286" s="569">
        <f t="shared" si="764"/>
        <v>9475</v>
      </c>
      <c r="I286" s="270">
        <f t="shared" si="765"/>
        <v>9475</v>
      </c>
      <c r="J286" s="569">
        <f t="shared" si="766"/>
        <v>9135</v>
      </c>
      <c r="K286" s="270">
        <f t="shared" si="767"/>
        <v>9135</v>
      </c>
      <c r="L286" s="569">
        <f t="shared" si="768"/>
        <v>9105</v>
      </c>
      <c r="M286" s="270">
        <f t="shared" si="769"/>
        <v>9105</v>
      </c>
      <c r="N286" s="569">
        <f t="shared" si="770"/>
        <v>9075</v>
      </c>
      <c r="O286" s="270">
        <f t="shared" si="771"/>
        <v>9075</v>
      </c>
      <c r="P286" s="569">
        <f t="shared" si="772"/>
        <v>9045</v>
      </c>
      <c r="Q286" s="270">
        <f t="shared" si="773"/>
        <v>9045</v>
      </c>
      <c r="R286" s="569">
        <f t="shared" si="774"/>
        <v>9025</v>
      </c>
      <c r="S286" s="270">
        <f t="shared" si="775"/>
        <v>9025</v>
      </c>
      <c r="T286" s="97">
        <f t="shared" si="776"/>
        <v>9005</v>
      </c>
      <c r="U286" s="246">
        <f t="shared" si="777"/>
        <v>9005</v>
      </c>
      <c r="V286" s="97">
        <f t="shared" si="778"/>
        <v>8985</v>
      </c>
      <c r="W286" s="246">
        <f t="shared" si="779"/>
        <v>8985</v>
      </c>
      <c r="X286" s="425"/>
      <c r="Y286" s="425"/>
      <c r="Z286" s="425"/>
      <c r="AA286" s="425"/>
      <c r="AB286" s="184">
        <v>966</v>
      </c>
    </row>
    <row r="287" spans="1:38" s="1" customFormat="1" ht="12.6" customHeight="1" x14ac:dyDescent="0.2">
      <c r="A287" s="19"/>
      <c r="B287" s="629" t="s">
        <v>357</v>
      </c>
      <c r="C287" s="638"/>
      <c r="D287" s="638"/>
      <c r="E287" s="638"/>
      <c r="F287" s="271">
        <v>450</v>
      </c>
      <c r="G287" s="271">
        <f>+F287*$X$1</f>
        <v>450</v>
      </c>
      <c r="H287" s="264"/>
      <c r="I287" s="264"/>
      <c r="J287" s="427">
        <f>F287+230</f>
        <v>680</v>
      </c>
      <c r="K287" s="271">
        <f t="shared" ref="K287:K289" si="785">+J287*$X$1</f>
        <v>680</v>
      </c>
      <c r="L287" s="427">
        <f>F287+180</f>
        <v>630</v>
      </c>
      <c r="M287" s="271">
        <f>+L287*$X$1</f>
        <v>630</v>
      </c>
      <c r="N287" s="427">
        <f>F287+130</f>
        <v>580</v>
      </c>
      <c r="O287" s="271">
        <f>+N287*$X$1</f>
        <v>580</v>
      </c>
      <c r="P287" s="427">
        <f>F287+110</f>
        <v>560</v>
      </c>
      <c r="Q287" s="271">
        <f>+P287*$X$1</f>
        <v>560</v>
      </c>
      <c r="R287" s="427">
        <f>F287+90</f>
        <v>540</v>
      </c>
      <c r="S287" s="271">
        <f>+R287*$X$1</f>
        <v>540</v>
      </c>
      <c r="T287" s="96">
        <f>F287+80</f>
        <v>530</v>
      </c>
      <c r="U287" s="286">
        <f>+T287*$X$1</f>
        <v>530</v>
      </c>
      <c r="V287" s="96">
        <f>F287+70</f>
        <v>520</v>
      </c>
      <c r="W287" s="286">
        <f>+V287*$X$1</f>
        <v>520</v>
      </c>
      <c r="X287" s="140"/>
      <c r="Y287" s="140"/>
      <c r="Z287" s="140"/>
      <c r="AA287" s="140"/>
      <c r="AB287" s="184">
        <v>998</v>
      </c>
      <c r="AC287" s="7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ht="12.6" customHeight="1" x14ac:dyDescent="0.2">
      <c r="A288" s="18"/>
      <c r="B288" s="765" t="s">
        <v>957</v>
      </c>
      <c r="C288" s="766"/>
      <c r="D288" s="766"/>
      <c r="E288" s="766"/>
      <c r="F288" s="356">
        <v>13390</v>
      </c>
      <c r="G288" s="288">
        <f t="shared" ref="G288" si="786">+F288*$X$1</f>
        <v>13390</v>
      </c>
      <c r="H288" s="600"/>
      <c r="I288" s="270"/>
      <c r="J288" s="600">
        <f>F288+600</f>
        <v>13990</v>
      </c>
      <c r="K288" s="270">
        <f>+J288*$X$1</f>
        <v>13990</v>
      </c>
      <c r="L288" s="600">
        <f>F288+500</f>
        <v>13890</v>
      </c>
      <c r="M288" s="270">
        <f t="shared" ref="M288" si="787">+L288*$X$1</f>
        <v>13890</v>
      </c>
      <c r="N288" s="600">
        <f>F288+450</f>
        <v>13840</v>
      </c>
      <c r="O288" s="270">
        <f t="shared" ref="O288" si="788">+N288*$X$1</f>
        <v>13840</v>
      </c>
      <c r="P288" s="600">
        <f>F288+360</f>
        <v>13750</v>
      </c>
      <c r="Q288" s="270">
        <f t="shared" ref="Q288" si="789">+P288*$X$1</f>
        <v>13750</v>
      </c>
      <c r="R288" s="600">
        <f>F288+330</f>
        <v>13720</v>
      </c>
      <c r="S288" s="270">
        <f t="shared" ref="S288" si="790">+R288*$X$1</f>
        <v>13720</v>
      </c>
      <c r="T288" s="97">
        <f>F288+300</f>
        <v>13690</v>
      </c>
      <c r="U288" s="246">
        <f t="shared" ref="U288" si="791">+T288*$X$1</f>
        <v>13690</v>
      </c>
      <c r="V288" s="97">
        <f>F288+260</f>
        <v>13650</v>
      </c>
      <c r="W288" s="246">
        <f t="shared" ref="W288" si="792">+V288*$X$1</f>
        <v>13650</v>
      </c>
      <c r="X288" s="139"/>
      <c r="Y288" s="139"/>
      <c r="Z288" s="139"/>
      <c r="AA288" s="139"/>
      <c r="AB288" s="184">
        <v>1022</v>
      </c>
    </row>
    <row r="289" spans="1:38" ht="12.6" customHeight="1" x14ac:dyDescent="0.2">
      <c r="A289" s="18"/>
      <c r="B289" s="631" t="s">
        <v>945</v>
      </c>
      <c r="C289" s="632"/>
      <c r="D289" s="632"/>
      <c r="E289" s="632"/>
      <c r="F289" s="352">
        <v>5650</v>
      </c>
      <c r="G289" s="271">
        <f>+F289*$X$1</f>
        <v>5650</v>
      </c>
      <c r="H289" s="85"/>
      <c r="I289" s="271"/>
      <c r="J289" s="427">
        <f>F289+280</f>
        <v>5930</v>
      </c>
      <c r="K289" s="271">
        <f t="shared" si="785"/>
        <v>5930</v>
      </c>
      <c r="L289" s="427">
        <f>F289+230</f>
        <v>5880</v>
      </c>
      <c r="M289" s="271">
        <f t="shared" ref="M289" si="793">+L289*$X$1</f>
        <v>5880</v>
      </c>
      <c r="N289" s="427">
        <f>F289+190</f>
        <v>5840</v>
      </c>
      <c r="O289" s="271">
        <f t="shared" ref="O289" si="794">+N289*$X$1</f>
        <v>5840</v>
      </c>
      <c r="P289" s="427">
        <f>F289+160</f>
        <v>5810</v>
      </c>
      <c r="Q289" s="271">
        <f t="shared" ref="Q289" si="795">+P289*$X$1</f>
        <v>5810</v>
      </c>
      <c r="R289" s="427">
        <f>F289+130</f>
        <v>5780</v>
      </c>
      <c r="S289" s="271">
        <f t="shared" ref="S289" si="796">+R289*$X$1</f>
        <v>5780</v>
      </c>
      <c r="T289" s="427">
        <f>F289+110</f>
        <v>5760</v>
      </c>
      <c r="U289" s="271">
        <f t="shared" ref="U289" si="797">+T289*$X$1</f>
        <v>5760</v>
      </c>
      <c r="V289" s="427">
        <f>F289+90</f>
        <v>5740</v>
      </c>
      <c r="W289" s="271">
        <f t="shared" ref="W289" si="798">+V289*$X$1</f>
        <v>5740</v>
      </c>
      <c r="X289" s="685"/>
      <c r="Y289" s="686"/>
      <c r="Z289" s="686"/>
      <c r="AA289" s="687"/>
      <c r="AB289" s="184">
        <v>1023</v>
      </c>
    </row>
    <row r="290" spans="1:38" s="1" customFormat="1" ht="12.6" customHeight="1" x14ac:dyDescent="0.2">
      <c r="A290" s="19"/>
      <c r="B290" s="633" t="s">
        <v>863</v>
      </c>
      <c r="C290" s="634"/>
      <c r="D290" s="634"/>
      <c r="E290" s="635"/>
      <c r="F290" s="351">
        <f>2.6*X2</f>
        <v>3250</v>
      </c>
      <c r="G290" s="270">
        <f>+F290*$X$1</f>
        <v>3250</v>
      </c>
      <c r="H290" s="600">
        <f t="shared" ref="H290:H291" si="799">F290+600</f>
        <v>3850</v>
      </c>
      <c r="I290" s="270">
        <f t="shared" ref="I290:I291" si="800">+H290*$X$1</f>
        <v>3850</v>
      </c>
      <c r="J290" s="600">
        <f t="shared" ref="J290:J291" si="801">F290+260</f>
        <v>3510</v>
      </c>
      <c r="K290" s="270">
        <f t="shared" ref="K290:K291" si="802">+J290*$X$1</f>
        <v>3510</v>
      </c>
      <c r="L290" s="600">
        <f t="shared" ref="L290:L291" si="803">F290+230</f>
        <v>3480</v>
      </c>
      <c r="M290" s="270">
        <f t="shared" ref="M290:M292" si="804">+L290*$X$1</f>
        <v>3480</v>
      </c>
      <c r="N290" s="600">
        <f t="shared" ref="N290:N291" si="805">F290+200</f>
        <v>3450</v>
      </c>
      <c r="O290" s="270">
        <f t="shared" ref="O290:O292" si="806">+N290*$X$1</f>
        <v>3450</v>
      </c>
      <c r="P290" s="600">
        <f t="shared" ref="P290:P291" si="807">F290+170</f>
        <v>3420</v>
      </c>
      <c r="Q290" s="270">
        <f t="shared" ref="Q290:Q292" si="808">+P290*$X$1</f>
        <v>3420</v>
      </c>
      <c r="R290" s="600">
        <f t="shared" ref="R290:R291" si="809">F290+150</f>
        <v>3400</v>
      </c>
      <c r="S290" s="270">
        <f t="shared" ref="S290:S292" si="810">+R290*$X$1</f>
        <v>3400</v>
      </c>
      <c r="T290" s="97">
        <f t="shared" ref="T290:T291" si="811">F290+130</f>
        <v>3380</v>
      </c>
      <c r="U290" s="246">
        <f t="shared" ref="U290:U292" si="812">+T290*$X$1</f>
        <v>3380</v>
      </c>
      <c r="V290" s="97">
        <f t="shared" ref="V290:V291" si="813">F290+110</f>
        <v>3360</v>
      </c>
      <c r="W290" s="246">
        <f t="shared" ref="W290:W292" si="814">+V290*$X$1</f>
        <v>3360</v>
      </c>
      <c r="X290" s="510"/>
      <c r="Y290" s="512"/>
      <c r="Z290" s="512"/>
      <c r="AA290" s="511"/>
      <c r="AB290" s="184">
        <v>1024</v>
      </c>
      <c r="AC290" s="4"/>
      <c r="AD290" s="4"/>
      <c r="AE290" s="4"/>
      <c r="AF290" s="4"/>
      <c r="AG290" s="4"/>
      <c r="AH290" s="454"/>
      <c r="AI290" s="4"/>
      <c r="AJ290" s="4"/>
      <c r="AK290" s="4"/>
      <c r="AL290" s="4"/>
    </row>
    <row r="291" spans="1:38" s="1" customFormat="1" ht="12.6" customHeight="1" x14ac:dyDescent="0.2">
      <c r="A291" s="19"/>
      <c r="B291" s="708" t="s">
        <v>980</v>
      </c>
      <c r="C291" s="709"/>
      <c r="D291" s="709"/>
      <c r="E291" s="710"/>
      <c r="F291" s="352">
        <f>2.6*X2</f>
        <v>3250</v>
      </c>
      <c r="G291" s="271">
        <f>+F291*$X$1</f>
        <v>3250</v>
      </c>
      <c r="H291" s="427">
        <f t="shared" si="799"/>
        <v>3850</v>
      </c>
      <c r="I291" s="271">
        <f t="shared" si="800"/>
        <v>3850</v>
      </c>
      <c r="J291" s="427">
        <f t="shared" si="801"/>
        <v>3510</v>
      </c>
      <c r="K291" s="271">
        <f t="shared" si="802"/>
        <v>3510</v>
      </c>
      <c r="L291" s="427">
        <f t="shared" si="803"/>
        <v>3480</v>
      </c>
      <c r="M291" s="271">
        <f t="shared" si="804"/>
        <v>3480</v>
      </c>
      <c r="N291" s="427">
        <f t="shared" si="805"/>
        <v>3450</v>
      </c>
      <c r="O291" s="271">
        <f t="shared" si="806"/>
        <v>3450</v>
      </c>
      <c r="P291" s="427">
        <f t="shared" si="807"/>
        <v>3420</v>
      </c>
      <c r="Q291" s="271">
        <f t="shared" si="808"/>
        <v>3420</v>
      </c>
      <c r="R291" s="427">
        <f t="shared" si="809"/>
        <v>3400</v>
      </c>
      <c r="S291" s="271">
        <f t="shared" si="810"/>
        <v>3400</v>
      </c>
      <c r="T291" s="96">
        <f t="shared" si="811"/>
        <v>3380</v>
      </c>
      <c r="U291" s="286">
        <f t="shared" si="812"/>
        <v>3380</v>
      </c>
      <c r="V291" s="96">
        <f t="shared" si="813"/>
        <v>3360</v>
      </c>
      <c r="W291" s="286">
        <f t="shared" si="814"/>
        <v>3360</v>
      </c>
      <c r="X291" s="453"/>
      <c r="Y291" s="451"/>
      <c r="Z291" s="451"/>
      <c r="AA291" s="452"/>
      <c r="AB291" s="184">
        <v>1026</v>
      </c>
      <c r="AC291" s="4"/>
      <c r="AD291" s="4"/>
      <c r="AE291" s="4"/>
      <c r="AF291" s="4"/>
      <c r="AG291" s="4"/>
      <c r="AH291" s="454"/>
      <c r="AI291" s="4"/>
      <c r="AJ291" s="4"/>
      <c r="AK291" s="4"/>
      <c r="AL291" s="4"/>
    </row>
    <row r="292" spans="1:38" s="1" customFormat="1" ht="12.6" customHeight="1" x14ac:dyDescent="0.2">
      <c r="A292" s="19"/>
      <c r="B292" s="633" t="s">
        <v>563</v>
      </c>
      <c r="C292" s="634"/>
      <c r="D292" s="634"/>
      <c r="E292" s="635"/>
      <c r="F292" s="487">
        <f>14.4*X2</f>
        <v>18000</v>
      </c>
      <c r="G292" s="272">
        <f t="shared" ref="G292:G294" si="815">+F292*$X$1</f>
        <v>18000</v>
      </c>
      <c r="H292" s="70">
        <f>F292+650</f>
        <v>18650</v>
      </c>
      <c r="I292" s="270">
        <f>+H292*$X$1</f>
        <v>18650</v>
      </c>
      <c r="J292" s="600">
        <f>F292+280</f>
        <v>18280</v>
      </c>
      <c r="K292" s="270">
        <f>+J292*$X$1</f>
        <v>18280</v>
      </c>
      <c r="L292" s="600">
        <f>F292+230</f>
        <v>18230</v>
      </c>
      <c r="M292" s="270">
        <f t="shared" si="804"/>
        <v>18230</v>
      </c>
      <c r="N292" s="600">
        <f>F292+190</f>
        <v>18190</v>
      </c>
      <c r="O292" s="270">
        <f t="shared" si="806"/>
        <v>18190</v>
      </c>
      <c r="P292" s="600">
        <f>F292+160</f>
        <v>18160</v>
      </c>
      <c r="Q292" s="270">
        <f t="shared" si="808"/>
        <v>18160</v>
      </c>
      <c r="R292" s="600">
        <f>F292+130</f>
        <v>18130</v>
      </c>
      <c r="S292" s="270">
        <f t="shared" si="810"/>
        <v>18130</v>
      </c>
      <c r="T292" s="600">
        <f>F292+110</f>
        <v>18110</v>
      </c>
      <c r="U292" s="270">
        <f t="shared" si="812"/>
        <v>18110</v>
      </c>
      <c r="V292" s="600">
        <f>F292+90</f>
        <v>18090</v>
      </c>
      <c r="W292" s="270">
        <f t="shared" si="814"/>
        <v>18090</v>
      </c>
      <c r="X292" s="314"/>
      <c r="Y292" s="315"/>
      <c r="Z292" s="315"/>
      <c r="AA292" s="316"/>
      <c r="AB292" s="184">
        <v>1028</v>
      </c>
      <c r="AC292" s="4"/>
      <c r="AD292" s="4"/>
      <c r="AE292" s="4"/>
      <c r="AF292" s="4"/>
      <c r="AG292" s="4"/>
      <c r="AH292" s="120"/>
      <c r="AI292" s="4"/>
      <c r="AJ292" s="4"/>
      <c r="AK292" s="4"/>
      <c r="AL292" s="4"/>
    </row>
    <row r="293" spans="1:38" s="1" customFormat="1" ht="12.6" customHeight="1" x14ac:dyDescent="0.2">
      <c r="A293" s="19"/>
      <c r="B293" s="708" t="s">
        <v>805</v>
      </c>
      <c r="C293" s="709"/>
      <c r="D293" s="709"/>
      <c r="E293" s="710"/>
      <c r="F293" s="308">
        <v>3150</v>
      </c>
      <c r="G293" s="271">
        <f t="shared" ref="G293" si="816">+F293*$X$1</f>
        <v>3150</v>
      </c>
      <c r="H293" s="427"/>
      <c r="I293" s="271"/>
      <c r="J293" s="427"/>
      <c r="K293" s="271"/>
      <c r="L293" s="427">
        <f t="shared" ref="L293:L295" si="817">F293+230</f>
        <v>3380</v>
      </c>
      <c r="M293" s="271">
        <f t="shared" ref="M293:M296" si="818">+L293*$X$1</f>
        <v>3380</v>
      </c>
      <c r="N293" s="427">
        <f t="shared" ref="N293:N295" si="819">F293+200</f>
        <v>3350</v>
      </c>
      <c r="O293" s="271">
        <f t="shared" ref="O293:O296" si="820">+N293*$X$1</f>
        <v>3350</v>
      </c>
      <c r="P293" s="427">
        <f t="shared" ref="P293:P295" si="821">F293+170</f>
        <v>3320</v>
      </c>
      <c r="Q293" s="271">
        <f t="shared" ref="Q293:Q296" si="822">+P293*$X$1</f>
        <v>3320</v>
      </c>
      <c r="R293" s="427">
        <f t="shared" ref="R293:R295" si="823">F293+150</f>
        <v>3300</v>
      </c>
      <c r="S293" s="271">
        <f t="shared" ref="S293:S296" si="824">+R293*$X$1</f>
        <v>3300</v>
      </c>
      <c r="T293" s="96">
        <f t="shared" ref="T293:T295" si="825">F293+130</f>
        <v>3280</v>
      </c>
      <c r="U293" s="286">
        <f t="shared" ref="U293:U296" si="826">+T293*$X$1</f>
        <v>3280</v>
      </c>
      <c r="V293" s="96">
        <f t="shared" ref="V293:V295" si="827">F293+110</f>
        <v>3260</v>
      </c>
      <c r="W293" s="286">
        <f t="shared" ref="W293:W296" si="828">+V293*$X$1</f>
        <v>3260</v>
      </c>
      <c r="X293" s="459"/>
      <c r="Y293" s="460"/>
      <c r="Z293" s="460"/>
      <c r="AA293" s="461"/>
      <c r="AB293" s="184">
        <v>1029</v>
      </c>
      <c r="AC293" s="4"/>
      <c r="AD293" s="4"/>
      <c r="AE293" s="4"/>
      <c r="AF293" s="4"/>
      <c r="AG293" s="4"/>
      <c r="AH293" s="120"/>
      <c r="AI293" s="4"/>
      <c r="AJ293" s="4"/>
      <c r="AK293" s="4"/>
      <c r="AL293" s="4"/>
    </row>
    <row r="294" spans="1:38" s="1" customFormat="1" ht="12.6" customHeight="1" x14ac:dyDescent="0.2">
      <c r="A294" s="19"/>
      <c r="B294" s="633" t="s">
        <v>561</v>
      </c>
      <c r="C294" s="634"/>
      <c r="D294" s="634"/>
      <c r="E294" s="635"/>
      <c r="F294" s="309">
        <v>3150</v>
      </c>
      <c r="G294" s="270">
        <f t="shared" si="815"/>
        <v>3150</v>
      </c>
      <c r="H294" s="600"/>
      <c r="I294" s="270"/>
      <c r="J294" s="600"/>
      <c r="K294" s="270"/>
      <c r="L294" s="600">
        <f t="shared" si="817"/>
        <v>3380</v>
      </c>
      <c r="M294" s="270">
        <f t="shared" si="818"/>
        <v>3380</v>
      </c>
      <c r="N294" s="600">
        <f t="shared" si="819"/>
        <v>3350</v>
      </c>
      <c r="O294" s="270">
        <f t="shared" si="820"/>
        <v>3350</v>
      </c>
      <c r="P294" s="600">
        <f t="shared" si="821"/>
        <v>3320</v>
      </c>
      <c r="Q294" s="270">
        <f t="shared" si="822"/>
        <v>3320</v>
      </c>
      <c r="R294" s="600">
        <f t="shared" si="823"/>
        <v>3300</v>
      </c>
      <c r="S294" s="270">
        <f t="shared" si="824"/>
        <v>3300</v>
      </c>
      <c r="T294" s="97">
        <f t="shared" si="825"/>
        <v>3280</v>
      </c>
      <c r="U294" s="246">
        <f t="shared" si="826"/>
        <v>3280</v>
      </c>
      <c r="V294" s="97">
        <f t="shared" si="827"/>
        <v>3260</v>
      </c>
      <c r="W294" s="246">
        <f t="shared" si="828"/>
        <v>3260</v>
      </c>
      <c r="X294" s="304"/>
      <c r="Y294" s="302"/>
      <c r="Z294" s="302"/>
      <c r="AA294" s="303"/>
      <c r="AB294" s="184">
        <v>1030</v>
      </c>
      <c r="AC294" s="4"/>
      <c r="AD294" s="4"/>
      <c r="AE294" s="4"/>
      <c r="AF294" s="4"/>
      <c r="AG294" s="4"/>
      <c r="AH294" s="120"/>
      <c r="AI294" s="4"/>
      <c r="AJ294" s="4"/>
      <c r="AK294" s="4"/>
      <c r="AL294" s="4"/>
    </row>
    <row r="295" spans="1:38" s="1" customFormat="1" ht="12.6" customHeight="1" x14ac:dyDescent="0.2">
      <c r="A295" s="19"/>
      <c r="B295" s="708" t="s">
        <v>562</v>
      </c>
      <c r="C295" s="709"/>
      <c r="D295" s="709"/>
      <c r="E295" s="710"/>
      <c r="F295" s="308">
        <v>3150</v>
      </c>
      <c r="G295" s="271">
        <f t="shared" ref="G295:G296" si="829">+F295*$X$1</f>
        <v>3150</v>
      </c>
      <c r="H295" s="427"/>
      <c r="I295" s="271"/>
      <c r="J295" s="427"/>
      <c r="K295" s="271"/>
      <c r="L295" s="427">
        <f t="shared" si="817"/>
        <v>3380</v>
      </c>
      <c r="M295" s="271">
        <f t="shared" si="818"/>
        <v>3380</v>
      </c>
      <c r="N295" s="427">
        <f t="shared" si="819"/>
        <v>3350</v>
      </c>
      <c r="O295" s="271">
        <f t="shared" si="820"/>
        <v>3350</v>
      </c>
      <c r="P295" s="427">
        <f t="shared" si="821"/>
        <v>3320</v>
      </c>
      <c r="Q295" s="271">
        <f t="shared" si="822"/>
        <v>3320</v>
      </c>
      <c r="R295" s="427">
        <f t="shared" si="823"/>
        <v>3300</v>
      </c>
      <c r="S295" s="271">
        <f t="shared" si="824"/>
        <v>3300</v>
      </c>
      <c r="T295" s="96">
        <f t="shared" si="825"/>
        <v>3280</v>
      </c>
      <c r="U295" s="286">
        <f t="shared" si="826"/>
        <v>3280</v>
      </c>
      <c r="V295" s="96">
        <f t="shared" si="827"/>
        <v>3260</v>
      </c>
      <c r="W295" s="286">
        <f t="shared" si="828"/>
        <v>3260</v>
      </c>
      <c r="X295" s="310"/>
      <c r="Y295" s="311"/>
      <c r="Z295" s="311"/>
      <c r="AA295" s="312"/>
      <c r="AB295" s="184">
        <v>1031</v>
      </c>
      <c r="AC295" s="4"/>
      <c r="AD295" s="4"/>
      <c r="AE295" s="4"/>
      <c r="AF295" s="4"/>
      <c r="AG295" s="4"/>
      <c r="AH295" s="120"/>
      <c r="AI295" s="4"/>
      <c r="AJ295" s="4"/>
      <c r="AK295" s="4"/>
      <c r="AL295" s="4"/>
    </row>
    <row r="296" spans="1:38" s="1" customFormat="1" ht="12.6" customHeight="1" x14ac:dyDescent="0.2">
      <c r="A296" s="19"/>
      <c r="B296" s="633" t="s">
        <v>815</v>
      </c>
      <c r="C296" s="634"/>
      <c r="D296" s="634"/>
      <c r="E296" s="635"/>
      <c r="F296" s="351">
        <f>14.82*X2</f>
        <v>18525</v>
      </c>
      <c r="G296" s="270">
        <f t="shared" si="829"/>
        <v>18525</v>
      </c>
      <c r="H296" s="70">
        <f>F296+600</f>
        <v>19125</v>
      </c>
      <c r="I296" s="270">
        <f t="shared" ref="I296:I312" si="830">+H296*$X$1</f>
        <v>19125</v>
      </c>
      <c r="J296" s="600">
        <f>F296+260</f>
        <v>18785</v>
      </c>
      <c r="K296" s="270">
        <f t="shared" ref="K296:K312" si="831">+J296*$X$1</f>
        <v>18785</v>
      </c>
      <c r="L296" s="600">
        <f>F296+220</f>
        <v>18745</v>
      </c>
      <c r="M296" s="270">
        <f t="shared" si="818"/>
        <v>18745</v>
      </c>
      <c r="N296" s="600">
        <f>F296+180</f>
        <v>18705</v>
      </c>
      <c r="O296" s="270">
        <f t="shared" si="820"/>
        <v>18705</v>
      </c>
      <c r="P296" s="600">
        <f>F296+150</f>
        <v>18675</v>
      </c>
      <c r="Q296" s="270">
        <f t="shared" si="822"/>
        <v>18675</v>
      </c>
      <c r="R296" s="600">
        <f>F296+120</f>
        <v>18645</v>
      </c>
      <c r="S296" s="270">
        <f t="shared" si="824"/>
        <v>18645</v>
      </c>
      <c r="T296" s="600">
        <f>F296+100</f>
        <v>18625</v>
      </c>
      <c r="U296" s="270">
        <f t="shared" si="826"/>
        <v>18625</v>
      </c>
      <c r="V296" s="600">
        <f>F296+80</f>
        <v>18605</v>
      </c>
      <c r="W296" s="270">
        <f t="shared" si="828"/>
        <v>18605</v>
      </c>
      <c r="X296" s="240"/>
      <c r="Y296" s="241"/>
      <c r="Z296" s="241"/>
      <c r="AA296" s="242"/>
      <c r="AB296" s="184">
        <v>1032</v>
      </c>
      <c r="AC296" s="4"/>
      <c r="AD296" s="4"/>
      <c r="AE296" s="4"/>
      <c r="AF296" s="4"/>
      <c r="AG296" s="4"/>
      <c r="AH296" s="120"/>
      <c r="AI296" s="4"/>
      <c r="AJ296" s="4"/>
      <c r="AK296" s="4"/>
      <c r="AL296" s="4"/>
    </row>
    <row r="297" spans="1:38" s="1" customFormat="1" ht="12.6" customHeight="1" x14ac:dyDescent="0.2">
      <c r="A297" s="19"/>
      <c r="B297" s="708" t="s">
        <v>444</v>
      </c>
      <c r="C297" s="709"/>
      <c r="D297" s="709"/>
      <c r="E297" s="710"/>
      <c r="F297" s="352">
        <f>20.46*X2</f>
        <v>25575</v>
      </c>
      <c r="G297" s="271">
        <f t="shared" ref="G297" si="832">+F297*$X$1</f>
        <v>25575</v>
      </c>
      <c r="H297" s="85">
        <f>F297+650</f>
        <v>26225</v>
      </c>
      <c r="I297" s="271">
        <f t="shared" si="830"/>
        <v>26225</v>
      </c>
      <c r="J297" s="427">
        <f>F297+280</f>
        <v>25855</v>
      </c>
      <c r="K297" s="271">
        <f t="shared" si="831"/>
        <v>25855</v>
      </c>
      <c r="L297" s="427">
        <f>F297+230</f>
        <v>25805</v>
      </c>
      <c r="M297" s="271">
        <f t="shared" ref="M297:M299" si="833">+L297*$X$1</f>
        <v>25805</v>
      </c>
      <c r="N297" s="427">
        <f>F297+190</f>
        <v>25765</v>
      </c>
      <c r="O297" s="271">
        <f t="shared" ref="O297:O299" si="834">+N297*$X$1</f>
        <v>25765</v>
      </c>
      <c r="P297" s="427">
        <f>F297+160</f>
        <v>25735</v>
      </c>
      <c r="Q297" s="271">
        <f t="shared" ref="Q297:Q299" si="835">+P297*$X$1</f>
        <v>25735</v>
      </c>
      <c r="R297" s="427">
        <f>F297+130</f>
        <v>25705</v>
      </c>
      <c r="S297" s="271">
        <f t="shared" ref="S297:S299" si="836">+R297*$X$1</f>
        <v>25705</v>
      </c>
      <c r="T297" s="427">
        <f>F297+110</f>
        <v>25685</v>
      </c>
      <c r="U297" s="271">
        <f t="shared" ref="U297:U299" si="837">+T297*$X$1</f>
        <v>25685</v>
      </c>
      <c r="V297" s="427">
        <f>F297+90</f>
        <v>25665</v>
      </c>
      <c r="W297" s="271">
        <f t="shared" ref="W297:W299" si="838">+V297*$X$1</f>
        <v>25665</v>
      </c>
      <c r="X297" s="233"/>
      <c r="Y297" s="235"/>
      <c r="Z297" s="235"/>
      <c r="AA297" s="234"/>
      <c r="AB297" s="184">
        <v>1034</v>
      </c>
      <c r="AC297" s="4"/>
      <c r="AD297" s="4"/>
      <c r="AE297" s="4"/>
      <c r="AF297" s="4"/>
      <c r="AG297" s="4"/>
      <c r="AH297" s="120"/>
      <c r="AI297" s="4"/>
      <c r="AJ297" s="4"/>
      <c r="AK297" s="4"/>
      <c r="AL297" s="4"/>
    </row>
    <row r="298" spans="1:38" ht="12.6" customHeight="1" x14ac:dyDescent="0.2">
      <c r="A298" s="18"/>
      <c r="B298" s="691" t="s">
        <v>406</v>
      </c>
      <c r="C298" s="692"/>
      <c r="D298" s="692"/>
      <c r="E298" s="692"/>
      <c r="F298" s="309">
        <v>12390</v>
      </c>
      <c r="G298" s="270">
        <f>+F298*$X$1</f>
        <v>12390</v>
      </c>
      <c r="H298" s="70">
        <f>F298+600</f>
        <v>12990</v>
      </c>
      <c r="I298" s="270">
        <f t="shared" si="830"/>
        <v>12990</v>
      </c>
      <c r="J298" s="600">
        <f>F298+260</f>
        <v>12650</v>
      </c>
      <c r="K298" s="270">
        <f t="shared" si="831"/>
        <v>12650</v>
      </c>
      <c r="L298" s="600">
        <f>F298+220</f>
        <v>12610</v>
      </c>
      <c r="M298" s="270">
        <f t="shared" si="833"/>
        <v>12610</v>
      </c>
      <c r="N298" s="600">
        <f>F298+180</f>
        <v>12570</v>
      </c>
      <c r="O298" s="270">
        <f t="shared" si="834"/>
        <v>12570</v>
      </c>
      <c r="P298" s="600">
        <f>F298+150</f>
        <v>12540</v>
      </c>
      <c r="Q298" s="270">
        <f t="shared" si="835"/>
        <v>12540</v>
      </c>
      <c r="R298" s="600">
        <f>F298+120</f>
        <v>12510</v>
      </c>
      <c r="S298" s="270">
        <f t="shared" si="836"/>
        <v>12510</v>
      </c>
      <c r="T298" s="600">
        <f>F298+100</f>
        <v>12490</v>
      </c>
      <c r="U298" s="270">
        <f t="shared" si="837"/>
        <v>12490</v>
      </c>
      <c r="V298" s="600">
        <f>F298+80</f>
        <v>12470</v>
      </c>
      <c r="W298" s="270">
        <f t="shared" si="838"/>
        <v>12470</v>
      </c>
      <c r="X298" s="685"/>
      <c r="Y298" s="686"/>
      <c r="Z298" s="686"/>
      <c r="AA298" s="687"/>
      <c r="AB298" s="184">
        <v>1040</v>
      </c>
      <c r="AC298" s="63"/>
    </row>
    <row r="299" spans="1:38" ht="12.6" customHeight="1" x14ac:dyDescent="0.2">
      <c r="A299" s="18"/>
      <c r="B299" s="629" t="s">
        <v>735</v>
      </c>
      <c r="C299" s="638"/>
      <c r="D299" s="638"/>
      <c r="E299" s="638"/>
      <c r="F299" s="352">
        <f>21.3*X2</f>
        <v>26625</v>
      </c>
      <c r="G299" s="271">
        <f>+F299*$X$1</f>
        <v>26625</v>
      </c>
      <c r="H299" s="85">
        <f>F299+600</f>
        <v>27225</v>
      </c>
      <c r="I299" s="271">
        <f t="shared" si="830"/>
        <v>27225</v>
      </c>
      <c r="J299" s="427">
        <f>F299+260</f>
        <v>26885</v>
      </c>
      <c r="K299" s="271">
        <f t="shared" si="831"/>
        <v>26885</v>
      </c>
      <c r="L299" s="427">
        <f>F299+220</f>
        <v>26845</v>
      </c>
      <c r="M299" s="271">
        <f t="shared" si="833"/>
        <v>26845</v>
      </c>
      <c r="N299" s="427">
        <f>F299+180</f>
        <v>26805</v>
      </c>
      <c r="O299" s="271">
        <f t="shared" si="834"/>
        <v>26805</v>
      </c>
      <c r="P299" s="427">
        <f>F299+150</f>
        <v>26775</v>
      </c>
      <c r="Q299" s="271">
        <f t="shared" si="835"/>
        <v>26775</v>
      </c>
      <c r="R299" s="427">
        <f>F299+120</f>
        <v>26745</v>
      </c>
      <c r="S299" s="271">
        <f t="shared" si="836"/>
        <v>26745</v>
      </c>
      <c r="T299" s="427">
        <f>F299+100</f>
        <v>26725</v>
      </c>
      <c r="U299" s="271">
        <f t="shared" si="837"/>
        <v>26725</v>
      </c>
      <c r="V299" s="427">
        <f>F299+80</f>
        <v>26705</v>
      </c>
      <c r="W299" s="271">
        <f t="shared" si="838"/>
        <v>26705</v>
      </c>
      <c r="X299" s="685"/>
      <c r="Y299" s="686"/>
      <c r="Z299" s="686"/>
      <c r="AA299" s="687"/>
      <c r="AB299" s="184">
        <v>1041</v>
      </c>
      <c r="AC299" s="63"/>
    </row>
    <row r="300" spans="1:38" ht="12.6" customHeight="1" x14ac:dyDescent="0.2">
      <c r="A300" s="18"/>
      <c r="B300" s="691" t="s">
        <v>734</v>
      </c>
      <c r="C300" s="692"/>
      <c r="D300" s="692"/>
      <c r="E300" s="692"/>
      <c r="F300" s="351">
        <f>14.8*X2</f>
        <v>18500</v>
      </c>
      <c r="G300" s="270">
        <f t="shared" ref="G300" si="839">+F300*$X$1</f>
        <v>18500</v>
      </c>
      <c r="H300" s="70">
        <f>F300+650</f>
        <v>19150</v>
      </c>
      <c r="I300" s="270">
        <f t="shared" si="830"/>
        <v>19150</v>
      </c>
      <c r="J300" s="600">
        <f>F300+280</f>
        <v>18780</v>
      </c>
      <c r="K300" s="270">
        <f t="shared" si="831"/>
        <v>18780</v>
      </c>
      <c r="L300" s="600">
        <f>F300+230</f>
        <v>18730</v>
      </c>
      <c r="M300" s="270">
        <f t="shared" ref="M300:M311" si="840">+L300*$X$1</f>
        <v>18730</v>
      </c>
      <c r="N300" s="600">
        <f>F300+190</f>
        <v>18690</v>
      </c>
      <c r="O300" s="270">
        <f t="shared" ref="O300:O311" si="841">+N300*$X$1</f>
        <v>18690</v>
      </c>
      <c r="P300" s="600">
        <f>F300+160</f>
        <v>18660</v>
      </c>
      <c r="Q300" s="270">
        <f t="shared" ref="Q300:Q311" si="842">+P300*$X$1</f>
        <v>18660</v>
      </c>
      <c r="R300" s="600">
        <f>F300+130</f>
        <v>18630</v>
      </c>
      <c r="S300" s="270">
        <f t="shared" ref="S300:S311" si="843">+R300*$X$1</f>
        <v>18630</v>
      </c>
      <c r="T300" s="600">
        <f>F300+110</f>
        <v>18610</v>
      </c>
      <c r="U300" s="270">
        <f t="shared" ref="U300:U311" si="844">+T300*$X$1</f>
        <v>18610</v>
      </c>
      <c r="V300" s="600">
        <f>F300+90</f>
        <v>18590</v>
      </c>
      <c r="W300" s="270">
        <f t="shared" ref="W300:W311" si="845">+V300*$X$1</f>
        <v>18590</v>
      </c>
      <c r="X300" s="685"/>
      <c r="Y300" s="686"/>
      <c r="Z300" s="686"/>
      <c r="AA300" s="687"/>
      <c r="AB300" s="184">
        <v>1042</v>
      </c>
    </row>
    <row r="301" spans="1:38" ht="12.6" customHeight="1" x14ac:dyDescent="0.2">
      <c r="A301" s="18"/>
      <c r="B301" s="629" t="s">
        <v>493</v>
      </c>
      <c r="C301" s="638"/>
      <c r="D301" s="638"/>
      <c r="E301" s="638"/>
      <c r="F301" s="308">
        <v>17690</v>
      </c>
      <c r="G301" s="271">
        <f t="shared" ref="G301:G309" si="846">+F301*$X$1</f>
        <v>17690</v>
      </c>
      <c r="H301" s="85">
        <f t="shared" ref="H301:H312" si="847">F301+600</f>
        <v>18290</v>
      </c>
      <c r="I301" s="271">
        <f t="shared" si="830"/>
        <v>18290</v>
      </c>
      <c r="J301" s="427">
        <f t="shared" ref="J301:J312" si="848">F301+260</f>
        <v>17950</v>
      </c>
      <c r="K301" s="271">
        <f t="shared" si="831"/>
        <v>17950</v>
      </c>
      <c r="L301" s="427">
        <f t="shared" ref="L301:L312" si="849">F301+220</f>
        <v>17910</v>
      </c>
      <c r="M301" s="271">
        <f t="shared" si="840"/>
        <v>17910</v>
      </c>
      <c r="N301" s="427">
        <f t="shared" ref="N301:N312" si="850">F301+180</f>
        <v>17870</v>
      </c>
      <c r="O301" s="271">
        <f t="shared" si="841"/>
        <v>17870</v>
      </c>
      <c r="P301" s="427">
        <f t="shared" ref="P301:P312" si="851">F301+150</f>
        <v>17840</v>
      </c>
      <c r="Q301" s="271">
        <f t="shared" si="842"/>
        <v>17840</v>
      </c>
      <c r="R301" s="427">
        <f t="shared" ref="R301:R312" si="852">F301+120</f>
        <v>17810</v>
      </c>
      <c r="S301" s="271">
        <f t="shared" si="843"/>
        <v>17810</v>
      </c>
      <c r="T301" s="427">
        <f t="shared" ref="T301:T312" si="853">F301+100</f>
        <v>17790</v>
      </c>
      <c r="U301" s="271">
        <f t="shared" si="844"/>
        <v>17790</v>
      </c>
      <c r="V301" s="427">
        <f t="shared" ref="V301:V312" si="854">F301+80</f>
        <v>17770</v>
      </c>
      <c r="W301" s="271">
        <f t="shared" si="845"/>
        <v>17770</v>
      </c>
      <c r="X301" s="685"/>
      <c r="Y301" s="686"/>
      <c r="Z301" s="686"/>
      <c r="AA301" s="687"/>
      <c r="AB301" s="184">
        <v>1043</v>
      </c>
      <c r="AC301" s="63"/>
    </row>
    <row r="302" spans="1:38" ht="12.6" customHeight="1" x14ac:dyDescent="0.2">
      <c r="A302" s="18"/>
      <c r="B302" s="691" t="s">
        <v>953</v>
      </c>
      <c r="C302" s="692"/>
      <c r="D302" s="692"/>
      <c r="E302" s="692"/>
      <c r="F302" s="309">
        <v>20690</v>
      </c>
      <c r="G302" s="270">
        <f t="shared" si="846"/>
        <v>20690</v>
      </c>
      <c r="H302" s="70">
        <f t="shared" si="847"/>
        <v>21290</v>
      </c>
      <c r="I302" s="270">
        <f t="shared" si="830"/>
        <v>21290</v>
      </c>
      <c r="J302" s="600">
        <f t="shared" si="848"/>
        <v>20950</v>
      </c>
      <c r="K302" s="270">
        <f t="shared" si="831"/>
        <v>20950</v>
      </c>
      <c r="L302" s="600">
        <f t="shared" si="849"/>
        <v>20910</v>
      </c>
      <c r="M302" s="270">
        <f t="shared" si="840"/>
        <v>20910</v>
      </c>
      <c r="N302" s="600">
        <f t="shared" si="850"/>
        <v>20870</v>
      </c>
      <c r="O302" s="270">
        <f t="shared" si="841"/>
        <v>20870</v>
      </c>
      <c r="P302" s="600">
        <f t="shared" si="851"/>
        <v>20840</v>
      </c>
      <c r="Q302" s="270">
        <f t="shared" si="842"/>
        <v>20840</v>
      </c>
      <c r="R302" s="600">
        <f t="shared" si="852"/>
        <v>20810</v>
      </c>
      <c r="S302" s="270">
        <f t="shared" si="843"/>
        <v>20810</v>
      </c>
      <c r="T302" s="600">
        <f t="shared" si="853"/>
        <v>20790</v>
      </c>
      <c r="U302" s="270">
        <f t="shared" si="844"/>
        <v>20790</v>
      </c>
      <c r="V302" s="600">
        <f t="shared" si="854"/>
        <v>20770</v>
      </c>
      <c r="W302" s="270">
        <f t="shared" si="845"/>
        <v>20770</v>
      </c>
      <c r="X302" s="685"/>
      <c r="Y302" s="686"/>
      <c r="Z302" s="686"/>
      <c r="AA302" s="687"/>
      <c r="AB302" s="184">
        <v>1044</v>
      </c>
      <c r="AC302" s="63"/>
    </row>
    <row r="303" spans="1:38" ht="12.6" customHeight="1" x14ac:dyDescent="0.2">
      <c r="A303" s="18"/>
      <c r="B303" s="629" t="s">
        <v>767</v>
      </c>
      <c r="C303" s="638"/>
      <c r="D303" s="638"/>
      <c r="E303" s="638"/>
      <c r="F303" s="308">
        <v>21785</v>
      </c>
      <c r="G303" s="271">
        <f>+F303*$X$1</f>
        <v>21785</v>
      </c>
      <c r="H303" s="85">
        <f t="shared" si="847"/>
        <v>22385</v>
      </c>
      <c r="I303" s="271">
        <f t="shared" si="830"/>
        <v>22385</v>
      </c>
      <c r="J303" s="427">
        <f t="shared" si="848"/>
        <v>22045</v>
      </c>
      <c r="K303" s="271">
        <f t="shared" si="831"/>
        <v>22045</v>
      </c>
      <c r="L303" s="427">
        <f t="shared" si="849"/>
        <v>22005</v>
      </c>
      <c r="M303" s="271">
        <f t="shared" si="840"/>
        <v>22005</v>
      </c>
      <c r="N303" s="427">
        <f t="shared" si="850"/>
        <v>21965</v>
      </c>
      <c r="O303" s="271">
        <f t="shared" si="841"/>
        <v>21965</v>
      </c>
      <c r="P303" s="427">
        <f t="shared" si="851"/>
        <v>21935</v>
      </c>
      <c r="Q303" s="271">
        <f t="shared" si="842"/>
        <v>21935</v>
      </c>
      <c r="R303" s="427">
        <f t="shared" si="852"/>
        <v>21905</v>
      </c>
      <c r="S303" s="271">
        <f t="shared" si="843"/>
        <v>21905</v>
      </c>
      <c r="T303" s="427">
        <f t="shared" si="853"/>
        <v>21885</v>
      </c>
      <c r="U303" s="271">
        <f t="shared" si="844"/>
        <v>21885</v>
      </c>
      <c r="V303" s="427">
        <f t="shared" si="854"/>
        <v>21865</v>
      </c>
      <c r="W303" s="271">
        <f t="shared" si="845"/>
        <v>21865</v>
      </c>
      <c r="X303" s="686"/>
      <c r="Y303" s="686"/>
      <c r="Z303" s="686"/>
      <c r="AA303" s="687"/>
      <c r="AB303" s="184">
        <v>1045</v>
      </c>
      <c r="AC303" s="63"/>
    </row>
    <row r="304" spans="1:38" ht="12.6" customHeight="1" x14ac:dyDescent="0.2">
      <c r="A304" s="18"/>
      <c r="B304" s="691" t="s">
        <v>525</v>
      </c>
      <c r="C304" s="692"/>
      <c r="D304" s="692"/>
      <c r="E304" s="692"/>
      <c r="F304" s="309">
        <v>11390</v>
      </c>
      <c r="G304" s="270">
        <f t="shared" si="846"/>
        <v>11390</v>
      </c>
      <c r="H304" s="70">
        <f t="shared" si="847"/>
        <v>11990</v>
      </c>
      <c r="I304" s="270">
        <f t="shared" si="830"/>
        <v>11990</v>
      </c>
      <c r="J304" s="600">
        <f t="shared" si="848"/>
        <v>11650</v>
      </c>
      <c r="K304" s="270">
        <f t="shared" si="831"/>
        <v>11650</v>
      </c>
      <c r="L304" s="600">
        <f t="shared" si="849"/>
        <v>11610</v>
      </c>
      <c r="M304" s="270">
        <f t="shared" si="840"/>
        <v>11610</v>
      </c>
      <c r="N304" s="600">
        <f t="shared" si="850"/>
        <v>11570</v>
      </c>
      <c r="O304" s="270">
        <f t="shared" si="841"/>
        <v>11570</v>
      </c>
      <c r="P304" s="600">
        <f t="shared" si="851"/>
        <v>11540</v>
      </c>
      <c r="Q304" s="270">
        <f t="shared" si="842"/>
        <v>11540</v>
      </c>
      <c r="R304" s="600">
        <f t="shared" si="852"/>
        <v>11510</v>
      </c>
      <c r="S304" s="270">
        <f t="shared" si="843"/>
        <v>11510</v>
      </c>
      <c r="T304" s="600">
        <f t="shared" si="853"/>
        <v>11490</v>
      </c>
      <c r="U304" s="270">
        <f t="shared" si="844"/>
        <v>11490</v>
      </c>
      <c r="V304" s="600">
        <f t="shared" si="854"/>
        <v>11470</v>
      </c>
      <c r="W304" s="270">
        <f t="shared" si="845"/>
        <v>11470</v>
      </c>
      <c r="X304" s="685"/>
      <c r="Y304" s="686"/>
      <c r="Z304" s="686"/>
      <c r="AA304" s="687"/>
      <c r="AB304" s="184">
        <v>1048</v>
      </c>
      <c r="AC304" s="63"/>
    </row>
    <row r="305" spans="1:34" ht="12.6" customHeight="1" x14ac:dyDescent="0.2">
      <c r="A305" s="18"/>
      <c r="B305" s="629" t="s">
        <v>524</v>
      </c>
      <c r="C305" s="638"/>
      <c r="D305" s="638"/>
      <c r="E305" s="638"/>
      <c r="F305" s="308">
        <v>8895</v>
      </c>
      <c r="G305" s="271">
        <f t="shared" si="846"/>
        <v>8895</v>
      </c>
      <c r="H305" s="85">
        <f t="shared" si="847"/>
        <v>9495</v>
      </c>
      <c r="I305" s="271">
        <f t="shared" si="830"/>
        <v>9495</v>
      </c>
      <c r="J305" s="427">
        <f t="shared" si="848"/>
        <v>9155</v>
      </c>
      <c r="K305" s="271">
        <f t="shared" si="831"/>
        <v>9155</v>
      </c>
      <c r="L305" s="427">
        <f t="shared" si="849"/>
        <v>9115</v>
      </c>
      <c r="M305" s="271">
        <f t="shared" si="840"/>
        <v>9115</v>
      </c>
      <c r="N305" s="427">
        <f t="shared" si="850"/>
        <v>9075</v>
      </c>
      <c r="O305" s="271">
        <f t="shared" si="841"/>
        <v>9075</v>
      </c>
      <c r="P305" s="427">
        <f t="shared" si="851"/>
        <v>9045</v>
      </c>
      <c r="Q305" s="271">
        <f t="shared" si="842"/>
        <v>9045</v>
      </c>
      <c r="R305" s="427">
        <f t="shared" si="852"/>
        <v>9015</v>
      </c>
      <c r="S305" s="271">
        <f t="shared" si="843"/>
        <v>9015</v>
      </c>
      <c r="T305" s="427">
        <f t="shared" si="853"/>
        <v>8995</v>
      </c>
      <c r="U305" s="271">
        <f t="shared" si="844"/>
        <v>8995</v>
      </c>
      <c r="V305" s="427">
        <f t="shared" si="854"/>
        <v>8975</v>
      </c>
      <c r="W305" s="271">
        <f t="shared" si="845"/>
        <v>8975</v>
      </c>
      <c r="X305" s="685"/>
      <c r="Y305" s="686"/>
      <c r="Z305" s="686"/>
      <c r="AA305" s="687"/>
      <c r="AB305" s="184">
        <v>1049</v>
      </c>
      <c r="AC305" s="63"/>
    </row>
    <row r="306" spans="1:34" ht="12.6" customHeight="1" x14ac:dyDescent="0.2">
      <c r="A306" s="18"/>
      <c r="B306" s="691" t="s">
        <v>526</v>
      </c>
      <c r="C306" s="692"/>
      <c r="D306" s="692"/>
      <c r="E306" s="692"/>
      <c r="F306" s="309">
        <v>10250</v>
      </c>
      <c r="G306" s="270">
        <f t="shared" si="846"/>
        <v>10250</v>
      </c>
      <c r="H306" s="70">
        <f t="shared" si="847"/>
        <v>10850</v>
      </c>
      <c r="I306" s="270">
        <f t="shared" si="830"/>
        <v>10850</v>
      </c>
      <c r="J306" s="600">
        <f t="shared" si="848"/>
        <v>10510</v>
      </c>
      <c r="K306" s="270">
        <f t="shared" si="831"/>
        <v>10510</v>
      </c>
      <c r="L306" s="600">
        <f t="shared" si="849"/>
        <v>10470</v>
      </c>
      <c r="M306" s="270">
        <f t="shared" si="840"/>
        <v>10470</v>
      </c>
      <c r="N306" s="600">
        <f t="shared" si="850"/>
        <v>10430</v>
      </c>
      <c r="O306" s="270">
        <f t="shared" si="841"/>
        <v>10430</v>
      </c>
      <c r="P306" s="600">
        <f t="shared" si="851"/>
        <v>10400</v>
      </c>
      <c r="Q306" s="270">
        <f t="shared" si="842"/>
        <v>10400</v>
      </c>
      <c r="R306" s="600">
        <f t="shared" si="852"/>
        <v>10370</v>
      </c>
      <c r="S306" s="270">
        <f t="shared" si="843"/>
        <v>10370</v>
      </c>
      <c r="T306" s="600">
        <f t="shared" si="853"/>
        <v>10350</v>
      </c>
      <c r="U306" s="270">
        <f t="shared" si="844"/>
        <v>10350</v>
      </c>
      <c r="V306" s="600">
        <f t="shared" si="854"/>
        <v>10330</v>
      </c>
      <c r="W306" s="270">
        <f t="shared" si="845"/>
        <v>10330</v>
      </c>
      <c r="X306" s="685"/>
      <c r="Y306" s="686"/>
      <c r="Z306" s="686"/>
      <c r="AA306" s="687"/>
      <c r="AB306" s="184">
        <v>1050</v>
      </c>
      <c r="AC306" s="63"/>
    </row>
    <row r="307" spans="1:34" ht="12.6" customHeight="1" x14ac:dyDescent="0.2">
      <c r="A307" s="18"/>
      <c r="B307" s="765" t="s">
        <v>956</v>
      </c>
      <c r="C307" s="766"/>
      <c r="D307" s="766"/>
      <c r="E307" s="766"/>
      <c r="F307" s="355">
        <f>14*X2</f>
        <v>17500</v>
      </c>
      <c r="G307" s="318">
        <f t="shared" si="846"/>
        <v>17500</v>
      </c>
      <c r="H307" s="427">
        <f>F307+800</f>
        <v>18300</v>
      </c>
      <c r="I307" s="271">
        <f>+H307*$X$1</f>
        <v>18300</v>
      </c>
      <c r="J307" s="427">
        <f>F307+600</f>
        <v>18100</v>
      </c>
      <c r="K307" s="271">
        <f>+J307*$X$1</f>
        <v>18100</v>
      </c>
      <c r="L307" s="427">
        <f>F307+500</f>
        <v>18000</v>
      </c>
      <c r="M307" s="271">
        <f t="shared" si="840"/>
        <v>18000</v>
      </c>
      <c r="N307" s="427">
        <f>F307+450</f>
        <v>17950</v>
      </c>
      <c r="O307" s="271">
        <f t="shared" si="841"/>
        <v>17950</v>
      </c>
      <c r="P307" s="427">
        <f>F307+360</f>
        <v>17860</v>
      </c>
      <c r="Q307" s="271">
        <f t="shared" si="842"/>
        <v>17860</v>
      </c>
      <c r="R307" s="427">
        <f>F307+330</f>
        <v>17830</v>
      </c>
      <c r="S307" s="271">
        <f t="shared" si="843"/>
        <v>17830</v>
      </c>
      <c r="T307" s="96">
        <f>F307+300</f>
        <v>17800</v>
      </c>
      <c r="U307" s="286">
        <f t="shared" si="844"/>
        <v>17800</v>
      </c>
      <c r="V307" s="96">
        <f>F307+260</f>
        <v>17760</v>
      </c>
      <c r="W307" s="286">
        <f t="shared" si="845"/>
        <v>17760</v>
      </c>
      <c r="X307" s="139"/>
      <c r="Y307" s="139"/>
      <c r="Z307" s="139"/>
      <c r="AA307" s="139"/>
      <c r="AB307" s="184">
        <v>1051</v>
      </c>
    </row>
    <row r="308" spans="1:34" ht="12.6" customHeight="1" x14ac:dyDescent="0.2">
      <c r="A308" s="18"/>
      <c r="B308" s="772" t="s">
        <v>768</v>
      </c>
      <c r="C308" s="1171"/>
      <c r="D308" s="1171"/>
      <c r="E308" s="1172"/>
      <c r="F308" s="495">
        <f>11.8*X2</f>
        <v>14750</v>
      </c>
      <c r="G308" s="491">
        <f t="shared" ref="G308" si="855">+F308*$X$1</f>
        <v>14750</v>
      </c>
      <c r="H308" s="493">
        <f t="shared" si="847"/>
        <v>15350</v>
      </c>
      <c r="I308" s="491">
        <f t="shared" si="830"/>
        <v>15350</v>
      </c>
      <c r="J308" s="592">
        <f t="shared" si="848"/>
        <v>15010</v>
      </c>
      <c r="K308" s="491">
        <f t="shared" si="831"/>
        <v>15010</v>
      </c>
      <c r="L308" s="592">
        <f t="shared" si="849"/>
        <v>14970</v>
      </c>
      <c r="M308" s="491">
        <f t="shared" si="840"/>
        <v>14970</v>
      </c>
      <c r="N308" s="592">
        <f t="shared" si="850"/>
        <v>14930</v>
      </c>
      <c r="O308" s="491">
        <f t="shared" si="841"/>
        <v>14930</v>
      </c>
      <c r="P308" s="592">
        <f t="shared" si="851"/>
        <v>14900</v>
      </c>
      <c r="Q308" s="491">
        <f t="shared" si="842"/>
        <v>14900</v>
      </c>
      <c r="R308" s="592">
        <f t="shared" si="852"/>
        <v>14870</v>
      </c>
      <c r="S308" s="491">
        <f t="shared" si="843"/>
        <v>14870</v>
      </c>
      <c r="T308" s="592">
        <f t="shared" si="853"/>
        <v>14850</v>
      </c>
      <c r="U308" s="491">
        <f t="shared" si="844"/>
        <v>14850</v>
      </c>
      <c r="V308" s="592">
        <f t="shared" si="854"/>
        <v>14830</v>
      </c>
      <c r="W308" s="491">
        <f t="shared" si="845"/>
        <v>14830</v>
      </c>
      <c r="X308" s="685"/>
      <c r="Y308" s="686"/>
      <c r="Z308" s="686"/>
      <c r="AA308" s="687"/>
      <c r="AB308" s="184">
        <v>1052</v>
      </c>
      <c r="AC308" s="63"/>
    </row>
    <row r="309" spans="1:34" ht="12.6" customHeight="1" x14ac:dyDescent="0.2">
      <c r="A309" s="18"/>
      <c r="B309" s="708" t="s">
        <v>436</v>
      </c>
      <c r="C309" s="952"/>
      <c r="D309" s="952"/>
      <c r="E309" s="953"/>
      <c r="F309" s="352">
        <f>31.583*X2</f>
        <v>39478.75</v>
      </c>
      <c r="G309" s="271">
        <f t="shared" si="846"/>
        <v>39478.75</v>
      </c>
      <c r="H309" s="85">
        <f t="shared" si="847"/>
        <v>40078.75</v>
      </c>
      <c r="I309" s="271">
        <f t="shared" si="830"/>
        <v>40078.75</v>
      </c>
      <c r="J309" s="427">
        <f t="shared" si="848"/>
        <v>39738.75</v>
      </c>
      <c r="K309" s="271">
        <f t="shared" si="831"/>
        <v>39738.75</v>
      </c>
      <c r="L309" s="427">
        <f t="shared" si="849"/>
        <v>39698.75</v>
      </c>
      <c r="M309" s="271">
        <f t="shared" si="840"/>
        <v>39698.75</v>
      </c>
      <c r="N309" s="427">
        <f t="shared" si="850"/>
        <v>39658.75</v>
      </c>
      <c r="O309" s="271">
        <f t="shared" si="841"/>
        <v>39658.75</v>
      </c>
      <c r="P309" s="427">
        <f t="shared" si="851"/>
        <v>39628.75</v>
      </c>
      <c r="Q309" s="271">
        <f t="shared" si="842"/>
        <v>39628.75</v>
      </c>
      <c r="R309" s="427">
        <f t="shared" si="852"/>
        <v>39598.75</v>
      </c>
      <c r="S309" s="271">
        <f t="shared" si="843"/>
        <v>39598.75</v>
      </c>
      <c r="T309" s="427">
        <f t="shared" si="853"/>
        <v>39578.75</v>
      </c>
      <c r="U309" s="271">
        <f t="shared" si="844"/>
        <v>39578.75</v>
      </c>
      <c r="V309" s="427">
        <f t="shared" si="854"/>
        <v>39558.75</v>
      </c>
      <c r="W309" s="271">
        <f t="shared" si="845"/>
        <v>39558.75</v>
      </c>
      <c r="X309" s="685"/>
      <c r="Y309" s="686"/>
      <c r="Z309" s="686"/>
      <c r="AA309" s="687"/>
      <c r="AB309" s="184">
        <v>1053</v>
      </c>
      <c r="AC309" s="63"/>
    </row>
    <row r="310" spans="1:34" ht="12.6" customHeight="1" x14ac:dyDescent="0.2">
      <c r="A310" s="18"/>
      <c r="B310" s="772" t="s">
        <v>821</v>
      </c>
      <c r="C310" s="1171"/>
      <c r="D310" s="1171"/>
      <c r="E310" s="1172"/>
      <c r="F310" s="495">
        <f>9.7*X2</f>
        <v>12125</v>
      </c>
      <c r="G310" s="491">
        <f t="shared" ref="G310" si="856">+F310*$X$1</f>
        <v>12125</v>
      </c>
      <c r="H310" s="493">
        <f t="shared" si="847"/>
        <v>12725</v>
      </c>
      <c r="I310" s="491">
        <f t="shared" si="830"/>
        <v>12725</v>
      </c>
      <c r="J310" s="592">
        <f t="shared" si="848"/>
        <v>12385</v>
      </c>
      <c r="K310" s="491">
        <f t="shared" si="831"/>
        <v>12385</v>
      </c>
      <c r="L310" s="592">
        <f t="shared" si="849"/>
        <v>12345</v>
      </c>
      <c r="M310" s="491">
        <f t="shared" si="840"/>
        <v>12345</v>
      </c>
      <c r="N310" s="592">
        <f t="shared" si="850"/>
        <v>12305</v>
      </c>
      <c r="O310" s="491">
        <f t="shared" si="841"/>
        <v>12305</v>
      </c>
      <c r="P310" s="592">
        <f t="shared" si="851"/>
        <v>12275</v>
      </c>
      <c r="Q310" s="491">
        <f t="shared" si="842"/>
        <v>12275</v>
      </c>
      <c r="R310" s="592">
        <f t="shared" si="852"/>
        <v>12245</v>
      </c>
      <c r="S310" s="491">
        <f t="shared" si="843"/>
        <v>12245</v>
      </c>
      <c r="T310" s="592">
        <f t="shared" si="853"/>
        <v>12225</v>
      </c>
      <c r="U310" s="491">
        <f t="shared" si="844"/>
        <v>12225</v>
      </c>
      <c r="V310" s="592">
        <f t="shared" si="854"/>
        <v>12205</v>
      </c>
      <c r="W310" s="491">
        <f t="shared" si="845"/>
        <v>12205</v>
      </c>
      <c r="X310" s="685"/>
      <c r="Y310" s="686"/>
      <c r="Z310" s="686"/>
      <c r="AA310" s="687"/>
      <c r="AB310" s="184">
        <v>1054</v>
      </c>
      <c r="AC310" s="63"/>
    </row>
    <row r="311" spans="1:34" ht="12.6" customHeight="1" x14ac:dyDescent="0.2">
      <c r="A311" s="18"/>
      <c r="B311" s="708" t="s">
        <v>885</v>
      </c>
      <c r="C311" s="952"/>
      <c r="D311" s="952"/>
      <c r="E311" s="953"/>
      <c r="F311" s="352">
        <f>26.8*X2</f>
        <v>33500</v>
      </c>
      <c r="G311" s="271">
        <f t="shared" ref="G311" si="857">+F311*$X$1</f>
        <v>33500</v>
      </c>
      <c r="H311" s="85">
        <f t="shared" si="847"/>
        <v>34100</v>
      </c>
      <c r="I311" s="271">
        <f t="shared" si="830"/>
        <v>34100</v>
      </c>
      <c r="J311" s="427">
        <f t="shared" si="848"/>
        <v>33760</v>
      </c>
      <c r="K311" s="271">
        <f t="shared" si="831"/>
        <v>33760</v>
      </c>
      <c r="L311" s="427">
        <f t="shared" si="849"/>
        <v>33720</v>
      </c>
      <c r="M311" s="271">
        <f t="shared" si="840"/>
        <v>33720</v>
      </c>
      <c r="N311" s="427">
        <f t="shared" si="850"/>
        <v>33680</v>
      </c>
      <c r="O311" s="271">
        <f t="shared" si="841"/>
        <v>33680</v>
      </c>
      <c r="P311" s="427">
        <f t="shared" si="851"/>
        <v>33650</v>
      </c>
      <c r="Q311" s="271">
        <f t="shared" si="842"/>
        <v>33650</v>
      </c>
      <c r="R311" s="427">
        <f t="shared" si="852"/>
        <v>33620</v>
      </c>
      <c r="S311" s="271">
        <f t="shared" si="843"/>
        <v>33620</v>
      </c>
      <c r="T311" s="427">
        <f t="shared" si="853"/>
        <v>33600</v>
      </c>
      <c r="U311" s="271">
        <f t="shared" si="844"/>
        <v>33600</v>
      </c>
      <c r="V311" s="427">
        <f t="shared" si="854"/>
        <v>33580</v>
      </c>
      <c r="W311" s="271">
        <f t="shared" si="845"/>
        <v>33580</v>
      </c>
      <c r="X311" s="685"/>
      <c r="Y311" s="686"/>
      <c r="Z311" s="686"/>
      <c r="AA311" s="687"/>
      <c r="AB311" s="184">
        <v>1056</v>
      </c>
      <c r="AC311" s="63"/>
    </row>
    <row r="312" spans="1:34" ht="12.6" customHeight="1" x14ac:dyDescent="0.2">
      <c r="A312" s="18"/>
      <c r="B312" s="691" t="s">
        <v>571</v>
      </c>
      <c r="C312" s="692"/>
      <c r="D312" s="692"/>
      <c r="E312" s="692"/>
      <c r="F312" s="309">
        <v>17490</v>
      </c>
      <c r="G312" s="270">
        <f>+F312*$X$1</f>
        <v>17490</v>
      </c>
      <c r="H312" s="70">
        <f t="shared" si="847"/>
        <v>18090</v>
      </c>
      <c r="I312" s="270">
        <f t="shared" si="830"/>
        <v>18090</v>
      </c>
      <c r="J312" s="596">
        <f t="shared" si="848"/>
        <v>17750</v>
      </c>
      <c r="K312" s="270">
        <f t="shared" si="831"/>
        <v>17750</v>
      </c>
      <c r="L312" s="596">
        <f t="shared" si="849"/>
        <v>17710</v>
      </c>
      <c r="M312" s="270">
        <f t="shared" ref="M312:M313" si="858">+L312*$X$1</f>
        <v>17710</v>
      </c>
      <c r="N312" s="596">
        <f t="shared" si="850"/>
        <v>17670</v>
      </c>
      <c r="O312" s="270">
        <f t="shared" ref="O312:O313" si="859">+N312*$X$1</f>
        <v>17670</v>
      </c>
      <c r="P312" s="596">
        <f t="shared" si="851"/>
        <v>17640</v>
      </c>
      <c r="Q312" s="270">
        <f t="shared" ref="Q312:Q313" si="860">+P312*$X$1</f>
        <v>17640</v>
      </c>
      <c r="R312" s="596">
        <f t="shared" si="852"/>
        <v>17610</v>
      </c>
      <c r="S312" s="270">
        <f t="shared" ref="S312:S313" si="861">+R312*$X$1</f>
        <v>17610</v>
      </c>
      <c r="T312" s="596">
        <f t="shared" si="853"/>
        <v>17590</v>
      </c>
      <c r="U312" s="270">
        <f t="shared" ref="U312:U313" si="862">+T312*$X$1</f>
        <v>17590</v>
      </c>
      <c r="V312" s="596">
        <f t="shared" si="854"/>
        <v>17570</v>
      </c>
      <c r="W312" s="270">
        <f t="shared" ref="W312:W313" si="863">+V312*$X$1</f>
        <v>17570</v>
      </c>
      <c r="X312" s="685"/>
      <c r="Y312" s="686"/>
      <c r="Z312" s="686"/>
      <c r="AA312" s="687"/>
      <c r="AB312" s="184">
        <v>1057</v>
      </c>
    </row>
    <row r="313" spans="1:34" ht="12.6" customHeight="1" x14ac:dyDescent="0.2">
      <c r="A313" s="18"/>
      <c r="B313" s="735" t="s">
        <v>943</v>
      </c>
      <c r="C313" s="988"/>
      <c r="D313" s="988"/>
      <c r="E313" s="989"/>
      <c r="F313" s="352">
        <f>12.12*X2</f>
        <v>15149.999999999998</v>
      </c>
      <c r="G313" s="271">
        <f t="shared" ref="G313" si="864">+F313*$X$1</f>
        <v>15149.999999999998</v>
      </c>
      <c r="H313" s="85">
        <f t="shared" ref="H313" si="865">F313+600</f>
        <v>15749.999999999998</v>
      </c>
      <c r="I313" s="271">
        <f t="shared" ref="I313" si="866">+H313*$X$1</f>
        <v>15749.999999999998</v>
      </c>
      <c r="J313" s="427">
        <f t="shared" ref="J313" si="867">F313+260</f>
        <v>15409.999999999998</v>
      </c>
      <c r="K313" s="271">
        <f t="shared" ref="K313" si="868">+J313*$X$1</f>
        <v>15409.999999999998</v>
      </c>
      <c r="L313" s="427">
        <f t="shared" ref="L313" si="869">F313+220</f>
        <v>15369.999999999998</v>
      </c>
      <c r="M313" s="271">
        <f t="shared" si="858"/>
        <v>15369.999999999998</v>
      </c>
      <c r="N313" s="427">
        <f t="shared" ref="N313" si="870">F313+180</f>
        <v>15329.999999999998</v>
      </c>
      <c r="O313" s="271">
        <f t="shared" si="859"/>
        <v>15329.999999999998</v>
      </c>
      <c r="P313" s="427">
        <f t="shared" ref="P313" si="871">F313+150</f>
        <v>15299.999999999998</v>
      </c>
      <c r="Q313" s="271">
        <f t="shared" si="860"/>
        <v>15299.999999999998</v>
      </c>
      <c r="R313" s="427">
        <f t="shared" ref="R313" si="872">F313+120</f>
        <v>15269.999999999998</v>
      </c>
      <c r="S313" s="271">
        <f t="shared" si="861"/>
        <v>15269.999999999998</v>
      </c>
      <c r="T313" s="427">
        <f t="shared" ref="T313" si="873">F313+100</f>
        <v>15249.999999999998</v>
      </c>
      <c r="U313" s="271">
        <f t="shared" si="862"/>
        <v>15249.999999999998</v>
      </c>
      <c r="V313" s="427">
        <f t="shared" ref="V313" si="874">F313+80</f>
        <v>15229.999999999998</v>
      </c>
      <c r="W313" s="271">
        <f t="shared" si="863"/>
        <v>15229.999999999998</v>
      </c>
      <c r="X313" s="685"/>
      <c r="Y313" s="686"/>
      <c r="Z313" s="686"/>
      <c r="AA313" s="687"/>
      <c r="AB313" s="184">
        <v>1059</v>
      </c>
      <c r="AC313" s="63"/>
    </row>
    <row r="314" spans="1:34" ht="12.6" customHeight="1" x14ac:dyDescent="0.2">
      <c r="A314" s="18"/>
      <c r="B314" s="691" t="s">
        <v>404</v>
      </c>
      <c r="C314" s="692"/>
      <c r="D314" s="692"/>
      <c r="E314" s="692"/>
      <c r="F314" s="356">
        <f>13.79*X2</f>
        <v>17237.5</v>
      </c>
      <c r="G314" s="287">
        <f t="shared" ref="G314" si="875">+F314*$X$1</f>
        <v>17237.5</v>
      </c>
      <c r="H314" s="70">
        <f>F314+600</f>
        <v>17837.5</v>
      </c>
      <c r="I314" s="270">
        <f>+H314*$X$1</f>
        <v>17837.5</v>
      </c>
      <c r="J314" s="596">
        <f>F314+260</f>
        <v>17497.5</v>
      </c>
      <c r="K314" s="270">
        <f>+J314*$X$1</f>
        <v>17497.5</v>
      </c>
      <c r="L314" s="596">
        <f>F314+220</f>
        <v>17457.5</v>
      </c>
      <c r="M314" s="270">
        <f>+L314*$X$1</f>
        <v>17457.5</v>
      </c>
      <c r="N314" s="596">
        <f>F314+180</f>
        <v>17417.5</v>
      </c>
      <c r="O314" s="270">
        <f>+N314*$X$1</f>
        <v>17417.5</v>
      </c>
      <c r="P314" s="596">
        <f>F314+150</f>
        <v>17387.5</v>
      </c>
      <c r="Q314" s="270">
        <f>+P314*$X$1</f>
        <v>17387.5</v>
      </c>
      <c r="R314" s="596">
        <f>F314+120</f>
        <v>17357.5</v>
      </c>
      <c r="S314" s="270">
        <f>+R314*$X$1</f>
        <v>17357.5</v>
      </c>
      <c r="T314" s="596">
        <f>F314+100</f>
        <v>17337.5</v>
      </c>
      <c r="U314" s="270">
        <f>+T314*$X$1</f>
        <v>17337.5</v>
      </c>
      <c r="V314" s="596">
        <f>F314+80</f>
        <v>17317.5</v>
      </c>
      <c r="W314" s="270">
        <f>+V314*$X$1</f>
        <v>17317.5</v>
      </c>
      <c r="X314" s="685"/>
      <c r="Y314" s="686"/>
      <c r="Z314" s="686"/>
      <c r="AA314" s="687"/>
      <c r="AB314" s="184">
        <v>1064</v>
      </c>
      <c r="AC314" s="63"/>
    </row>
    <row r="315" spans="1:34" ht="12.6" customHeight="1" x14ac:dyDescent="0.2">
      <c r="A315" s="18"/>
      <c r="B315" s="735" t="s">
        <v>886</v>
      </c>
      <c r="C315" s="736"/>
      <c r="D315" s="736"/>
      <c r="E315" s="737"/>
      <c r="F315" s="352">
        <f>8.93*X2</f>
        <v>11162.5</v>
      </c>
      <c r="G315" s="271">
        <f>+F315*$X$1</f>
        <v>11162.5</v>
      </c>
      <c r="H315" s="427">
        <f t="shared" ref="H315" si="876">F315+600</f>
        <v>11762.5</v>
      </c>
      <c r="I315" s="271">
        <f t="shared" ref="I315" si="877">+H315*$X$1</f>
        <v>11762.5</v>
      </c>
      <c r="J315" s="427">
        <f t="shared" ref="J315" si="878">F315+260</f>
        <v>11422.5</v>
      </c>
      <c r="K315" s="271">
        <f t="shared" ref="K315" si="879">+J315*$X$1</f>
        <v>11422.5</v>
      </c>
      <c r="L315" s="427">
        <f t="shared" ref="L315" si="880">F315+230</f>
        <v>11392.5</v>
      </c>
      <c r="M315" s="271">
        <f>+L315*$X$1</f>
        <v>11392.5</v>
      </c>
      <c r="N315" s="427">
        <f t="shared" ref="N315" si="881">F315+200</f>
        <v>11362.5</v>
      </c>
      <c r="O315" s="271">
        <f>+N315*$X$1</f>
        <v>11362.5</v>
      </c>
      <c r="P315" s="427">
        <f t="shared" ref="P315" si="882">F315+170</f>
        <v>11332.5</v>
      </c>
      <c r="Q315" s="271">
        <f>+P315*$X$1</f>
        <v>11332.5</v>
      </c>
      <c r="R315" s="427">
        <f t="shared" ref="R315" si="883">F315+150</f>
        <v>11312.5</v>
      </c>
      <c r="S315" s="271">
        <f>+R315*$X$1</f>
        <v>11312.5</v>
      </c>
      <c r="T315" s="96">
        <f t="shared" ref="T315" si="884">F315+130</f>
        <v>11292.5</v>
      </c>
      <c r="U315" s="286">
        <f>+T315*$X$1</f>
        <v>11292.5</v>
      </c>
      <c r="V315" s="96">
        <f t="shared" ref="V315" si="885">F315+110</f>
        <v>11272.5</v>
      </c>
      <c r="W315" s="271">
        <f>+V315*$X$1</f>
        <v>11272.5</v>
      </c>
      <c r="X315" s="513"/>
      <c r="Y315" s="519"/>
      <c r="Z315" s="519"/>
      <c r="AA315" s="514"/>
      <c r="AB315" s="184">
        <v>1066</v>
      </c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4"/>
      <c r="C318" s="64"/>
      <c r="D318" s="64"/>
      <c r="E318" s="64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660" t="s">
        <v>11</v>
      </c>
      <c r="C319" s="935" t="s">
        <v>12</v>
      </c>
      <c r="D319" s="936"/>
      <c r="E319" s="936"/>
      <c r="F319" s="763" t="s">
        <v>13</v>
      </c>
      <c r="G319" s="763" t="s">
        <v>13</v>
      </c>
      <c r="H319" s="661" t="s">
        <v>770</v>
      </c>
      <c r="I319" s="661"/>
      <c r="J319" s="662"/>
      <c r="K319" s="662"/>
      <c r="L319" s="662"/>
      <c r="M319" s="662"/>
      <c r="N319" s="662"/>
      <c r="O319" s="662"/>
      <c r="P319" s="662"/>
      <c r="Q319" s="662"/>
      <c r="R319" s="662"/>
      <c r="S319" s="662"/>
      <c r="T319" s="662"/>
      <c r="U319" s="662"/>
      <c r="V319" s="662"/>
      <c r="W319" s="662"/>
      <c r="X319" s="679" t="s">
        <v>14</v>
      </c>
      <c r="Y319" s="680"/>
      <c r="Z319" s="680"/>
      <c r="AA319" s="681"/>
      <c r="AB319" s="677" t="s">
        <v>15</v>
      </c>
      <c r="AF319" s="675" t="s">
        <v>3</v>
      </c>
      <c r="AG319" s="676"/>
      <c r="AH319" s="676"/>
    </row>
    <row r="320" spans="1:34" ht="11.25" customHeight="1" x14ac:dyDescent="0.2">
      <c r="A320" s="18"/>
      <c r="B320" s="660"/>
      <c r="C320" s="936"/>
      <c r="D320" s="936"/>
      <c r="E320" s="936"/>
      <c r="F320" s="764"/>
      <c r="G320" s="764"/>
      <c r="H320" s="442"/>
      <c r="I320" s="434" t="s">
        <v>279</v>
      </c>
      <c r="J320" s="436"/>
      <c r="K320" s="434" t="s">
        <v>17</v>
      </c>
      <c r="L320" s="437"/>
      <c r="M320" s="437" t="s">
        <v>18</v>
      </c>
      <c r="N320" s="437"/>
      <c r="O320" s="434" t="s">
        <v>19</v>
      </c>
      <c r="P320" s="437"/>
      <c r="Q320" s="437" t="s">
        <v>280</v>
      </c>
      <c r="R320" s="437"/>
      <c r="S320" s="437" t="s">
        <v>20</v>
      </c>
      <c r="T320" s="437"/>
      <c r="U320" s="437" t="s">
        <v>21</v>
      </c>
      <c r="V320" s="437"/>
      <c r="W320" s="437" t="s">
        <v>22</v>
      </c>
      <c r="X320" s="682"/>
      <c r="Y320" s="683"/>
      <c r="Z320" s="683"/>
      <c r="AA320" s="684"/>
      <c r="AB320" s="678"/>
    </row>
    <row r="321" spans="1:30" ht="12.6" customHeight="1" x14ac:dyDescent="0.2">
      <c r="A321" s="18"/>
      <c r="B321" s="633" t="s">
        <v>205</v>
      </c>
      <c r="C321" s="634"/>
      <c r="D321" s="634"/>
      <c r="E321" s="635"/>
      <c r="F321" s="351">
        <f>12.16*X2</f>
        <v>15200</v>
      </c>
      <c r="G321" s="270">
        <f>+F321*$X$1</f>
        <v>15200</v>
      </c>
      <c r="H321" s="594">
        <f t="shared" ref="H321" si="886">F321+600</f>
        <v>15800</v>
      </c>
      <c r="I321" s="270">
        <f t="shared" ref="I321" si="887">+H321*$X$1</f>
        <v>15800</v>
      </c>
      <c r="J321" s="594">
        <f t="shared" ref="J321" si="888">F321+260</f>
        <v>15460</v>
      </c>
      <c r="K321" s="270">
        <f t="shared" ref="K321" si="889">+J321*$X$1</f>
        <v>15460</v>
      </c>
      <c r="L321" s="594">
        <f t="shared" ref="L321" si="890">F321+230</f>
        <v>15430</v>
      </c>
      <c r="M321" s="270">
        <f>+L321*$X$1</f>
        <v>15430</v>
      </c>
      <c r="N321" s="594">
        <f t="shared" ref="N321" si="891">F321+200</f>
        <v>15400</v>
      </c>
      <c r="O321" s="270">
        <f>+N321*$X$1</f>
        <v>15400</v>
      </c>
      <c r="P321" s="594">
        <f t="shared" ref="P321" si="892">F321+170</f>
        <v>15370</v>
      </c>
      <c r="Q321" s="270">
        <f>+P321*$X$1</f>
        <v>15370</v>
      </c>
      <c r="R321" s="594">
        <f t="shared" ref="R321" si="893">F321+150</f>
        <v>15350</v>
      </c>
      <c r="S321" s="270">
        <f>+R321*$X$1</f>
        <v>15350</v>
      </c>
      <c r="T321" s="97">
        <f t="shared" ref="T321" si="894">F321+130</f>
        <v>15330</v>
      </c>
      <c r="U321" s="246">
        <f>+T321*$X$1</f>
        <v>15330</v>
      </c>
      <c r="V321" s="97">
        <f t="shared" ref="V321" si="895">F321+110</f>
        <v>15310</v>
      </c>
      <c r="W321" s="270">
        <f>+V321*$X$1</f>
        <v>15310</v>
      </c>
      <c r="X321" s="169"/>
      <c r="Y321" s="172"/>
      <c r="Z321" s="172"/>
      <c r="AA321" s="171"/>
      <c r="AB321" s="184">
        <v>1075</v>
      </c>
    </row>
    <row r="322" spans="1:30" ht="12.6" customHeight="1" x14ac:dyDescent="0.2">
      <c r="A322" s="18"/>
      <c r="B322" s="629" t="s">
        <v>364</v>
      </c>
      <c r="C322" s="701"/>
      <c r="D322" s="701"/>
      <c r="E322" s="701"/>
      <c r="F322" s="355">
        <f>8.1*X2</f>
        <v>10125</v>
      </c>
      <c r="G322" s="298">
        <f t="shared" ref="G322" si="896">+F322*$X$1</f>
        <v>10125</v>
      </c>
      <c r="H322" s="85">
        <f>F322+650</f>
        <v>10775</v>
      </c>
      <c r="I322" s="271">
        <f>+H322*$X$1</f>
        <v>10775</v>
      </c>
      <c r="J322" s="626">
        <f>F322+280</f>
        <v>10405</v>
      </c>
      <c r="K322" s="271">
        <f>+J322*$X$1</f>
        <v>10405</v>
      </c>
      <c r="L322" s="626">
        <f>F322+230</f>
        <v>10355</v>
      </c>
      <c r="M322" s="271">
        <f t="shared" ref="M322" si="897">+L322*$X$1</f>
        <v>10355</v>
      </c>
      <c r="N322" s="626">
        <f>F322+190</f>
        <v>10315</v>
      </c>
      <c r="O322" s="271">
        <f t="shared" ref="O322" si="898">+N322*$X$1</f>
        <v>10315</v>
      </c>
      <c r="P322" s="626">
        <f>F322+160</f>
        <v>10285</v>
      </c>
      <c r="Q322" s="271">
        <f t="shared" ref="Q322" si="899">+P322*$X$1</f>
        <v>10285</v>
      </c>
      <c r="R322" s="626">
        <f>F322+130</f>
        <v>10255</v>
      </c>
      <c r="S322" s="271">
        <f t="shared" ref="S322" si="900">+R322*$X$1</f>
        <v>10255</v>
      </c>
      <c r="T322" s="626">
        <f>F322+110</f>
        <v>10235</v>
      </c>
      <c r="U322" s="271">
        <f t="shared" ref="U322" si="901">+T322*$X$1</f>
        <v>10235</v>
      </c>
      <c r="V322" s="626">
        <f>F322+90</f>
        <v>10215</v>
      </c>
      <c r="W322" s="271">
        <f t="shared" ref="W322" si="902">+V322*$X$1</f>
        <v>10215</v>
      </c>
      <c r="X322" s="685"/>
      <c r="Y322" s="686"/>
      <c r="Z322" s="686"/>
      <c r="AA322" s="687"/>
      <c r="AB322" s="184">
        <v>1078</v>
      </c>
    </row>
    <row r="323" spans="1:30" ht="12.6" customHeight="1" x14ac:dyDescent="0.2">
      <c r="A323" s="18"/>
      <c r="B323" s="639" t="s">
        <v>366</v>
      </c>
      <c r="C323" s="640"/>
      <c r="D323" s="640"/>
      <c r="E323" s="640"/>
      <c r="F323" s="356">
        <f>6.2*X2</f>
        <v>7750</v>
      </c>
      <c r="G323" s="287">
        <f t="shared" ref="G323" si="903">+F323*$X$1</f>
        <v>7750</v>
      </c>
      <c r="H323" s="70">
        <f>F323+650</f>
        <v>8400</v>
      </c>
      <c r="I323" s="270">
        <f>+H323*$X$1</f>
        <v>8400</v>
      </c>
      <c r="J323" s="569">
        <f>F323+280</f>
        <v>8030</v>
      </c>
      <c r="K323" s="270">
        <f>+J323*$X$1</f>
        <v>8030</v>
      </c>
      <c r="L323" s="569">
        <f>F323+230</f>
        <v>7980</v>
      </c>
      <c r="M323" s="270">
        <f t="shared" ref="M323" si="904">+L323*$X$1</f>
        <v>7980</v>
      </c>
      <c r="N323" s="569">
        <f>F323+190</f>
        <v>7940</v>
      </c>
      <c r="O323" s="270">
        <f t="shared" ref="O323" si="905">+N323*$X$1</f>
        <v>7940</v>
      </c>
      <c r="P323" s="569">
        <f>F323+160</f>
        <v>7910</v>
      </c>
      <c r="Q323" s="270">
        <f t="shared" ref="Q323" si="906">+P323*$X$1</f>
        <v>7910</v>
      </c>
      <c r="R323" s="569">
        <f>F323+130</f>
        <v>7880</v>
      </c>
      <c r="S323" s="270">
        <f t="shared" ref="S323" si="907">+R323*$X$1</f>
        <v>7880</v>
      </c>
      <c r="T323" s="569">
        <f>F323+110</f>
        <v>7860</v>
      </c>
      <c r="U323" s="270">
        <f t="shared" ref="U323" si="908">+T323*$X$1</f>
        <v>7860</v>
      </c>
      <c r="V323" s="569">
        <f>F323+90</f>
        <v>7840</v>
      </c>
      <c r="W323" s="270">
        <f t="shared" ref="W323" si="909">+V323*$X$1</f>
        <v>7840</v>
      </c>
      <c r="X323" s="686"/>
      <c r="Y323" s="686"/>
      <c r="Z323" s="686"/>
      <c r="AA323" s="687"/>
      <c r="AB323" s="184">
        <v>1079</v>
      </c>
    </row>
    <row r="324" spans="1:30" ht="12.6" customHeight="1" x14ac:dyDescent="0.2">
      <c r="A324" s="18"/>
      <c r="B324" s="629" t="s">
        <v>491</v>
      </c>
      <c r="C324" s="638"/>
      <c r="D324" s="638"/>
      <c r="E324" s="638"/>
      <c r="F324" s="308">
        <v>15190</v>
      </c>
      <c r="G324" s="271">
        <f>+F324*$X$1</f>
        <v>15190</v>
      </c>
      <c r="H324" s="85">
        <f>F324+600</f>
        <v>15790</v>
      </c>
      <c r="I324" s="271">
        <f>+H324*$X$1</f>
        <v>15790</v>
      </c>
      <c r="J324" s="427">
        <f>F324+260</f>
        <v>15450</v>
      </c>
      <c r="K324" s="271">
        <f>+J324*$X$1</f>
        <v>15450</v>
      </c>
      <c r="L324" s="427">
        <f>F324+220</f>
        <v>15410</v>
      </c>
      <c r="M324" s="271">
        <f t="shared" ref="M324" si="910">+L324*$X$1</f>
        <v>15410</v>
      </c>
      <c r="N324" s="427">
        <f>F324+180</f>
        <v>15370</v>
      </c>
      <c r="O324" s="271">
        <f t="shared" ref="O324" si="911">+N324*$X$1</f>
        <v>15370</v>
      </c>
      <c r="P324" s="427">
        <f>F324+150</f>
        <v>15340</v>
      </c>
      <c r="Q324" s="271">
        <f t="shared" ref="Q324" si="912">+P324*$X$1</f>
        <v>15340</v>
      </c>
      <c r="R324" s="427">
        <f>F324+120</f>
        <v>15310</v>
      </c>
      <c r="S324" s="271">
        <f t="shared" ref="S324" si="913">+R324*$X$1</f>
        <v>15310</v>
      </c>
      <c r="T324" s="427">
        <f>F324+100</f>
        <v>15290</v>
      </c>
      <c r="U324" s="271">
        <f t="shared" ref="U324" si="914">+T324*$X$1</f>
        <v>15290</v>
      </c>
      <c r="V324" s="427">
        <f>F324+80</f>
        <v>15270</v>
      </c>
      <c r="W324" s="271">
        <f t="shared" ref="W324" si="915">+V324*$X$1</f>
        <v>15270</v>
      </c>
      <c r="X324" s="686"/>
      <c r="Y324" s="686"/>
      <c r="Z324" s="686"/>
      <c r="AA324" s="687"/>
      <c r="AB324" s="184">
        <v>1080</v>
      </c>
      <c r="AC324" s="63"/>
    </row>
    <row r="325" spans="1:30" ht="12.6" customHeight="1" x14ac:dyDescent="0.2">
      <c r="A325" s="18"/>
      <c r="B325" s="691" t="s">
        <v>492</v>
      </c>
      <c r="C325" s="692"/>
      <c r="D325" s="692"/>
      <c r="E325" s="692"/>
      <c r="F325" s="309">
        <v>16395</v>
      </c>
      <c r="G325" s="270">
        <f>+F325*$X$1</f>
        <v>16395</v>
      </c>
      <c r="H325" s="70">
        <f>F325+600</f>
        <v>16995</v>
      </c>
      <c r="I325" s="270">
        <f>+H325*$X$1</f>
        <v>16995</v>
      </c>
      <c r="J325" s="569">
        <f>F325+260</f>
        <v>16655</v>
      </c>
      <c r="K325" s="270">
        <f>+J325*$X$1</f>
        <v>16655</v>
      </c>
      <c r="L325" s="569">
        <f>F325+220</f>
        <v>16615</v>
      </c>
      <c r="M325" s="270">
        <f t="shared" ref="M325" si="916">+L325*$X$1</f>
        <v>16615</v>
      </c>
      <c r="N325" s="569">
        <f>F325+180</f>
        <v>16575</v>
      </c>
      <c r="O325" s="270">
        <f t="shared" ref="O325" si="917">+N325*$X$1</f>
        <v>16575</v>
      </c>
      <c r="P325" s="569">
        <f>F325+150</f>
        <v>16545</v>
      </c>
      <c r="Q325" s="270">
        <f t="shared" ref="Q325" si="918">+P325*$X$1</f>
        <v>16545</v>
      </c>
      <c r="R325" s="569">
        <f>F325+120</f>
        <v>16515</v>
      </c>
      <c r="S325" s="270">
        <f t="shared" ref="S325" si="919">+R325*$X$1</f>
        <v>16515</v>
      </c>
      <c r="T325" s="569">
        <f>F325+100</f>
        <v>16495</v>
      </c>
      <c r="U325" s="270">
        <f t="shared" ref="U325" si="920">+T325*$X$1</f>
        <v>16495</v>
      </c>
      <c r="V325" s="569">
        <f>F325+80</f>
        <v>16475</v>
      </c>
      <c r="W325" s="270">
        <f t="shared" ref="W325" si="921">+V325*$X$1</f>
        <v>16475</v>
      </c>
      <c r="X325" s="686"/>
      <c r="Y325" s="686"/>
      <c r="Z325" s="686"/>
      <c r="AA325" s="687"/>
      <c r="AB325" s="184">
        <v>1081</v>
      </c>
      <c r="AC325" s="63"/>
    </row>
    <row r="326" spans="1:30" ht="12.6" customHeight="1" x14ac:dyDescent="0.2">
      <c r="A326" s="18"/>
      <c r="B326" s="629" t="s">
        <v>408</v>
      </c>
      <c r="C326" s="638"/>
      <c r="D326" s="638"/>
      <c r="E326" s="638"/>
      <c r="F326" s="308">
        <v>13490</v>
      </c>
      <c r="G326" s="271">
        <f>+F326*$X$1</f>
        <v>13490</v>
      </c>
      <c r="H326" s="85">
        <f>F326+600</f>
        <v>14090</v>
      </c>
      <c r="I326" s="271">
        <f>+H326*$X$1</f>
        <v>14090</v>
      </c>
      <c r="J326" s="427">
        <f>F326+260</f>
        <v>13750</v>
      </c>
      <c r="K326" s="271">
        <f>+J326*$X$1</f>
        <v>13750</v>
      </c>
      <c r="L326" s="427">
        <f>F326+220</f>
        <v>13710</v>
      </c>
      <c r="M326" s="271">
        <f t="shared" ref="M326:M327" si="922">+L326*$X$1</f>
        <v>13710</v>
      </c>
      <c r="N326" s="427">
        <f>F326+180</f>
        <v>13670</v>
      </c>
      <c r="O326" s="271">
        <f t="shared" ref="O326:O327" si="923">+N326*$X$1</f>
        <v>13670</v>
      </c>
      <c r="P326" s="427">
        <f>F326+150</f>
        <v>13640</v>
      </c>
      <c r="Q326" s="271">
        <f t="shared" ref="Q326:Q327" si="924">+P326*$X$1</f>
        <v>13640</v>
      </c>
      <c r="R326" s="427">
        <f>F326+120</f>
        <v>13610</v>
      </c>
      <c r="S326" s="271">
        <f t="shared" ref="S326:S327" si="925">+R326*$X$1</f>
        <v>13610</v>
      </c>
      <c r="T326" s="427">
        <f>F326+100</f>
        <v>13590</v>
      </c>
      <c r="U326" s="271">
        <f t="shared" ref="U326:U327" si="926">+T326*$X$1</f>
        <v>13590</v>
      </c>
      <c r="V326" s="427">
        <f>F326+80</f>
        <v>13570</v>
      </c>
      <c r="W326" s="271">
        <f t="shared" ref="W326:W327" si="927">+V326*$X$1</f>
        <v>13570</v>
      </c>
      <c r="X326" s="686"/>
      <c r="Y326" s="686"/>
      <c r="Z326" s="686"/>
      <c r="AA326" s="687"/>
      <c r="AB326" s="184">
        <v>1083</v>
      </c>
      <c r="AC326" s="63"/>
    </row>
    <row r="327" spans="1:30" ht="12.6" customHeight="1" x14ac:dyDescent="0.2">
      <c r="A327" s="18"/>
      <c r="B327" s="639" t="s">
        <v>781</v>
      </c>
      <c r="C327" s="640"/>
      <c r="D327" s="640"/>
      <c r="E327" s="640"/>
      <c r="F327" s="351">
        <f>2.32*X2</f>
        <v>2900</v>
      </c>
      <c r="G327" s="270">
        <f t="shared" ref="G327" si="928">+F327*$X$1</f>
        <v>2900</v>
      </c>
      <c r="H327" s="569">
        <f>F327+600</f>
        <v>3500</v>
      </c>
      <c r="I327" s="270">
        <f t="shared" ref="I327" si="929">+H327*$X$1</f>
        <v>3500</v>
      </c>
      <c r="J327" s="70">
        <f>F327+220</f>
        <v>3120</v>
      </c>
      <c r="K327" s="270">
        <f t="shared" ref="K327" si="930">+J327*$X$1</f>
        <v>3120</v>
      </c>
      <c r="L327" s="569">
        <f t="shared" ref="L327" si="931">F327+150</f>
        <v>3050</v>
      </c>
      <c r="M327" s="270">
        <f t="shared" si="922"/>
        <v>3050</v>
      </c>
      <c r="N327" s="569">
        <f t="shared" ref="N327" si="932">F327+110</f>
        <v>3010</v>
      </c>
      <c r="O327" s="270">
        <f t="shared" si="923"/>
        <v>3010</v>
      </c>
      <c r="P327" s="569">
        <f t="shared" ref="P327" si="933">F327+100</f>
        <v>3000</v>
      </c>
      <c r="Q327" s="270">
        <f t="shared" si="924"/>
        <v>3000</v>
      </c>
      <c r="R327" s="569">
        <f t="shared" ref="R327" si="934">F327+80</f>
        <v>2980</v>
      </c>
      <c r="S327" s="270">
        <f t="shared" si="925"/>
        <v>2980</v>
      </c>
      <c r="T327" s="569">
        <f t="shared" ref="T327" si="935">F327+65</f>
        <v>2965</v>
      </c>
      <c r="U327" s="270">
        <f t="shared" si="926"/>
        <v>2965</v>
      </c>
      <c r="V327" s="569">
        <f t="shared" ref="V327" si="936">F327+56</f>
        <v>2956</v>
      </c>
      <c r="W327" s="270">
        <f t="shared" si="927"/>
        <v>2956</v>
      </c>
      <c r="X327" s="828"/>
      <c r="Y327" s="976"/>
      <c r="Z327" s="976"/>
      <c r="AA327" s="977"/>
      <c r="AB327" s="372">
        <v>2130</v>
      </c>
      <c r="AC327" s="64"/>
    </row>
    <row r="328" spans="1:30" ht="12.6" customHeight="1" x14ac:dyDescent="0.2">
      <c r="A328" s="18"/>
      <c r="B328" s="663" t="s">
        <v>782</v>
      </c>
      <c r="C328" s="664"/>
      <c r="D328" s="664"/>
      <c r="E328" s="664"/>
      <c r="F328" s="352">
        <f>2.3*X2</f>
        <v>2875</v>
      </c>
      <c r="G328" s="271">
        <f t="shared" ref="G328" si="937">+F328*$X$1</f>
        <v>2875</v>
      </c>
      <c r="H328" s="427">
        <f>F328+600</f>
        <v>3475</v>
      </c>
      <c r="I328" s="271">
        <f t="shared" ref="I328" si="938">+H328*$X$1</f>
        <v>3475</v>
      </c>
      <c r="J328" s="85">
        <f>F328+220</f>
        <v>3095</v>
      </c>
      <c r="K328" s="271">
        <f t="shared" ref="K328" si="939">+J328*$X$1</f>
        <v>3095</v>
      </c>
      <c r="L328" s="427">
        <f t="shared" ref="L328" si="940">F328+150</f>
        <v>3025</v>
      </c>
      <c r="M328" s="271">
        <f t="shared" ref="M328:M329" si="941">+L328*$X$1</f>
        <v>3025</v>
      </c>
      <c r="N328" s="427">
        <f t="shared" ref="N328" si="942">F328+110</f>
        <v>2985</v>
      </c>
      <c r="O328" s="271">
        <f t="shared" ref="O328:O329" si="943">+N328*$X$1</f>
        <v>2985</v>
      </c>
      <c r="P328" s="427">
        <f t="shared" ref="P328" si="944">F328+100</f>
        <v>2975</v>
      </c>
      <c r="Q328" s="271">
        <f t="shared" ref="Q328:Q329" si="945">+P328*$X$1</f>
        <v>2975</v>
      </c>
      <c r="R328" s="427">
        <f t="shared" ref="R328" si="946">F328+80</f>
        <v>2955</v>
      </c>
      <c r="S328" s="271">
        <f t="shared" ref="S328:S329" si="947">+R328*$X$1</f>
        <v>2955</v>
      </c>
      <c r="T328" s="427"/>
      <c r="U328" s="271"/>
      <c r="V328" s="427"/>
      <c r="W328" s="271"/>
      <c r="X328" s="828"/>
      <c r="Y328" s="976"/>
      <c r="Z328" s="976"/>
      <c r="AA328" s="977"/>
      <c r="AB328" s="372">
        <v>2131</v>
      </c>
      <c r="AC328" s="64"/>
    </row>
    <row r="329" spans="1:30" ht="12.6" customHeight="1" x14ac:dyDescent="0.2">
      <c r="A329" s="98"/>
      <c r="B329" s="691" t="s">
        <v>206</v>
      </c>
      <c r="C329" s="692"/>
      <c r="D329" s="692"/>
      <c r="E329" s="692"/>
      <c r="F329" s="351">
        <f>0.445*X2</f>
        <v>556.25</v>
      </c>
      <c r="G329" s="270">
        <f t="shared" ref="G329:G330" si="948">+F329*$X$1</f>
        <v>556.25</v>
      </c>
      <c r="H329" s="265"/>
      <c r="I329" s="320"/>
      <c r="J329" s="569"/>
      <c r="K329" s="270"/>
      <c r="L329" s="569">
        <f>F329+160</f>
        <v>716.25</v>
      </c>
      <c r="M329" s="270">
        <f t="shared" si="941"/>
        <v>716.25</v>
      </c>
      <c r="N329" s="569">
        <f>F329+100</f>
        <v>656.25</v>
      </c>
      <c r="O329" s="270">
        <f t="shared" si="943"/>
        <v>656.25</v>
      </c>
      <c r="P329" s="569">
        <f>F329+75</f>
        <v>631.25</v>
      </c>
      <c r="Q329" s="270">
        <f t="shared" si="945"/>
        <v>631.25</v>
      </c>
      <c r="R329" s="569">
        <f>F329+65</f>
        <v>621.25</v>
      </c>
      <c r="S329" s="270">
        <f t="shared" si="947"/>
        <v>621.25</v>
      </c>
      <c r="T329" s="97">
        <f>F329+50</f>
        <v>606.25</v>
      </c>
      <c r="U329" s="246">
        <f t="shared" ref="U329" si="949">+T329*$X$1</f>
        <v>606.25</v>
      </c>
      <c r="V329" s="97">
        <f>F329+38</f>
        <v>594.25</v>
      </c>
      <c r="W329" s="246">
        <f t="shared" ref="W329" si="950">+V329*$X$1</f>
        <v>594.25</v>
      </c>
      <c r="X329" s="125"/>
      <c r="Y329" s="123"/>
      <c r="Z329" s="123"/>
      <c r="AA329" s="123"/>
      <c r="AB329" s="372">
        <v>2145</v>
      </c>
      <c r="AC329" s="64"/>
    </row>
    <row r="330" spans="1:30" ht="12.6" customHeight="1" x14ac:dyDescent="0.25">
      <c r="A330" s="119"/>
      <c r="B330" s="629" t="s">
        <v>927</v>
      </c>
      <c r="C330" s="638"/>
      <c r="D330" s="638"/>
      <c r="E330" s="638"/>
      <c r="F330" s="352">
        <v>170</v>
      </c>
      <c r="G330" s="271">
        <f t="shared" si="948"/>
        <v>170</v>
      </c>
      <c r="H330" s="264"/>
      <c r="I330" s="321"/>
      <c r="J330" s="507"/>
      <c r="K330" s="271"/>
      <c r="L330" s="508"/>
      <c r="M330" s="271"/>
      <c r="N330" s="508"/>
      <c r="O330" s="509"/>
      <c r="P330" s="264"/>
      <c r="Q330" s="321"/>
      <c r="R330" s="508"/>
      <c r="S330" s="509"/>
      <c r="T330" s="508"/>
      <c r="U330" s="509"/>
      <c r="V330" s="508"/>
      <c r="W330" s="509"/>
      <c r="X330" s="123"/>
      <c r="Y330" s="123"/>
      <c r="Z330" s="123"/>
      <c r="AA330" s="123"/>
      <c r="AB330" s="184">
        <v>2147</v>
      </c>
    </row>
    <row r="331" spans="1:30" ht="12.6" customHeight="1" x14ac:dyDescent="0.2">
      <c r="A331" s="18"/>
      <c r="B331" s="691" t="s">
        <v>207</v>
      </c>
      <c r="C331" s="692"/>
      <c r="D331" s="692"/>
      <c r="E331" s="692"/>
      <c r="F331" s="351">
        <v>48</v>
      </c>
      <c r="G331" s="270">
        <f t="shared" ref="G331:G336" si="951">+F331*$X$1</f>
        <v>48</v>
      </c>
      <c r="H331" s="265"/>
      <c r="I331" s="320"/>
      <c r="J331" s="569">
        <f>F331+210</f>
        <v>258</v>
      </c>
      <c r="K331" s="270">
        <f t="shared" ref="K331" si="952">+J331*$X$1</f>
        <v>258</v>
      </c>
      <c r="L331" s="569">
        <f>F331+160</f>
        <v>208</v>
      </c>
      <c r="M331" s="270">
        <f t="shared" ref="M331" si="953">+L331*$X$1</f>
        <v>208</v>
      </c>
      <c r="N331" s="569">
        <f>F331+100</f>
        <v>148</v>
      </c>
      <c r="O331" s="270">
        <f t="shared" ref="O331" si="954">+N331*$X$1</f>
        <v>148</v>
      </c>
      <c r="P331" s="569">
        <f>F331+75</f>
        <v>123</v>
      </c>
      <c r="Q331" s="270">
        <f t="shared" ref="Q331" si="955">+P331*$X$1</f>
        <v>123</v>
      </c>
      <c r="R331" s="569">
        <f>F331+65</f>
        <v>113</v>
      </c>
      <c r="S331" s="270">
        <f t="shared" ref="S331" si="956">+R331*$X$1</f>
        <v>113</v>
      </c>
      <c r="T331" s="97">
        <f>F331+50</f>
        <v>98</v>
      </c>
      <c r="U331" s="246">
        <f t="shared" ref="U331" si="957">+T331*$X$1</f>
        <v>98</v>
      </c>
      <c r="V331" s="97">
        <f>F331+38</f>
        <v>86</v>
      </c>
      <c r="W331" s="246">
        <f t="shared" ref="W331" si="958">+V331*$X$1</f>
        <v>86</v>
      </c>
      <c r="X331" s="123"/>
      <c r="Y331" s="123"/>
      <c r="Z331" s="123"/>
      <c r="AA331" s="123"/>
      <c r="AB331" s="372">
        <v>2149</v>
      </c>
    </row>
    <row r="332" spans="1:30" ht="12.6" customHeight="1" x14ac:dyDescent="0.25">
      <c r="A332" s="119"/>
      <c r="B332" s="631" t="s">
        <v>866</v>
      </c>
      <c r="C332" s="632"/>
      <c r="D332" s="632"/>
      <c r="E332" s="632"/>
      <c r="F332" s="352">
        <f>1.41*X2</f>
        <v>1762.5</v>
      </c>
      <c r="G332" s="271">
        <f t="shared" si="951"/>
        <v>1762.5</v>
      </c>
      <c r="H332" s="264"/>
      <c r="I332" s="321"/>
      <c r="J332" s="507"/>
      <c r="K332" s="271"/>
      <c r="L332" s="508"/>
      <c r="M332" s="271"/>
      <c r="N332" s="508"/>
      <c r="O332" s="509"/>
      <c r="P332" s="264"/>
      <c r="Q332" s="321"/>
      <c r="R332" s="508"/>
      <c r="S332" s="509"/>
      <c r="T332" s="508"/>
      <c r="U332" s="509"/>
      <c r="V332" s="508"/>
      <c r="W332" s="509"/>
      <c r="X332" s="123"/>
      <c r="Y332" s="123"/>
      <c r="Z332" s="123"/>
      <c r="AA332" s="123"/>
      <c r="AB332" s="184">
        <v>2150</v>
      </c>
    </row>
    <row r="333" spans="1:30" ht="12.6" customHeight="1" x14ac:dyDescent="0.25">
      <c r="A333" s="119"/>
      <c r="B333" s="691" t="s">
        <v>208</v>
      </c>
      <c r="C333" s="692"/>
      <c r="D333" s="692"/>
      <c r="E333" s="692"/>
      <c r="F333" s="351">
        <f>0.85*X2</f>
        <v>1062.5</v>
      </c>
      <c r="G333" s="270">
        <f t="shared" si="951"/>
        <v>1062.5</v>
      </c>
      <c r="H333" s="265"/>
      <c r="I333" s="320"/>
      <c r="J333" s="557"/>
      <c r="K333" s="270"/>
      <c r="L333" s="558"/>
      <c r="M333" s="270"/>
      <c r="N333" s="558"/>
      <c r="O333" s="559"/>
      <c r="P333" s="265"/>
      <c r="Q333" s="320"/>
      <c r="R333" s="558"/>
      <c r="S333" s="559"/>
      <c r="T333" s="558"/>
      <c r="U333" s="559"/>
      <c r="V333" s="558"/>
      <c r="W333" s="559"/>
      <c r="X333" s="123"/>
      <c r="Y333" s="123"/>
      <c r="Z333" s="123"/>
      <c r="AA333" s="123"/>
      <c r="AB333" s="184">
        <v>2151</v>
      </c>
    </row>
    <row r="334" spans="1:30" ht="12.6" customHeight="1" x14ac:dyDescent="0.2">
      <c r="A334" s="18"/>
      <c r="B334" s="663" t="s">
        <v>209</v>
      </c>
      <c r="C334" s="695"/>
      <c r="D334" s="695"/>
      <c r="E334" s="695"/>
      <c r="F334" s="355">
        <f>0.6*X2</f>
        <v>750</v>
      </c>
      <c r="G334" s="298">
        <f t="shared" si="951"/>
        <v>750</v>
      </c>
      <c r="H334" s="526"/>
      <c r="I334" s="527"/>
      <c r="J334" s="96"/>
      <c r="K334" s="298"/>
      <c r="L334" s="427">
        <f t="shared" ref="L334:L349" si="959">F334+160</f>
        <v>910</v>
      </c>
      <c r="M334" s="271">
        <f t="shared" ref="M334" si="960">+L334*$X$1</f>
        <v>910</v>
      </c>
      <c r="N334" s="427">
        <f t="shared" ref="N334:N349" si="961">F334+100</f>
        <v>850</v>
      </c>
      <c r="O334" s="271">
        <f t="shared" ref="O334" si="962">+N334*$X$1</f>
        <v>850</v>
      </c>
      <c r="P334" s="427">
        <f t="shared" ref="P334:P340" si="963">F334+75</f>
        <v>825</v>
      </c>
      <c r="Q334" s="271">
        <f t="shared" ref="Q334" si="964">+P334*$X$1</f>
        <v>825</v>
      </c>
      <c r="R334" s="427">
        <f t="shared" ref="R334:R340" si="965">F334+65</f>
        <v>815</v>
      </c>
      <c r="S334" s="271">
        <f t="shared" ref="S334" si="966">+R334*$X$1</f>
        <v>815</v>
      </c>
      <c r="T334" s="96">
        <f t="shared" ref="T334:T340" si="967">F334+50</f>
        <v>800</v>
      </c>
      <c r="U334" s="286">
        <f t="shared" ref="U334" si="968">+T334*$X$1</f>
        <v>800</v>
      </c>
      <c r="V334" s="96">
        <f t="shared" ref="V334:V340" si="969">F334+38</f>
        <v>788</v>
      </c>
      <c r="W334" s="286">
        <f t="shared" ref="W334" si="970">+V334*$X$1</f>
        <v>788</v>
      </c>
      <c r="X334" s="123"/>
      <c r="Y334" s="123"/>
      <c r="Z334" s="123"/>
      <c r="AA334" s="123"/>
      <c r="AB334" s="386">
        <v>2153</v>
      </c>
      <c r="AC334" s="64"/>
    </row>
    <row r="335" spans="1:30" ht="12.6" customHeight="1" x14ac:dyDescent="0.2">
      <c r="A335" s="18"/>
      <c r="B335" s="691" t="s">
        <v>358</v>
      </c>
      <c r="C335" s="692"/>
      <c r="D335" s="692"/>
      <c r="E335" s="692"/>
      <c r="F335" s="351">
        <f>0.485*X2</f>
        <v>606.25</v>
      </c>
      <c r="G335" s="270">
        <f t="shared" si="951"/>
        <v>606.25</v>
      </c>
      <c r="H335" s="265"/>
      <c r="I335" s="320"/>
      <c r="J335" s="569"/>
      <c r="K335" s="270"/>
      <c r="L335" s="569">
        <f t="shared" si="959"/>
        <v>766.25</v>
      </c>
      <c r="M335" s="270">
        <f t="shared" ref="M335:M336" si="971">+L335*$X$1</f>
        <v>766.25</v>
      </c>
      <c r="N335" s="569">
        <f t="shared" si="961"/>
        <v>706.25</v>
      </c>
      <c r="O335" s="270">
        <f t="shared" ref="O335:O336" si="972">+N335*$X$1</f>
        <v>706.25</v>
      </c>
      <c r="P335" s="569">
        <f t="shared" si="963"/>
        <v>681.25</v>
      </c>
      <c r="Q335" s="270">
        <f t="shared" ref="Q335:Q336" si="973">+P335*$X$1</f>
        <v>681.25</v>
      </c>
      <c r="R335" s="569">
        <f t="shared" si="965"/>
        <v>671.25</v>
      </c>
      <c r="S335" s="270">
        <f t="shared" ref="S335:S336" si="974">+R335*$X$1</f>
        <v>671.25</v>
      </c>
      <c r="T335" s="97">
        <f t="shared" si="967"/>
        <v>656.25</v>
      </c>
      <c r="U335" s="246">
        <f t="shared" ref="U335:U336" si="975">+T335*$X$1</f>
        <v>656.25</v>
      </c>
      <c r="V335" s="97">
        <f t="shared" si="969"/>
        <v>644.25</v>
      </c>
      <c r="W335" s="246">
        <f t="shared" ref="W335:W336" si="976">+V335*$X$1</f>
        <v>644.25</v>
      </c>
      <c r="X335" s="123"/>
      <c r="Y335" s="130"/>
      <c r="Z335" s="130"/>
      <c r="AA335" s="130"/>
      <c r="AB335" s="385">
        <v>2154</v>
      </c>
      <c r="AC335" s="22"/>
      <c r="AD335" s="22"/>
    </row>
    <row r="336" spans="1:30" ht="12.6" customHeight="1" x14ac:dyDescent="0.2">
      <c r="A336" s="18"/>
      <c r="B336" s="629" t="s">
        <v>359</v>
      </c>
      <c r="C336" s="638"/>
      <c r="D336" s="638"/>
      <c r="E336" s="638"/>
      <c r="F336" s="352">
        <f>0.56*X2</f>
        <v>700.00000000000011</v>
      </c>
      <c r="G336" s="271">
        <f t="shared" si="951"/>
        <v>700.00000000000011</v>
      </c>
      <c r="H336" s="264"/>
      <c r="I336" s="321"/>
      <c r="J336" s="427"/>
      <c r="K336" s="271"/>
      <c r="L336" s="427">
        <f t="shared" si="959"/>
        <v>860.00000000000011</v>
      </c>
      <c r="M336" s="271">
        <f t="shared" si="971"/>
        <v>860.00000000000011</v>
      </c>
      <c r="N336" s="427">
        <f t="shared" si="961"/>
        <v>800.00000000000011</v>
      </c>
      <c r="O336" s="271">
        <f t="shared" si="972"/>
        <v>800.00000000000011</v>
      </c>
      <c r="P336" s="427">
        <f t="shared" si="963"/>
        <v>775.00000000000011</v>
      </c>
      <c r="Q336" s="271">
        <f t="shared" si="973"/>
        <v>775.00000000000011</v>
      </c>
      <c r="R336" s="427">
        <f t="shared" si="965"/>
        <v>765.00000000000011</v>
      </c>
      <c r="S336" s="271">
        <f t="shared" si="974"/>
        <v>765.00000000000011</v>
      </c>
      <c r="T336" s="96">
        <f t="shared" si="967"/>
        <v>750.00000000000011</v>
      </c>
      <c r="U336" s="286">
        <f t="shared" si="975"/>
        <v>750.00000000000011</v>
      </c>
      <c r="V336" s="96">
        <f t="shared" si="969"/>
        <v>738.00000000000011</v>
      </c>
      <c r="W336" s="286">
        <f t="shared" si="976"/>
        <v>738.00000000000011</v>
      </c>
      <c r="X336" s="142"/>
      <c r="Y336" s="123"/>
      <c r="Z336" s="130"/>
      <c r="AA336" s="130"/>
      <c r="AB336" s="385">
        <v>2156</v>
      </c>
      <c r="AC336" s="22"/>
      <c r="AD336" s="22"/>
    </row>
    <row r="337" spans="1:34" ht="12.6" customHeight="1" x14ac:dyDescent="0.2">
      <c r="A337" s="18"/>
      <c r="B337" s="633" t="s">
        <v>210</v>
      </c>
      <c r="C337" s="634"/>
      <c r="D337" s="634"/>
      <c r="E337" s="635"/>
      <c r="F337" s="351">
        <f>0.484*X2</f>
        <v>605</v>
      </c>
      <c r="G337" s="270">
        <f t="shared" ref="G337" si="977">+F337*$X$1</f>
        <v>605</v>
      </c>
      <c r="H337" s="265"/>
      <c r="I337" s="320"/>
      <c r="J337" s="569"/>
      <c r="K337" s="270"/>
      <c r="L337" s="569">
        <f t="shared" si="959"/>
        <v>765</v>
      </c>
      <c r="M337" s="270">
        <f t="shared" ref="M337:M341" si="978">+L337*$X$1</f>
        <v>765</v>
      </c>
      <c r="N337" s="569">
        <f t="shared" si="961"/>
        <v>705</v>
      </c>
      <c r="O337" s="270">
        <f t="shared" ref="O337:O341" si="979">+N337*$X$1</f>
        <v>705</v>
      </c>
      <c r="P337" s="569">
        <f t="shared" si="963"/>
        <v>680</v>
      </c>
      <c r="Q337" s="270">
        <f t="shared" ref="Q337:Q340" si="980">+P337*$X$1</f>
        <v>680</v>
      </c>
      <c r="R337" s="569">
        <f t="shared" si="965"/>
        <v>670</v>
      </c>
      <c r="S337" s="270">
        <f t="shared" ref="S337:S340" si="981">+R337*$X$1</f>
        <v>670</v>
      </c>
      <c r="T337" s="97">
        <f t="shared" si="967"/>
        <v>655</v>
      </c>
      <c r="U337" s="246">
        <f t="shared" ref="U337:U340" si="982">+T337*$X$1</f>
        <v>655</v>
      </c>
      <c r="V337" s="97">
        <f t="shared" si="969"/>
        <v>643</v>
      </c>
      <c r="W337" s="246">
        <f t="shared" ref="W337:W340" si="983">+V337*$X$1</f>
        <v>643</v>
      </c>
      <c r="X337" s="123"/>
      <c r="Y337" s="130"/>
      <c r="Z337" s="130"/>
      <c r="AA337" s="130"/>
      <c r="AB337" s="385">
        <v>2160</v>
      </c>
      <c r="AC337" s="22"/>
      <c r="AD337" s="22"/>
      <c r="AH337" s="63"/>
    </row>
    <row r="338" spans="1:34" ht="12.6" customHeight="1" x14ac:dyDescent="0.2">
      <c r="A338" s="92"/>
      <c r="B338" s="760" t="s">
        <v>211</v>
      </c>
      <c r="C338" s="761"/>
      <c r="D338" s="761"/>
      <c r="E338" s="762"/>
      <c r="F338" s="352">
        <f>0.57*X2</f>
        <v>712.49999999999989</v>
      </c>
      <c r="G338" s="286">
        <f t="shared" ref="G338" si="984">+F338*$X$1</f>
        <v>712.49999999999989</v>
      </c>
      <c r="H338" s="427"/>
      <c r="I338" s="427"/>
      <c r="J338" s="113"/>
      <c r="K338" s="271"/>
      <c r="L338" s="427">
        <f t="shared" si="959"/>
        <v>872.49999999999989</v>
      </c>
      <c r="M338" s="271">
        <f t="shared" si="978"/>
        <v>872.49999999999989</v>
      </c>
      <c r="N338" s="427">
        <f t="shared" si="961"/>
        <v>812.49999999999989</v>
      </c>
      <c r="O338" s="271">
        <f t="shared" si="979"/>
        <v>812.49999999999989</v>
      </c>
      <c r="P338" s="427">
        <f t="shared" si="963"/>
        <v>787.49999999999989</v>
      </c>
      <c r="Q338" s="271">
        <f t="shared" si="980"/>
        <v>787.49999999999989</v>
      </c>
      <c r="R338" s="427">
        <f t="shared" si="965"/>
        <v>777.49999999999989</v>
      </c>
      <c r="S338" s="271">
        <f t="shared" si="981"/>
        <v>777.49999999999989</v>
      </c>
      <c r="T338" s="96">
        <f t="shared" si="967"/>
        <v>762.49999999999989</v>
      </c>
      <c r="U338" s="286">
        <f t="shared" si="982"/>
        <v>762.49999999999989</v>
      </c>
      <c r="V338" s="96">
        <f t="shared" si="969"/>
        <v>750.49999999999989</v>
      </c>
      <c r="W338" s="286">
        <f t="shared" si="983"/>
        <v>750.49999999999989</v>
      </c>
      <c r="X338" s="123"/>
      <c r="Y338" s="130"/>
      <c r="Z338" s="130"/>
      <c r="AA338" s="130"/>
      <c r="AB338" s="372">
        <v>2174</v>
      </c>
      <c r="AC338" s="65"/>
      <c r="AD338" s="22"/>
    </row>
    <row r="339" spans="1:34" ht="12.6" customHeight="1" x14ac:dyDescent="0.2">
      <c r="A339" s="92"/>
      <c r="B339" s="1155" t="s">
        <v>212</v>
      </c>
      <c r="C339" s="1156"/>
      <c r="D339" s="1156"/>
      <c r="E339" s="1157"/>
      <c r="F339" s="351">
        <f>0.57*X2</f>
        <v>712.49999999999989</v>
      </c>
      <c r="G339" s="246">
        <f>+F339*$X$1</f>
        <v>712.49999999999989</v>
      </c>
      <c r="H339" s="569"/>
      <c r="I339" s="569"/>
      <c r="J339" s="114"/>
      <c r="K339" s="270"/>
      <c r="L339" s="569">
        <f t="shared" si="959"/>
        <v>872.49999999999989</v>
      </c>
      <c r="M339" s="270">
        <f t="shared" si="978"/>
        <v>872.49999999999989</v>
      </c>
      <c r="N339" s="569">
        <f t="shared" si="961"/>
        <v>812.49999999999989</v>
      </c>
      <c r="O339" s="270">
        <f t="shared" si="979"/>
        <v>812.49999999999989</v>
      </c>
      <c r="P339" s="569">
        <f t="shared" si="963"/>
        <v>787.49999999999989</v>
      </c>
      <c r="Q339" s="270">
        <f t="shared" si="980"/>
        <v>787.49999999999989</v>
      </c>
      <c r="R339" s="569">
        <f t="shared" si="965"/>
        <v>777.49999999999989</v>
      </c>
      <c r="S339" s="270">
        <f t="shared" si="981"/>
        <v>777.49999999999989</v>
      </c>
      <c r="T339" s="97">
        <f t="shared" si="967"/>
        <v>762.49999999999989</v>
      </c>
      <c r="U339" s="246">
        <f t="shared" si="982"/>
        <v>762.49999999999989</v>
      </c>
      <c r="V339" s="97">
        <f t="shared" si="969"/>
        <v>750.49999999999989</v>
      </c>
      <c r="W339" s="246">
        <f t="shared" si="983"/>
        <v>750.49999999999989</v>
      </c>
      <c r="X339" s="123"/>
      <c r="Y339" s="130"/>
      <c r="Z339" s="130"/>
      <c r="AA339" s="130"/>
      <c r="AB339" s="372" t="s">
        <v>323</v>
      </c>
      <c r="AC339" s="65"/>
      <c r="AD339" s="22"/>
    </row>
    <row r="340" spans="1:34" ht="12.6" customHeight="1" x14ac:dyDescent="0.2">
      <c r="A340" s="92"/>
      <c r="B340" s="629" t="s">
        <v>652</v>
      </c>
      <c r="C340" s="638"/>
      <c r="D340" s="638"/>
      <c r="E340" s="638"/>
      <c r="F340" s="352">
        <f>0.58*X2</f>
        <v>725</v>
      </c>
      <c r="G340" s="286">
        <f>+F340*$X$1</f>
        <v>725</v>
      </c>
      <c r="H340" s="427"/>
      <c r="I340" s="427"/>
      <c r="J340" s="113"/>
      <c r="K340" s="271"/>
      <c r="L340" s="427">
        <f t="shared" si="959"/>
        <v>885</v>
      </c>
      <c r="M340" s="271">
        <f t="shared" si="978"/>
        <v>885</v>
      </c>
      <c r="N340" s="427">
        <f t="shared" si="961"/>
        <v>825</v>
      </c>
      <c r="O340" s="271">
        <f t="shared" si="979"/>
        <v>825</v>
      </c>
      <c r="P340" s="427">
        <f t="shared" si="963"/>
        <v>800</v>
      </c>
      <c r="Q340" s="271">
        <f t="shared" si="980"/>
        <v>800</v>
      </c>
      <c r="R340" s="427">
        <f t="shared" si="965"/>
        <v>790</v>
      </c>
      <c r="S340" s="271">
        <f t="shared" si="981"/>
        <v>790</v>
      </c>
      <c r="T340" s="96">
        <f t="shared" si="967"/>
        <v>775</v>
      </c>
      <c r="U340" s="286">
        <f t="shared" si="982"/>
        <v>775</v>
      </c>
      <c r="V340" s="96">
        <f t="shared" si="969"/>
        <v>763</v>
      </c>
      <c r="W340" s="286">
        <f t="shared" si="983"/>
        <v>763</v>
      </c>
      <c r="X340" s="123"/>
      <c r="Y340" s="130"/>
      <c r="Z340" s="130"/>
      <c r="AA340" s="130"/>
      <c r="AB340" s="372">
        <v>2180</v>
      </c>
      <c r="AC340" s="22"/>
      <c r="AD340" s="22"/>
    </row>
    <row r="341" spans="1:34" ht="12" customHeight="1" x14ac:dyDescent="0.2">
      <c r="A341" s="176"/>
      <c r="B341" s="633" t="s">
        <v>213</v>
      </c>
      <c r="C341" s="747"/>
      <c r="D341" s="747"/>
      <c r="E341" s="748"/>
      <c r="F341" s="351">
        <f>0.8*X2</f>
        <v>1000</v>
      </c>
      <c r="G341" s="246">
        <f>+F341*$X$1</f>
        <v>1000</v>
      </c>
      <c r="H341" s="569"/>
      <c r="I341" s="569"/>
      <c r="J341" s="114"/>
      <c r="K341" s="270"/>
      <c r="L341" s="569">
        <f t="shared" si="959"/>
        <v>1160</v>
      </c>
      <c r="M341" s="270">
        <f t="shared" si="978"/>
        <v>1160</v>
      </c>
      <c r="N341" s="569">
        <f t="shared" si="961"/>
        <v>1100</v>
      </c>
      <c r="O341" s="270">
        <f t="shared" si="979"/>
        <v>1100</v>
      </c>
      <c r="P341" s="569"/>
      <c r="Q341" s="270"/>
      <c r="R341" s="569"/>
      <c r="S341" s="270"/>
      <c r="T341" s="97"/>
      <c r="U341" s="246"/>
      <c r="V341" s="97"/>
      <c r="W341" s="246"/>
      <c r="X341" s="123"/>
      <c r="Y341" s="123"/>
      <c r="Z341" s="123"/>
      <c r="AA341" s="123"/>
      <c r="AB341" s="372">
        <v>2184</v>
      </c>
    </row>
    <row r="342" spans="1:34" ht="12" customHeight="1" x14ac:dyDescent="0.2">
      <c r="A342" s="176"/>
      <c r="B342" s="708" t="s">
        <v>214</v>
      </c>
      <c r="C342" s="709"/>
      <c r="D342" s="709"/>
      <c r="E342" s="710"/>
      <c r="F342" s="352">
        <f>0.71*X2</f>
        <v>887.5</v>
      </c>
      <c r="G342" s="286">
        <f>+F342*$X$1</f>
        <v>887.5</v>
      </c>
      <c r="H342" s="427"/>
      <c r="I342" s="427"/>
      <c r="J342" s="113"/>
      <c r="K342" s="271"/>
      <c r="L342" s="427">
        <f t="shared" si="959"/>
        <v>1047.5</v>
      </c>
      <c r="M342" s="271">
        <f t="shared" ref="M342:M344" si="985">+L342*$X$1</f>
        <v>1047.5</v>
      </c>
      <c r="N342" s="427">
        <f t="shared" si="961"/>
        <v>987.5</v>
      </c>
      <c r="O342" s="271">
        <f t="shared" ref="O342:O344" si="986">+N342*$X$1</f>
        <v>987.5</v>
      </c>
      <c r="P342" s="427">
        <f t="shared" ref="P342:P349" si="987">F342+75</f>
        <v>962.5</v>
      </c>
      <c r="Q342" s="271">
        <f t="shared" ref="Q342:Q344" si="988">+P342*$X$1</f>
        <v>962.5</v>
      </c>
      <c r="R342" s="427">
        <f t="shared" ref="R342:R347" si="989">F342+65</f>
        <v>952.5</v>
      </c>
      <c r="S342" s="271">
        <f t="shared" ref="S342:S344" si="990">+R342*$X$1</f>
        <v>952.5</v>
      </c>
      <c r="T342" s="96">
        <f t="shared" ref="T342:T347" si="991">F342+50</f>
        <v>937.5</v>
      </c>
      <c r="U342" s="286">
        <f t="shared" ref="U342:U344" si="992">+T342*$X$1</f>
        <v>937.5</v>
      </c>
      <c r="V342" s="96">
        <f t="shared" ref="V342:V347" si="993">F342+38</f>
        <v>925.5</v>
      </c>
      <c r="W342" s="286">
        <f t="shared" ref="W342:W344" si="994">+V342*$X$1</f>
        <v>925.5</v>
      </c>
      <c r="X342" s="123"/>
      <c r="Y342" s="123"/>
      <c r="Z342" s="123"/>
      <c r="AA342" s="123"/>
      <c r="AB342" s="372" t="s">
        <v>215</v>
      </c>
    </row>
    <row r="343" spans="1:34" ht="12" customHeight="1" x14ac:dyDescent="0.2">
      <c r="A343" s="92"/>
      <c r="B343" s="633" t="s">
        <v>216</v>
      </c>
      <c r="C343" s="634"/>
      <c r="D343" s="634"/>
      <c r="E343" s="635"/>
      <c r="F343" s="351">
        <f>0.372*X2</f>
        <v>465</v>
      </c>
      <c r="G343" s="246">
        <f>+F343*$X$1</f>
        <v>465</v>
      </c>
      <c r="H343" s="569"/>
      <c r="I343" s="569"/>
      <c r="J343" s="114"/>
      <c r="K343" s="270"/>
      <c r="L343" s="569">
        <f t="shared" si="959"/>
        <v>625</v>
      </c>
      <c r="M343" s="270">
        <f t="shared" si="985"/>
        <v>625</v>
      </c>
      <c r="N343" s="569">
        <f t="shared" si="961"/>
        <v>565</v>
      </c>
      <c r="O343" s="270">
        <f t="shared" si="986"/>
        <v>565</v>
      </c>
      <c r="P343" s="569">
        <f t="shared" si="987"/>
        <v>540</v>
      </c>
      <c r="Q343" s="270">
        <f t="shared" si="988"/>
        <v>540</v>
      </c>
      <c r="R343" s="569">
        <f t="shared" si="989"/>
        <v>530</v>
      </c>
      <c r="S343" s="270">
        <f t="shared" si="990"/>
        <v>530</v>
      </c>
      <c r="T343" s="97">
        <f t="shared" si="991"/>
        <v>515</v>
      </c>
      <c r="U343" s="246">
        <f t="shared" si="992"/>
        <v>515</v>
      </c>
      <c r="V343" s="97">
        <f t="shared" si="993"/>
        <v>503</v>
      </c>
      <c r="W343" s="246">
        <f t="shared" si="994"/>
        <v>503</v>
      </c>
      <c r="X343" s="123"/>
      <c r="Y343" s="123"/>
      <c r="Z343" s="123"/>
      <c r="AA343" s="123"/>
      <c r="AB343" s="372">
        <v>2189</v>
      </c>
    </row>
    <row r="344" spans="1:34" ht="12.6" customHeight="1" x14ac:dyDescent="0.2">
      <c r="A344" s="92"/>
      <c r="B344" s="708" t="s">
        <v>217</v>
      </c>
      <c r="C344" s="709"/>
      <c r="D344" s="709"/>
      <c r="E344" s="710"/>
      <c r="F344" s="352">
        <f>0.6*X2</f>
        <v>750</v>
      </c>
      <c r="G344" s="286">
        <f t="shared" ref="G344" si="995">+F344*$X$1</f>
        <v>750</v>
      </c>
      <c r="H344" s="427"/>
      <c r="I344" s="427"/>
      <c r="J344" s="113"/>
      <c r="K344" s="271"/>
      <c r="L344" s="427">
        <f t="shared" si="959"/>
        <v>910</v>
      </c>
      <c r="M344" s="271">
        <f t="shared" si="985"/>
        <v>910</v>
      </c>
      <c r="N344" s="427">
        <f t="shared" si="961"/>
        <v>850</v>
      </c>
      <c r="O344" s="271">
        <f t="shared" si="986"/>
        <v>850</v>
      </c>
      <c r="P344" s="427">
        <f t="shared" si="987"/>
        <v>825</v>
      </c>
      <c r="Q344" s="271">
        <f t="shared" si="988"/>
        <v>825</v>
      </c>
      <c r="R344" s="427">
        <f t="shared" si="989"/>
        <v>815</v>
      </c>
      <c r="S344" s="271">
        <f t="shared" si="990"/>
        <v>815</v>
      </c>
      <c r="T344" s="96">
        <f t="shared" si="991"/>
        <v>800</v>
      </c>
      <c r="U344" s="286">
        <f t="shared" si="992"/>
        <v>800</v>
      </c>
      <c r="V344" s="96">
        <f t="shared" si="993"/>
        <v>788</v>
      </c>
      <c r="W344" s="286">
        <f t="shared" si="994"/>
        <v>788</v>
      </c>
      <c r="X344" s="123"/>
      <c r="Y344" s="123"/>
      <c r="Z344" s="123"/>
      <c r="AA344" s="123"/>
      <c r="AB344" s="372">
        <v>2190</v>
      </c>
    </row>
    <row r="345" spans="1:34" ht="12.6" customHeight="1" x14ac:dyDescent="0.2">
      <c r="A345" s="18"/>
      <c r="B345" s="1175" t="s">
        <v>218</v>
      </c>
      <c r="C345" s="634"/>
      <c r="D345" s="634"/>
      <c r="E345" s="635"/>
      <c r="F345" s="351">
        <f>0.521*X2</f>
        <v>651.25</v>
      </c>
      <c r="G345" s="246">
        <f>+F345*$X$1</f>
        <v>651.25</v>
      </c>
      <c r="H345" s="569"/>
      <c r="I345" s="569"/>
      <c r="J345" s="114"/>
      <c r="K345" s="270"/>
      <c r="L345" s="569">
        <f t="shared" si="959"/>
        <v>811.25</v>
      </c>
      <c r="M345" s="270">
        <f t="shared" ref="M345:M348" si="996">+L345*$X$1</f>
        <v>811.25</v>
      </c>
      <c r="N345" s="569">
        <f t="shared" si="961"/>
        <v>751.25</v>
      </c>
      <c r="O345" s="270">
        <f t="shared" ref="O345:O348" si="997">+N345*$X$1</f>
        <v>751.25</v>
      </c>
      <c r="P345" s="569">
        <f t="shared" si="987"/>
        <v>726.25</v>
      </c>
      <c r="Q345" s="270">
        <f t="shared" ref="Q345:Q348" si="998">+P345*$X$1</f>
        <v>726.25</v>
      </c>
      <c r="R345" s="569">
        <f t="shared" si="989"/>
        <v>716.25</v>
      </c>
      <c r="S345" s="270">
        <f t="shared" ref="S345:S347" si="999">+R345*$X$1</f>
        <v>716.25</v>
      </c>
      <c r="T345" s="97">
        <f t="shared" si="991"/>
        <v>701.25</v>
      </c>
      <c r="U345" s="246">
        <f t="shared" ref="U345:U347" si="1000">+T345*$X$1</f>
        <v>701.25</v>
      </c>
      <c r="V345" s="97">
        <f t="shared" si="993"/>
        <v>689.25</v>
      </c>
      <c r="W345" s="246">
        <f t="shared" ref="W345:W347" si="1001">+V345*$X$1</f>
        <v>689.25</v>
      </c>
      <c r="X345" s="173"/>
      <c r="Y345" s="174"/>
      <c r="Z345" s="174"/>
      <c r="AA345" s="173"/>
      <c r="AB345" s="372">
        <v>2193</v>
      </c>
    </row>
    <row r="346" spans="1:34" ht="12.6" customHeight="1" x14ac:dyDescent="0.2">
      <c r="A346" s="18"/>
      <c r="B346" s="629" t="s">
        <v>219</v>
      </c>
      <c r="C346" s="638"/>
      <c r="D346" s="638"/>
      <c r="E346" s="638"/>
      <c r="F346" s="352">
        <f>0.57*X2</f>
        <v>712.49999999999989</v>
      </c>
      <c r="G346" s="286">
        <f>+F346*$X$1</f>
        <v>712.49999999999989</v>
      </c>
      <c r="H346" s="427"/>
      <c r="I346" s="427"/>
      <c r="J346" s="113"/>
      <c r="K346" s="271"/>
      <c r="L346" s="427">
        <f t="shared" si="959"/>
        <v>872.49999999999989</v>
      </c>
      <c r="M346" s="271">
        <f t="shared" si="996"/>
        <v>872.49999999999989</v>
      </c>
      <c r="N346" s="427">
        <f t="shared" si="961"/>
        <v>812.49999999999989</v>
      </c>
      <c r="O346" s="271">
        <f t="shared" si="997"/>
        <v>812.49999999999989</v>
      </c>
      <c r="P346" s="427">
        <f t="shared" si="987"/>
        <v>787.49999999999989</v>
      </c>
      <c r="Q346" s="271">
        <f t="shared" si="998"/>
        <v>787.49999999999989</v>
      </c>
      <c r="R346" s="427">
        <f t="shared" si="989"/>
        <v>777.49999999999989</v>
      </c>
      <c r="S346" s="271">
        <f t="shared" si="999"/>
        <v>777.49999999999989</v>
      </c>
      <c r="T346" s="96">
        <f t="shared" si="991"/>
        <v>762.49999999999989</v>
      </c>
      <c r="U346" s="286">
        <f t="shared" si="1000"/>
        <v>762.49999999999989</v>
      </c>
      <c r="V346" s="96">
        <f t="shared" si="993"/>
        <v>750.49999999999989</v>
      </c>
      <c r="W346" s="286">
        <f t="shared" si="1001"/>
        <v>750.49999999999989</v>
      </c>
      <c r="X346" s="123"/>
      <c r="Y346" s="123"/>
      <c r="Z346" s="123"/>
      <c r="AA346" s="123"/>
      <c r="AB346" s="372">
        <v>2194</v>
      </c>
    </row>
    <row r="347" spans="1:34" ht="12.6" customHeight="1" x14ac:dyDescent="0.2">
      <c r="A347" s="18"/>
      <c r="B347" s="1178" t="s">
        <v>220</v>
      </c>
      <c r="C347" s="1179"/>
      <c r="D347" s="1179"/>
      <c r="E347" s="1180"/>
      <c r="F347" s="351">
        <f>0.67*X2</f>
        <v>837.5</v>
      </c>
      <c r="G347" s="246">
        <f>+F347*$X$1</f>
        <v>837.5</v>
      </c>
      <c r="H347" s="569"/>
      <c r="I347" s="569"/>
      <c r="J347" s="114"/>
      <c r="K347" s="270"/>
      <c r="L347" s="569">
        <f t="shared" si="959"/>
        <v>997.5</v>
      </c>
      <c r="M347" s="270">
        <f t="shared" si="996"/>
        <v>997.5</v>
      </c>
      <c r="N347" s="569">
        <f t="shared" si="961"/>
        <v>937.5</v>
      </c>
      <c r="O347" s="270">
        <f t="shared" si="997"/>
        <v>937.5</v>
      </c>
      <c r="P347" s="569">
        <f t="shared" si="987"/>
        <v>912.5</v>
      </c>
      <c r="Q347" s="270">
        <f t="shared" si="998"/>
        <v>912.5</v>
      </c>
      <c r="R347" s="569">
        <f t="shared" si="989"/>
        <v>902.5</v>
      </c>
      <c r="S347" s="270">
        <f t="shared" si="999"/>
        <v>902.5</v>
      </c>
      <c r="T347" s="97">
        <f t="shared" si="991"/>
        <v>887.5</v>
      </c>
      <c r="U347" s="246">
        <f t="shared" si="1000"/>
        <v>887.5</v>
      </c>
      <c r="V347" s="97">
        <f t="shared" si="993"/>
        <v>875.5</v>
      </c>
      <c r="W347" s="246">
        <f t="shared" si="1001"/>
        <v>875.5</v>
      </c>
      <c r="X347" s="123"/>
      <c r="Y347" s="123"/>
      <c r="Z347" s="123"/>
      <c r="AA347" s="123"/>
      <c r="AB347" s="372">
        <v>2195</v>
      </c>
    </row>
    <row r="348" spans="1:34" ht="12.6" customHeight="1" x14ac:dyDescent="0.2">
      <c r="A348" s="18"/>
      <c r="B348" s="629" t="s">
        <v>221</v>
      </c>
      <c r="C348" s="638"/>
      <c r="D348" s="638"/>
      <c r="E348" s="638"/>
      <c r="F348" s="352">
        <f>0.652*X2</f>
        <v>815</v>
      </c>
      <c r="G348" s="286">
        <f>+F348*$X$1</f>
        <v>815</v>
      </c>
      <c r="H348" s="427"/>
      <c r="I348" s="427"/>
      <c r="J348" s="427"/>
      <c r="K348" s="271"/>
      <c r="L348" s="427">
        <f t="shared" si="959"/>
        <v>975</v>
      </c>
      <c r="M348" s="271">
        <f t="shared" si="996"/>
        <v>975</v>
      </c>
      <c r="N348" s="427">
        <f t="shared" si="961"/>
        <v>915</v>
      </c>
      <c r="O348" s="271">
        <f t="shared" si="997"/>
        <v>915</v>
      </c>
      <c r="P348" s="427">
        <f t="shared" si="987"/>
        <v>890</v>
      </c>
      <c r="Q348" s="271">
        <f t="shared" si="998"/>
        <v>890</v>
      </c>
      <c r="R348" s="427"/>
      <c r="S348" s="271"/>
      <c r="T348" s="96"/>
      <c r="U348" s="286"/>
      <c r="V348" s="96"/>
      <c r="W348" s="286"/>
      <c r="X348" s="123"/>
      <c r="Y348" s="123"/>
      <c r="Z348" s="123"/>
      <c r="AA348" s="123"/>
      <c r="AB348" s="372">
        <v>2198</v>
      </c>
    </row>
    <row r="349" spans="1:34" ht="12.6" customHeight="1" x14ac:dyDescent="0.2">
      <c r="A349" s="98"/>
      <c r="B349" s="691" t="s">
        <v>313</v>
      </c>
      <c r="C349" s="746"/>
      <c r="D349" s="746"/>
      <c r="E349" s="746"/>
      <c r="F349" s="351">
        <f>0.49*X2</f>
        <v>612.5</v>
      </c>
      <c r="G349" s="246">
        <f>+F349*$X$1</f>
        <v>612.5</v>
      </c>
      <c r="H349" s="569"/>
      <c r="I349" s="569"/>
      <c r="J349" s="569"/>
      <c r="K349" s="270"/>
      <c r="L349" s="569">
        <f t="shared" si="959"/>
        <v>772.5</v>
      </c>
      <c r="M349" s="270">
        <f t="shared" ref="M349" si="1002">+L349*$X$1</f>
        <v>772.5</v>
      </c>
      <c r="N349" s="569">
        <f t="shared" si="961"/>
        <v>712.5</v>
      </c>
      <c r="O349" s="270">
        <f t="shared" ref="O349" si="1003">+N349*$X$1</f>
        <v>712.5</v>
      </c>
      <c r="P349" s="569">
        <f t="shared" si="987"/>
        <v>687.5</v>
      </c>
      <c r="Q349" s="270">
        <f t="shared" ref="Q349" si="1004">+P349*$X$1</f>
        <v>687.5</v>
      </c>
      <c r="R349" s="569">
        <f>F349+65</f>
        <v>677.5</v>
      </c>
      <c r="S349" s="270">
        <f t="shared" ref="S349" si="1005">+R349*$X$1</f>
        <v>677.5</v>
      </c>
      <c r="T349" s="97">
        <f>F349+50</f>
        <v>662.5</v>
      </c>
      <c r="U349" s="246">
        <f t="shared" ref="U349" si="1006">+T349*$X$1</f>
        <v>662.5</v>
      </c>
      <c r="V349" s="97">
        <f>F349+38</f>
        <v>650.5</v>
      </c>
      <c r="W349" s="246">
        <f t="shared" ref="W349" si="1007">+V349*$X$1</f>
        <v>650.5</v>
      </c>
      <c r="X349" s="144"/>
      <c r="Y349" s="123"/>
      <c r="Z349" s="123"/>
      <c r="AA349" s="123"/>
      <c r="AB349" s="372">
        <v>2202</v>
      </c>
    </row>
    <row r="350" spans="1:34" ht="12.6" customHeight="1" x14ac:dyDescent="0.2">
      <c r="A350" s="98"/>
      <c r="B350" s="629" t="s">
        <v>314</v>
      </c>
      <c r="C350" s="630"/>
      <c r="D350" s="630"/>
      <c r="E350" s="630"/>
      <c r="F350" s="352">
        <f>0.49*X2</f>
        <v>612.5</v>
      </c>
      <c r="G350" s="286">
        <f t="shared" ref="G350:G354" si="1008">+F350*$X$1</f>
        <v>612.5</v>
      </c>
      <c r="H350" s="427"/>
      <c r="I350" s="427"/>
      <c r="J350" s="427"/>
      <c r="K350" s="271"/>
      <c r="L350" s="427">
        <f t="shared" ref="L350:L358" si="1009">F350+160</f>
        <v>772.5</v>
      </c>
      <c r="M350" s="271">
        <f t="shared" ref="M350:M359" si="1010">+L350*$X$1</f>
        <v>772.5</v>
      </c>
      <c r="N350" s="427">
        <f t="shared" ref="N350:N358" si="1011">F350+100</f>
        <v>712.5</v>
      </c>
      <c r="O350" s="271">
        <f t="shared" ref="O350:O358" si="1012">+N350*$X$1</f>
        <v>712.5</v>
      </c>
      <c r="P350" s="427">
        <f t="shared" ref="P350:P358" si="1013">F350+75</f>
        <v>687.5</v>
      </c>
      <c r="Q350" s="271">
        <f t="shared" ref="Q350:Q359" si="1014">+P350*$X$1</f>
        <v>687.5</v>
      </c>
      <c r="R350" s="427">
        <f t="shared" ref="R350:R358" si="1015">F350+65</f>
        <v>677.5</v>
      </c>
      <c r="S350" s="271">
        <f t="shared" ref="S350:S358" si="1016">+R350*$X$1</f>
        <v>677.5</v>
      </c>
      <c r="T350" s="96">
        <f t="shared" ref="T350:T358" si="1017">F350+50</f>
        <v>662.5</v>
      </c>
      <c r="U350" s="286">
        <f t="shared" ref="U350:U359" si="1018">+T350*$X$1</f>
        <v>662.5</v>
      </c>
      <c r="V350" s="96">
        <f t="shared" ref="V350:V358" si="1019">F350+38</f>
        <v>650.5</v>
      </c>
      <c r="W350" s="286">
        <f t="shared" ref="W350:W359" si="1020">+V350*$X$1</f>
        <v>650.5</v>
      </c>
      <c r="X350" s="123"/>
      <c r="Y350" s="123"/>
      <c r="Z350" s="123"/>
      <c r="AA350" s="123"/>
      <c r="AB350" s="372" t="s">
        <v>222</v>
      </c>
    </row>
    <row r="351" spans="1:34" ht="12.6" customHeight="1" x14ac:dyDescent="0.2">
      <c r="A351" s="98"/>
      <c r="B351" s="691" t="s">
        <v>315</v>
      </c>
      <c r="C351" s="746"/>
      <c r="D351" s="746"/>
      <c r="E351" s="746"/>
      <c r="F351" s="351">
        <f>0.49*X2</f>
        <v>612.5</v>
      </c>
      <c r="G351" s="246">
        <f t="shared" ref="G351:G355" si="1021">+F351*$X$1</f>
        <v>612.5</v>
      </c>
      <c r="H351" s="569"/>
      <c r="I351" s="569"/>
      <c r="J351" s="569"/>
      <c r="K351" s="287"/>
      <c r="L351" s="569">
        <f t="shared" si="1009"/>
        <v>772.5</v>
      </c>
      <c r="M351" s="270">
        <f t="shared" si="1010"/>
        <v>772.5</v>
      </c>
      <c r="N351" s="569">
        <f t="shared" si="1011"/>
        <v>712.5</v>
      </c>
      <c r="O351" s="270">
        <f t="shared" si="1012"/>
        <v>712.5</v>
      </c>
      <c r="P351" s="569">
        <f t="shared" si="1013"/>
        <v>687.5</v>
      </c>
      <c r="Q351" s="270">
        <f t="shared" si="1014"/>
        <v>687.5</v>
      </c>
      <c r="R351" s="569">
        <f t="shared" si="1015"/>
        <v>677.5</v>
      </c>
      <c r="S351" s="270">
        <f t="shared" si="1016"/>
        <v>677.5</v>
      </c>
      <c r="T351" s="97">
        <f t="shared" si="1017"/>
        <v>662.5</v>
      </c>
      <c r="U351" s="246">
        <f t="shared" si="1018"/>
        <v>662.5</v>
      </c>
      <c r="V351" s="97">
        <f t="shared" si="1019"/>
        <v>650.5</v>
      </c>
      <c r="W351" s="246">
        <f t="shared" si="1020"/>
        <v>650.5</v>
      </c>
      <c r="X351" s="123"/>
      <c r="Y351" s="123"/>
      <c r="Z351" s="123"/>
      <c r="AA351" s="123"/>
      <c r="AB351" s="372" t="s">
        <v>223</v>
      </c>
    </row>
    <row r="352" spans="1:34" ht="12.6" customHeight="1" x14ac:dyDescent="0.2">
      <c r="A352" s="98"/>
      <c r="B352" s="629" t="s">
        <v>814</v>
      </c>
      <c r="C352" s="630"/>
      <c r="D352" s="630"/>
      <c r="E352" s="630"/>
      <c r="F352" s="352">
        <f>0.49*X2</f>
        <v>612.5</v>
      </c>
      <c r="G352" s="286">
        <f t="shared" ref="G352" si="1022">+F352*$X$1</f>
        <v>612.5</v>
      </c>
      <c r="H352" s="427"/>
      <c r="I352" s="427"/>
      <c r="J352" s="427"/>
      <c r="K352" s="298"/>
      <c r="L352" s="427">
        <f t="shared" si="1009"/>
        <v>772.5</v>
      </c>
      <c r="M352" s="271">
        <f t="shared" si="1010"/>
        <v>772.5</v>
      </c>
      <c r="N352" s="427">
        <f t="shared" si="1011"/>
        <v>712.5</v>
      </c>
      <c r="O352" s="271">
        <f t="shared" si="1012"/>
        <v>712.5</v>
      </c>
      <c r="P352" s="427">
        <f t="shared" si="1013"/>
        <v>687.5</v>
      </c>
      <c r="Q352" s="271">
        <f t="shared" si="1014"/>
        <v>687.5</v>
      </c>
      <c r="R352" s="427">
        <f t="shared" si="1015"/>
        <v>677.5</v>
      </c>
      <c r="S352" s="271">
        <f t="shared" si="1016"/>
        <v>677.5</v>
      </c>
      <c r="T352" s="96">
        <f t="shared" si="1017"/>
        <v>662.5</v>
      </c>
      <c r="U352" s="286">
        <f t="shared" si="1018"/>
        <v>662.5</v>
      </c>
      <c r="V352" s="96">
        <f t="shared" si="1019"/>
        <v>650.5</v>
      </c>
      <c r="W352" s="286">
        <f t="shared" si="1020"/>
        <v>650.5</v>
      </c>
      <c r="X352" s="123"/>
      <c r="Y352" s="123"/>
      <c r="Z352" s="123"/>
      <c r="AA352" s="123"/>
      <c r="AB352" s="474" t="s">
        <v>813</v>
      </c>
    </row>
    <row r="353" spans="1:31" ht="12.6" customHeight="1" x14ac:dyDescent="0.2">
      <c r="A353" s="98"/>
      <c r="B353" s="752" t="s">
        <v>604</v>
      </c>
      <c r="C353" s="1176"/>
      <c r="D353" s="1176"/>
      <c r="E353" s="1177"/>
      <c r="F353" s="351">
        <f>0.68*X2</f>
        <v>850.00000000000011</v>
      </c>
      <c r="G353" s="246">
        <f t="shared" si="1021"/>
        <v>850.00000000000011</v>
      </c>
      <c r="H353" s="569"/>
      <c r="I353" s="569"/>
      <c r="J353" s="569"/>
      <c r="K353" s="270"/>
      <c r="L353" s="569">
        <f t="shared" si="1009"/>
        <v>1010.0000000000001</v>
      </c>
      <c r="M353" s="270">
        <f t="shared" si="1010"/>
        <v>1010.0000000000001</v>
      </c>
      <c r="N353" s="569">
        <f t="shared" si="1011"/>
        <v>950.00000000000011</v>
      </c>
      <c r="O353" s="270">
        <f t="shared" si="1012"/>
        <v>950.00000000000011</v>
      </c>
      <c r="P353" s="569">
        <f t="shared" si="1013"/>
        <v>925.00000000000011</v>
      </c>
      <c r="Q353" s="270">
        <f t="shared" si="1014"/>
        <v>925.00000000000011</v>
      </c>
      <c r="R353" s="569">
        <f t="shared" si="1015"/>
        <v>915.00000000000011</v>
      </c>
      <c r="S353" s="270">
        <f t="shared" si="1016"/>
        <v>915.00000000000011</v>
      </c>
      <c r="T353" s="97">
        <f t="shared" si="1017"/>
        <v>900.00000000000011</v>
      </c>
      <c r="U353" s="246">
        <f t="shared" si="1018"/>
        <v>900.00000000000011</v>
      </c>
      <c r="V353" s="97">
        <f t="shared" si="1019"/>
        <v>888.00000000000011</v>
      </c>
      <c r="W353" s="246">
        <f t="shared" si="1020"/>
        <v>888.00000000000011</v>
      </c>
      <c r="X353" s="642"/>
      <c r="Y353" s="642"/>
      <c r="Z353" s="642"/>
      <c r="AA353" s="643"/>
      <c r="AB353" s="372" t="s">
        <v>608</v>
      </c>
      <c r="AC353" s="64"/>
      <c r="AE353" s="83"/>
    </row>
    <row r="354" spans="1:31" ht="12.6" customHeight="1" x14ac:dyDescent="0.2">
      <c r="A354" s="98"/>
      <c r="B354" s="688" t="s">
        <v>224</v>
      </c>
      <c r="C354" s="1163"/>
      <c r="D354" s="1163"/>
      <c r="E354" s="1164"/>
      <c r="F354" s="352">
        <f>0.725*X2</f>
        <v>906.25</v>
      </c>
      <c r="G354" s="286">
        <f t="shared" si="1008"/>
        <v>906.25</v>
      </c>
      <c r="H354" s="427"/>
      <c r="I354" s="427"/>
      <c r="J354" s="427"/>
      <c r="K354" s="271"/>
      <c r="L354" s="427">
        <f t="shared" si="1009"/>
        <v>1066.25</v>
      </c>
      <c r="M354" s="271">
        <f t="shared" si="1010"/>
        <v>1066.25</v>
      </c>
      <c r="N354" s="427">
        <f t="shared" si="1011"/>
        <v>1006.25</v>
      </c>
      <c r="O354" s="271">
        <f t="shared" si="1012"/>
        <v>1006.25</v>
      </c>
      <c r="P354" s="427">
        <f t="shared" si="1013"/>
        <v>981.25</v>
      </c>
      <c r="Q354" s="271">
        <f t="shared" si="1014"/>
        <v>981.25</v>
      </c>
      <c r="R354" s="427">
        <f t="shared" si="1015"/>
        <v>971.25</v>
      </c>
      <c r="S354" s="271">
        <f t="shared" si="1016"/>
        <v>971.25</v>
      </c>
      <c r="T354" s="96">
        <f t="shared" si="1017"/>
        <v>956.25</v>
      </c>
      <c r="U354" s="286">
        <f t="shared" si="1018"/>
        <v>956.25</v>
      </c>
      <c r="V354" s="96">
        <f t="shared" si="1019"/>
        <v>944.25</v>
      </c>
      <c r="W354" s="286">
        <f t="shared" si="1020"/>
        <v>944.25</v>
      </c>
      <c r="X354" s="642"/>
      <c r="Y354" s="642"/>
      <c r="Z354" s="642"/>
      <c r="AA354" s="643"/>
      <c r="AB354" s="372" t="s">
        <v>225</v>
      </c>
      <c r="AC354" s="64"/>
      <c r="AE354" s="83"/>
    </row>
    <row r="355" spans="1:31" ht="12.6" customHeight="1" x14ac:dyDescent="0.2">
      <c r="A355" s="92"/>
      <c r="B355" s="752" t="s">
        <v>226</v>
      </c>
      <c r="C355" s="1153"/>
      <c r="D355" s="1153"/>
      <c r="E355" s="1154"/>
      <c r="F355" s="351">
        <f>0.745*X2</f>
        <v>931.25</v>
      </c>
      <c r="G355" s="246">
        <f t="shared" si="1021"/>
        <v>931.25</v>
      </c>
      <c r="H355" s="569"/>
      <c r="I355" s="569"/>
      <c r="J355" s="569"/>
      <c r="K355" s="270"/>
      <c r="L355" s="569">
        <f t="shared" si="1009"/>
        <v>1091.25</v>
      </c>
      <c r="M355" s="270">
        <f t="shared" si="1010"/>
        <v>1091.25</v>
      </c>
      <c r="N355" s="569">
        <f t="shared" si="1011"/>
        <v>1031.25</v>
      </c>
      <c r="O355" s="270">
        <f t="shared" si="1012"/>
        <v>1031.25</v>
      </c>
      <c r="P355" s="569">
        <f t="shared" si="1013"/>
        <v>1006.25</v>
      </c>
      <c r="Q355" s="270">
        <f t="shared" si="1014"/>
        <v>1006.25</v>
      </c>
      <c r="R355" s="569">
        <f t="shared" si="1015"/>
        <v>996.25</v>
      </c>
      <c r="S355" s="270">
        <f t="shared" si="1016"/>
        <v>996.25</v>
      </c>
      <c r="T355" s="97">
        <f t="shared" si="1017"/>
        <v>981.25</v>
      </c>
      <c r="U355" s="246">
        <f t="shared" si="1018"/>
        <v>981.25</v>
      </c>
      <c r="V355" s="97">
        <f t="shared" si="1019"/>
        <v>969.25</v>
      </c>
      <c r="W355" s="246">
        <f t="shared" si="1020"/>
        <v>969.25</v>
      </c>
      <c r="X355" s="160"/>
      <c r="Y355" s="123"/>
      <c r="Z355" s="123"/>
      <c r="AA355" s="123"/>
      <c r="AB355" s="372">
        <v>2203</v>
      </c>
      <c r="AC355" s="218"/>
    </row>
    <row r="356" spans="1:31" ht="12.6" customHeight="1" x14ac:dyDescent="0.2">
      <c r="A356" s="92"/>
      <c r="B356" s="741" t="s">
        <v>227</v>
      </c>
      <c r="C356" s="1170"/>
      <c r="D356" s="1170"/>
      <c r="E356" s="1170"/>
      <c r="F356" s="352">
        <f>0.79*X2</f>
        <v>987.5</v>
      </c>
      <c r="G356" s="286">
        <f>+F356*$X$1</f>
        <v>987.5</v>
      </c>
      <c r="H356" s="427"/>
      <c r="I356" s="427"/>
      <c r="J356" s="427"/>
      <c r="K356" s="271"/>
      <c r="L356" s="427">
        <f t="shared" si="1009"/>
        <v>1147.5</v>
      </c>
      <c r="M356" s="271">
        <f t="shared" si="1010"/>
        <v>1147.5</v>
      </c>
      <c r="N356" s="427">
        <f t="shared" si="1011"/>
        <v>1087.5</v>
      </c>
      <c r="O356" s="271">
        <f t="shared" si="1012"/>
        <v>1087.5</v>
      </c>
      <c r="P356" s="427">
        <f t="shared" si="1013"/>
        <v>1062.5</v>
      </c>
      <c r="Q356" s="271">
        <f t="shared" si="1014"/>
        <v>1062.5</v>
      </c>
      <c r="R356" s="427">
        <f t="shared" si="1015"/>
        <v>1052.5</v>
      </c>
      <c r="S356" s="271">
        <f t="shared" si="1016"/>
        <v>1052.5</v>
      </c>
      <c r="T356" s="96">
        <f t="shared" si="1017"/>
        <v>1037.5</v>
      </c>
      <c r="U356" s="286">
        <f t="shared" si="1018"/>
        <v>1037.5</v>
      </c>
      <c r="V356" s="96">
        <f t="shared" si="1019"/>
        <v>1025.5</v>
      </c>
      <c r="W356" s="286">
        <f t="shared" si="1020"/>
        <v>1025.5</v>
      </c>
      <c r="X356" s="161"/>
      <c r="Y356" s="126"/>
      <c r="Z356" s="126"/>
      <c r="AA356" s="129"/>
      <c r="AB356" s="372">
        <v>2205</v>
      </c>
      <c r="AC356" s="64"/>
    </row>
    <row r="357" spans="1:31" ht="12.6" customHeight="1" x14ac:dyDescent="0.2">
      <c r="A357" s="92"/>
      <c r="B357" s="691" t="s">
        <v>228</v>
      </c>
      <c r="C357" s="746"/>
      <c r="D357" s="746"/>
      <c r="E357" s="746"/>
      <c r="F357" s="351">
        <f>0.49*X2</f>
        <v>612.5</v>
      </c>
      <c r="G357" s="246">
        <f>+F357*$X$1</f>
        <v>612.5</v>
      </c>
      <c r="H357" s="569"/>
      <c r="I357" s="569"/>
      <c r="J357" s="569"/>
      <c r="K357" s="270"/>
      <c r="L357" s="569">
        <f t="shared" si="1009"/>
        <v>772.5</v>
      </c>
      <c r="M357" s="270">
        <f t="shared" si="1010"/>
        <v>772.5</v>
      </c>
      <c r="N357" s="569">
        <f t="shared" si="1011"/>
        <v>712.5</v>
      </c>
      <c r="O357" s="270">
        <f t="shared" si="1012"/>
        <v>712.5</v>
      </c>
      <c r="P357" s="569">
        <f t="shared" si="1013"/>
        <v>687.5</v>
      </c>
      <c r="Q357" s="270">
        <f t="shared" si="1014"/>
        <v>687.5</v>
      </c>
      <c r="R357" s="569">
        <f t="shared" si="1015"/>
        <v>677.5</v>
      </c>
      <c r="S357" s="270">
        <f t="shared" si="1016"/>
        <v>677.5</v>
      </c>
      <c r="T357" s="97">
        <f t="shared" si="1017"/>
        <v>662.5</v>
      </c>
      <c r="U357" s="246">
        <f t="shared" si="1018"/>
        <v>662.5</v>
      </c>
      <c r="V357" s="97">
        <f t="shared" si="1019"/>
        <v>650.5</v>
      </c>
      <c r="W357" s="246">
        <f t="shared" si="1020"/>
        <v>650.5</v>
      </c>
      <c r="X357" s="126"/>
      <c r="Y357" s="126"/>
      <c r="Z357" s="126"/>
      <c r="AA357" s="129"/>
      <c r="AB357" s="372">
        <v>2207</v>
      </c>
    </row>
    <row r="358" spans="1:31" ht="12.6" customHeight="1" x14ac:dyDescent="0.2">
      <c r="A358" s="92"/>
      <c r="B358" s="629" t="s">
        <v>229</v>
      </c>
      <c r="C358" s="630"/>
      <c r="D358" s="630"/>
      <c r="E358" s="630"/>
      <c r="F358" s="352">
        <f>0.3*X2</f>
        <v>375</v>
      </c>
      <c r="G358" s="325">
        <f>+F358*$X$1</f>
        <v>375</v>
      </c>
      <c r="H358" s="90"/>
      <c r="I358" s="90"/>
      <c r="J358" s="90"/>
      <c r="K358" s="273"/>
      <c r="L358" s="427">
        <f t="shared" si="1009"/>
        <v>535</v>
      </c>
      <c r="M358" s="271">
        <f t="shared" si="1010"/>
        <v>535</v>
      </c>
      <c r="N358" s="427">
        <f t="shared" si="1011"/>
        <v>475</v>
      </c>
      <c r="O358" s="271">
        <f t="shared" si="1012"/>
        <v>475</v>
      </c>
      <c r="P358" s="427">
        <f t="shared" si="1013"/>
        <v>450</v>
      </c>
      <c r="Q358" s="271">
        <f t="shared" si="1014"/>
        <v>450</v>
      </c>
      <c r="R358" s="427">
        <f t="shared" si="1015"/>
        <v>440</v>
      </c>
      <c r="S358" s="271">
        <f t="shared" si="1016"/>
        <v>440</v>
      </c>
      <c r="T358" s="96">
        <f t="shared" si="1017"/>
        <v>425</v>
      </c>
      <c r="U358" s="286">
        <f t="shared" si="1018"/>
        <v>425</v>
      </c>
      <c r="V358" s="96">
        <f t="shared" si="1019"/>
        <v>413</v>
      </c>
      <c r="W358" s="286">
        <f t="shared" si="1020"/>
        <v>413</v>
      </c>
      <c r="X358" s="126"/>
      <c r="Y358" s="126"/>
      <c r="Z358" s="126"/>
      <c r="AA358" s="129"/>
      <c r="AB358" s="372">
        <v>2209</v>
      </c>
    </row>
    <row r="359" spans="1:31" ht="12.6" customHeight="1" x14ac:dyDescent="0.2">
      <c r="A359" s="92"/>
      <c r="B359" s="1173" t="s">
        <v>230</v>
      </c>
      <c r="C359" s="1174"/>
      <c r="D359" s="1174"/>
      <c r="E359" s="1174"/>
      <c r="F359" s="351">
        <f>4.17*X2</f>
        <v>5212.5</v>
      </c>
      <c r="G359" s="270">
        <f t="shared" ref="G359" si="1023">+F359*$X$1</f>
        <v>5212.5</v>
      </c>
      <c r="H359" s="569">
        <f t="shared" ref="H359" si="1024">F359+600</f>
        <v>5812.5</v>
      </c>
      <c r="I359" s="270">
        <f t="shared" ref="I359" si="1025">+H359*$X$1</f>
        <v>5812.5</v>
      </c>
      <c r="J359" s="569">
        <f t="shared" ref="J359" si="1026">F359+200</f>
        <v>5412.5</v>
      </c>
      <c r="K359" s="270">
        <f t="shared" ref="K359" si="1027">+J359*$X$1</f>
        <v>5412.5</v>
      </c>
      <c r="L359" s="569">
        <f>F359+150</f>
        <v>5362.5</v>
      </c>
      <c r="M359" s="270">
        <f t="shared" si="1010"/>
        <v>5362.5</v>
      </c>
      <c r="N359" s="569">
        <f>F359+110</f>
        <v>5322.5</v>
      </c>
      <c r="O359" s="270">
        <f>+N359*$X$1</f>
        <v>5322.5</v>
      </c>
      <c r="P359" s="569">
        <f>F359+90</f>
        <v>5302.5</v>
      </c>
      <c r="Q359" s="270">
        <f t="shared" si="1014"/>
        <v>5302.5</v>
      </c>
      <c r="R359" s="569">
        <f>F359+70</f>
        <v>5282.5</v>
      </c>
      <c r="S359" s="270">
        <f>+R359*$X$1</f>
        <v>5282.5</v>
      </c>
      <c r="T359" s="569">
        <f>F359+56</f>
        <v>5268.5</v>
      </c>
      <c r="U359" s="270">
        <f t="shared" si="1018"/>
        <v>5268.5</v>
      </c>
      <c r="V359" s="569">
        <f>F359+49</f>
        <v>5261.5</v>
      </c>
      <c r="W359" s="270">
        <f t="shared" si="1020"/>
        <v>5261.5</v>
      </c>
      <c r="X359" s="641"/>
      <c r="Y359" s="642"/>
      <c r="Z359" s="642"/>
      <c r="AA359" s="643"/>
      <c r="AB359" s="372">
        <v>2216</v>
      </c>
      <c r="AC359" s="64"/>
    </row>
    <row r="360" spans="1:31" ht="12.6" customHeight="1" x14ac:dyDescent="0.2">
      <c r="A360" s="98"/>
      <c r="B360" s="696" t="s">
        <v>344</v>
      </c>
      <c r="C360" s="697"/>
      <c r="D360" s="697"/>
      <c r="E360" s="697"/>
      <c r="F360" s="495">
        <v>1350</v>
      </c>
      <c r="G360" s="491">
        <f>+F360*$X$1</f>
        <v>1350</v>
      </c>
      <c r="H360" s="566">
        <f t="shared" ref="H360" si="1028">F360+600</f>
        <v>1950</v>
      </c>
      <c r="I360" s="491">
        <f t="shared" ref="I360" si="1029">+H360*$X$1</f>
        <v>1950</v>
      </c>
      <c r="J360" s="566">
        <f t="shared" ref="J360" si="1030">F360+200</f>
        <v>1550</v>
      </c>
      <c r="K360" s="491">
        <f t="shared" ref="K360" si="1031">+J360*$X$1</f>
        <v>1550</v>
      </c>
      <c r="L360" s="566">
        <f>F360+150</f>
        <v>1500</v>
      </c>
      <c r="M360" s="491">
        <f t="shared" ref="M360" si="1032">+L360*$X$1</f>
        <v>1500</v>
      </c>
      <c r="N360" s="566">
        <f>F360+110</f>
        <v>1460</v>
      </c>
      <c r="O360" s="491">
        <f>+N360*$X$1</f>
        <v>1460</v>
      </c>
      <c r="P360" s="493"/>
      <c r="Q360" s="1181" t="s">
        <v>148</v>
      </c>
      <c r="R360" s="1182"/>
      <c r="S360" s="1182"/>
      <c r="T360" s="1182"/>
      <c r="U360" s="1182"/>
      <c r="V360" s="1182"/>
      <c r="W360" s="1183"/>
      <c r="X360" s="641"/>
      <c r="Y360" s="642"/>
      <c r="Z360" s="642"/>
      <c r="AA360" s="643"/>
      <c r="AB360" s="372">
        <v>2222</v>
      </c>
    </row>
    <row r="361" spans="1:31" ht="12.6" customHeight="1" x14ac:dyDescent="0.2">
      <c r="A361" s="18"/>
      <c r="B361" s="752" t="s">
        <v>658</v>
      </c>
      <c r="C361" s="753"/>
      <c r="D361" s="753"/>
      <c r="E361" s="754"/>
      <c r="F361" s="356">
        <f>0.59*X2</f>
        <v>737.5</v>
      </c>
      <c r="G361" s="270">
        <f t="shared" ref="G361" si="1033">+F361*$X$1</f>
        <v>737.5</v>
      </c>
      <c r="H361" s="265"/>
      <c r="I361" s="265"/>
      <c r="J361" s="569"/>
      <c r="K361" s="569"/>
      <c r="L361" s="569">
        <f t="shared" ref="L361:L363" si="1034">F361+160</f>
        <v>897.5</v>
      </c>
      <c r="M361" s="270">
        <f t="shared" ref="M361:M364" si="1035">+L361*$X$1</f>
        <v>897.5</v>
      </c>
      <c r="N361" s="569">
        <f t="shared" ref="N361:N363" si="1036">F361+100</f>
        <v>837.5</v>
      </c>
      <c r="O361" s="270">
        <f t="shared" ref="O361:O364" si="1037">+N361*$X$1</f>
        <v>837.5</v>
      </c>
      <c r="P361" s="569">
        <f t="shared" ref="P361:P363" si="1038">F361+75</f>
        <v>812.5</v>
      </c>
      <c r="Q361" s="270">
        <f t="shared" ref="Q361:Q364" si="1039">+P361*$X$1</f>
        <v>812.5</v>
      </c>
      <c r="R361" s="569">
        <f t="shared" ref="R361:R363" si="1040">F361+65</f>
        <v>802.5</v>
      </c>
      <c r="S361" s="270">
        <f t="shared" ref="S361:S364" si="1041">+R361*$X$1</f>
        <v>802.5</v>
      </c>
      <c r="T361" s="97">
        <f t="shared" ref="T361:T363" si="1042">F361+50</f>
        <v>787.5</v>
      </c>
      <c r="U361" s="246">
        <f t="shared" ref="U361:U364" si="1043">+T361*$X$1</f>
        <v>787.5</v>
      </c>
      <c r="V361" s="97">
        <f t="shared" ref="V361:V363" si="1044">F361+38</f>
        <v>775.5</v>
      </c>
      <c r="W361" s="246">
        <f t="shared" ref="W361:W363" si="1045">+V361*$X$1</f>
        <v>775.5</v>
      </c>
      <c r="X361" s="412"/>
      <c r="Y361" s="411"/>
      <c r="Z361" s="411"/>
      <c r="AA361" s="412"/>
      <c r="AB361" s="372">
        <v>2231</v>
      </c>
      <c r="AC361" s="64"/>
    </row>
    <row r="362" spans="1:31" ht="12.6" customHeight="1" x14ac:dyDescent="0.2">
      <c r="A362" s="18"/>
      <c r="B362" s="688" t="s">
        <v>670</v>
      </c>
      <c r="C362" s="689"/>
      <c r="D362" s="689"/>
      <c r="E362" s="690"/>
      <c r="F362" s="355">
        <f>0.57*X2</f>
        <v>712.49999999999989</v>
      </c>
      <c r="G362" s="271">
        <f t="shared" ref="G362" si="1046">+F362*$X$1</f>
        <v>712.49999999999989</v>
      </c>
      <c r="H362" s="264"/>
      <c r="I362" s="264"/>
      <c r="J362" s="427"/>
      <c r="K362" s="427"/>
      <c r="L362" s="427">
        <f t="shared" si="1034"/>
        <v>872.49999999999989</v>
      </c>
      <c r="M362" s="271">
        <f t="shared" si="1035"/>
        <v>872.49999999999989</v>
      </c>
      <c r="N362" s="427">
        <f t="shared" si="1036"/>
        <v>812.49999999999989</v>
      </c>
      <c r="O362" s="271">
        <f t="shared" si="1037"/>
        <v>812.49999999999989</v>
      </c>
      <c r="P362" s="427">
        <f t="shared" si="1038"/>
        <v>787.49999999999989</v>
      </c>
      <c r="Q362" s="271">
        <f t="shared" si="1039"/>
        <v>787.49999999999989</v>
      </c>
      <c r="R362" s="427">
        <f t="shared" si="1040"/>
        <v>777.49999999999989</v>
      </c>
      <c r="S362" s="271">
        <f t="shared" si="1041"/>
        <v>777.49999999999989</v>
      </c>
      <c r="T362" s="96">
        <f t="shared" si="1042"/>
        <v>762.49999999999989</v>
      </c>
      <c r="U362" s="286">
        <f t="shared" si="1043"/>
        <v>762.49999999999989</v>
      </c>
      <c r="V362" s="96">
        <f t="shared" si="1044"/>
        <v>750.49999999999989</v>
      </c>
      <c r="W362" s="286">
        <f t="shared" si="1045"/>
        <v>750.49999999999989</v>
      </c>
      <c r="X362" s="417"/>
      <c r="Y362" s="416"/>
      <c r="Z362" s="416"/>
      <c r="AA362" s="417"/>
      <c r="AB362" s="372">
        <v>2232</v>
      </c>
      <c r="AC362" s="64"/>
    </row>
    <row r="363" spans="1:31" ht="12.6" customHeight="1" x14ac:dyDescent="0.2">
      <c r="A363" s="18"/>
      <c r="B363" s="752" t="s">
        <v>741</v>
      </c>
      <c r="C363" s="753"/>
      <c r="D363" s="753"/>
      <c r="E363" s="754"/>
      <c r="F363" s="356">
        <f>0.98*X2</f>
        <v>1225</v>
      </c>
      <c r="G363" s="270">
        <f t="shared" ref="G363" si="1047">+F363*$X$1</f>
        <v>1225</v>
      </c>
      <c r="H363" s="265"/>
      <c r="I363" s="265"/>
      <c r="J363" s="569"/>
      <c r="K363" s="569"/>
      <c r="L363" s="569">
        <f t="shared" si="1034"/>
        <v>1385</v>
      </c>
      <c r="M363" s="270">
        <f t="shared" si="1035"/>
        <v>1385</v>
      </c>
      <c r="N363" s="569">
        <f t="shared" si="1036"/>
        <v>1325</v>
      </c>
      <c r="O363" s="270">
        <f t="shared" si="1037"/>
        <v>1325</v>
      </c>
      <c r="P363" s="569">
        <f t="shared" si="1038"/>
        <v>1300</v>
      </c>
      <c r="Q363" s="270">
        <f t="shared" si="1039"/>
        <v>1300</v>
      </c>
      <c r="R363" s="569">
        <f t="shared" si="1040"/>
        <v>1290</v>
      </c>
      <c r="S363" s="270">
        <f t="shared" si="1041"/>
        <v>1290</v>
      </c>
      <c r="T363" s="97">
        <f t="shared" si="1042"/>
        <v>1275</v>
      </c>
      <c r="U363" s="246">
        <f t="shared" si="1043"/>
        <v>1275</v>
      </c>
      <c r="V363" s="97">
        <f t="shared" si="1044"/>
        <v>1263</v>
      </c>
      <c r="W363" s="246">
        <f t="shared" si="1045"/>
        <v>1263</v>
      </c>
      <c r="X363" s="417"/>
      <c r="Y363" s="416"/>
      <c r="Z363" s="416"/>
      <c r="AA363" s="417"/>
      <c r="AB363" s="372">
        <v>2233</v>
      </c>
      <c r="AC363" s="64"/>
    </row>
    <row r="364" spans="1:31" ht="12.6" customHeight="1" x14ac:dyDescent="0.2">
      <c r="A364" s="92"/>
      <c r="B364" s="696" t="s">
        <v>742</v>
      </c>
      <c r="C364" s="1168"/>
      <c r="D364" s="1168"/>
      <c r="E364" s="1168"/>
      <c r="F364" s="495">
        <f>0.4*X2</f>
        <v>500</v>
      </c>
      <c r="G364" s="491">
        <f t="shared" ref="G364:G374" si="1048">+F364*$X$1</f>
        <v>500</v>
      </c>
      <c r="H364" s="566"/>
      <c r="I364" s="491"/>
      <c r="J364" s="566"/>
      <c r="K364" s="491"/>
      <c r="L364" s="566">
        <f>F364+240</f>
        <v>740</v>
      </c>
      <c r="M364" s="491">
        <f t="shared" si="1035"/>
        <v>740</v>
      </c>
      <c r="N364" s="566">
        <f>F364+160</f>
        <v>660</v>
      </c>
      <c r="O364" s="491">
        <f t="shared" si="1037"/>
        <v>660</v>
      </c>
      <c r="P364" s="566">
        <f>F364+120</f>
        <v>620</v>
      </c>
      <c r="Q364" s="491">
        <f t="shared" si="1039"/>
        <v>620</v>
      </c>
      <c r="R364" s="566">
        <f>F364+100</f>
        <v>600</v>
      </c>
      <c r="S364" s="491">
        <f t="shared" si="1041"/>
        <v>600</v>
      </c>
      <c r="T364" s="586">
        <f>F364+80</f>
        <v>580</v>
      </c>
      <c r="U364" s="585">
        <f t="shared" si="1043"/>
        <v>580</v>
      </c>
      <c r="V364" s="586"/>
      <c r="W364" s="585"/>
      <c r="X364" s="130"/>
      <c r="Y364" s="126"/>
      <c r="Z364" s="126"/>
      <c r="AA364" s="129"/>
      <c r="AB364" s="372">
        <v>2234</v>
      </c>
    </row>
    <row r="365" spans="1:31" ht="12.6" customHeight="1" x14ac:dyDescent="0.2">
      <c r="A365" s="92"/>
      <c r="B365" s="691" t="s">
        <v>743</v>
      </c>
      <c r="C365" s="951"/>
      <c r="D365" s="951"/>
      <c r="E365" s="951"/>
      <c r="F365" s="351">
        <f>0.56*X2</f>
        <v>700.00000000000011</v>
      </c>
      <c r="G365" s="270">
        <f t="shared" si="1048"/>
        <v>700.00000000000011</v>
      </c>
      <c r="H365" s="265"/>
      <c r="I365" s="320"/>
      <c r="J365" s="569"/>
      <c r="K365" s="270"/>
      <c r="L365" s="569">
        <f>F365+240</f>
        <v>940.00000000000011</v>
      </c>
      <c r="M365" s="270">
        <f t="shared" ref="M365:M371" si="1049">+L365*$X$1</f>
        <v>940.00000000000011</v>
      </c>
      <c r="N365" s="569">
        <f>F365+160</f>
        <v>860.00000000000011</v>
      </c>
      <c r="O365" s="270">
        <f t="shared" ref="O365:O377" si="1050">+N365*$X$1</f>
        <v>860.00000000000011</v>
      </c>
      <c r="P365" s="569">
        <f>F365+120</f>
        <v>820.00000000000011</v>
      </c>
      <c r="Q365" s="270">
        <f t="shared" ref="Q365:Q377" si="1051">+P365*$X$1</f>
        <v>820.00000000000011</v>
      </c>
      <c r="R365" s="569">
        <f>F365+100</f>
        <v>800.00000000000011</v>
      </c>
      <c r="S365" s="270">
        <f t="shared" ref="S365:S377" si="1052">+R365*$X$1</f>
        <v>800.00000000000011</v>
      </c>
      <c r="T365" s="97">
        <f>F365+80</f>
        <v>780.00000000000011</v>
      </c>
      <c r="U365" s="246">
        <f t="shared" ref="U365:U372" si="1053">+T365*$X$1</f>
        <v>780.00000000000011</v>
      </c>
      <c r="V365" s="97">
        <f>F365+63</f>
        <v>763.00000000000011</v>
      </c>
      <c r="W365" s="246">
        <f t="shared" ref="W365:W366" si="1054">+V365*$X$1</f>
        <v>763.00000000000011</v>
      </c>
      <c r="X365" s="130"/>
      <c r="Y365" s="126"/>
      <c r="Z365" s="126"/>
      <c r="AA365" s="129"/>
      <c r="AB365" s="372" t="s">
        <v>231</v>
      </c>
    </row>
    <row r="366" spans="1:31" ht="12.6" customHeight="1" x14ac:dyDescent="0.2">
      <c r="A366" s="18"/>
      <c r="B366" s="688" t="s">
        <v>777</v>
      </c>
      <c r="C366" s="689"/>
      <c r="D366" s="689"/>
      <c r="E366" s="690"/>
      <c r="F366" s="355">
        <f>0.372*X2</f>
        <v>465</v>
      </c>
      <c r="G366" s="271">
        <f t="shared" si="1048"/>
        <v>465</v>
      </c>
      <c r="H366" s="264"/>
      <c r="I366" s="264"/>
      <c r="J366" s="427"/>
      <c r="K366" s="427"/>
      <c r="L366" s="427">
        <f t="shared" ref="L366" si="1055">F366+160</f>
        <v>625</v>
      </c>
      <c r="M366" s="271">
        <f t="shared" ref="M366" si="1056">+L366*$X$1</f>
        <v>625</v>
      </c>
      <c r="N366" s="427">
        <f t="shared" ref="N366" si="1057">F366+100</f>
        <v>565</v>
      </c>
      <c r="O366" s="271">
        <f t="shared" ref="O366" si="1058">+N366*$X$1</f>
        <v>565</v>
      </c>
      <c r="P366" s="427">
        <f t="shared" ref="P366" si="1059">F366+75</f>
        <v>540</v>
      </c>
      <c r="Q366" s="271">
        <f t="shared" ref="Q366" si="1060">+P366*$X$1</f>
        <v>540</v>
      </c>
      <c r="R366" s="427">
        <f t="shared" ref="R366" si="1061">F366+65</f>
        <v>530</v>
      </c>
      <c r="S366" s="271">
        <f t="shared" ref="S366" si="1062">+R366*$X$1</f>
        <v>530</v>
      </c>
      <c r="T366" s="96">
        <f t="shared" ref="T366" si="1063">F366+50</f>
        <v>515</v>
      </c>
      <c r="U366" s="286">
        <f t="shared" ref="U366" si="1064">+T366*$X$1</f>
        <v>515</v>
      </c>
      <c r="V366" s="96">
        <f t="shared" ref="V366" si="1065">F366+38</f>
        <v>503</v>
      </c>
      <c r="W366" s="286">
        <f t="shared" si="1054"/>
        <v>503</v>
      </c>
      <c r="X366" s="431"/>
      <c r="Y366" s="432"/>
      <c r="Z366" s="432"/>
      <c r="AA366" s="431"/>
      <c r="AB366" s="372">
        <v>2235</v>
      </c>
      <c r="AC366" s="64"/>
    </row>
    <row r="367" spans="1:31" ht="12.6" customHeight="1" x14ac:dyDescent="0.2">
      <c r="A367" s="18"/>
      <c r="B367" s="752" t="s">
        <v>811</v>
      </c>
      <c r="C367" s="753"/>
      <c r="D367" s="753"/>
      <c r="E367" s="754"/>
      <c r="F367" s="356">
        <f>0.71*X2</f>
        <v>887.5</v>
      </c>
      <c r="G367" s="270">
        <f t="shared" ref="G367" si="1066">+F367*$X$1</f>
        <v>887.5</v>
      </c>
      <c r="H367" s="265"/>
      <c r="I367" s="265"/>
      <c r="J367" s="569"/>
      <c r="K367" s="569"/>
      <c r="L367" s="569">
        <f t="shared" ref="L367:L371" si="1067">F367+160</f>
        <v>1047.5</v>
      </c>
      <c r="M367" s="270">
        <f t="shared" si="1049"/>
        <v>1047.5</v>
      </c>
      <c r="N367" s="569">
        <f t="shared" ref="N367:N372" si="1068">F367+100</f>
        <v>987.5</v>
      </c>
      <c r="O367" s="270">
        <f t="shared" si="1050"/>
        <v>987.5</v>
      </c>
      <c r="P367" s="569">
        <f t="shared" ref="P367:P372" si="1069">F367+75</f>
        <v>962.5</v>
      </c>
      <c r="Q367" s="270">
        <f t="shared" si="1051"/>
        <v>962.5</v>
      </c>
      <c r="R367" s="569">
        <f t="shared" ref="R367:R372" si="1070">F367+65</f>
        <v>952.5</v>
      </c>
      <c r="S367" s="270">
        <f t="shared" si="1052"/>
        <v>952.5</v>
      </c>
      <c r="T367" s="97">
        <f t="shared" ref="T367:T372" si="1071">F367+50</f>
        <v>937.5</v>
      </c>
      <c r="U367" s="246">
        <f t="shared" si="1053"/>
        <v>937.5</v>
      </c>
      <c r="V367" s="97">
        <f t="shared" ref="V367:V372" si="1072">F367+38</f>
        <v>925.5</v>
      </c>
      <c r="W367" s="246">
        <f t="shared" ref="W367:W372" si="1073">+V367*$X$1</f>
        <v>925.5</v>
      </c>
      <c r="X367" s="471"/>
      <c r="Y367" s="472"/>
      <c r="Z367" s="472"/>
      <c r="AA367" s="471"/>
      <c r="AB367" s="372">
        <v>2236</v>
      </c>
      <c r="AC367" s="64"/>
    </row>
    <row r="368" spans="1:31" ht="12.6" customHeight="1" x14ac:dyDescent="0.2">
      <c r="A368" s="92"/>
      <c r="B368" s="629" t="s">
        <v>232</v>
      </c>
      <c r="C368" s="638"/>
      <c r="D368" s="638"/>
      <c r="E368" s="638"/>
      <c r="F368" s="352">
        <f>0.42*X2</f>
        <v>525</v>
      </c>
      <c r="G368" s="271">
        <f t="shared" si="1048"/>
        <v>525</v>
      </c>
      <c r="H368" s="264"/>
      <c r="I368" s="321"/>
      <c r="J368" s="427"/>
      <c r="K368" s="271"/>
      <c r="L368" s="427">
        <f t="shared" si="1067"/>
        <v>685</v>
      </c>
      <c r="M368" s="271">
        <f t="shared" si="1049"/>
        <v>685</v>
      </c>
      <c r="N368" s="427">
        <f t="shared" si="1068"/>
        <v>625</v>
      </c>
      <c r="O368" s="271">
        <f t="shared" si="1050"/>
        <v>625</v>
      </c>
      <c r="P368" s="427">
        <f t="shared" si="1069"/>
        <v>600</v>
      </c>
      <c r="Q368" s="271">
        <f t="shared" si="1051"/>
        <v>600</v>
      </c>
      <c r="R368" s="427">
        <f t="shared" si="1070"/>
        <v>590</v>
      </c>
      <c r="S368" s="271">
        <f t="shared" si="1052"/>
        <v>590</v>
      </c>
      <c r="T368" s="96">
        <f t="shared" si="1071"/>
        <v>575</v>
      </c>
      <c r="U368" s="286">
        <f t="shared" si="1053"/>
        <v>575</v>
      </c>
      <c r="V368" s="96">
        <f t="shared" si="1072"/>
        <v>563</v>
      </c>
      <c r="W368" s="286">
        <f t="shared" si="1073"/>
        <v>563</v>
      </c>
      <c r="X368" s="130"/>
      <c r="Y368" s="126"/>
      <c r="Z368" s="126"/>
      <c r="AA368" s="129"/>
      <c r="AB368" s="372">
        <v>2238</v>
      </c>
    </row>
    <row r="369" spans="1:29" ht="12.6" customHeight="1" x14ac:dyDescent="0.2">
      <c r="A369" s="98"/>
      <c r="B369" s="633" t="s">
        <v>233</v>
      </c>
      <c r="C369" s="634"/>
      <c r="D369" s="634"/>
      <c r="E369" s="635"/>
      <c r="F369" s="351">
        <f>0.428*X2</f>
        <v>535</v>
      </c>
      <c r="G369" s="270">
        <f t="shared" si="1048"/>
        <v>535</v>
      </c>
      <c r="H369" s="265"/>
      <c r="I369" s="320"/>
      <c r="J369" s="569"/>
      <c r="K369" s="270"/>
      <c r="L369" s="569">
        <f t="shared" si="1067"/>
        <v>695</v>
      </c>
      <c r="M369" s="270">
        <f t="shared" si="1049"/>
        <v>695</v>
      </c>
      <c r="N369" s="569">
        <f t="shared" si="1068"/>
        <v>635</v>
      </c>
      <c r="O369" s="270">
        <f t="shared" si="1050"/>
        <v>635</v>
      </c>
      <c r="P369" s="569">
        <f t="shared" si="1069"/>
        <v>610</v>
      </c>
      <c r="Q369" s="270">
        <f t="shared" si="1051"/>
        <v>610</v>
      </c>
      <c r="R369" s="569">
        <f t="shared" si="1070"/>
        <v>600</v>
      </c>
      <c r="S369" s="270">
        <f t="shared" si="1052"/>
        <v>600</v>
      </c>
      <c r="T369" s="97">
        <f t="shared" si="1071"/>
        <v>585</v>
      </c>
      <c r="U369" s="246">
        <f t="shared" si="1053"/>
        <v>585</v>
      </c>
      <c r="V369" s="97">
        <f t="shared" si="1072"/>
        <v>573</v>
      </c>
      <c r="W369" s="246">
        <f t="shared" si="1073"/>
        <v>573</v>
      </c>
      <c r="X369" s="130"/>
      <c r="Y369" s="126"/>
      <c r="Z369" s="126"/>
      <c r="AA369" s="129"/>
      <c r="AB369" s="372">
        <v>2239</v>
      </c>
    </row>
    <row r="370" spans="1:29" ht="12.6" customHeight="1" x14ac:dyDescent="0.2">
      <c r="A370" s="18"/>
      <c r="B370" s="631" t="s">
        <v>919</v>
      </c>
      <c r="C370" s="632"/>
      <c r="D370" s="632"/>
      <c r="E370" s="632"/>
      <c r="F370" s="352">
        <f>0.431*X2</f>
        <v>538.75</v>
      </c>
      <c r="G370" s="271">
        <f t="shared" si="1048"/>
        <v>538.75</v>
      </c>
      <c r="H370" s="264"/>
      <c r="I370" s="321"/>
      <c r="J370" s="427"/>
      <c r="K370" s="271"/>
      <c r="L370" s="427">
        <f t="shared" si="1067"/>
        <v>698.75</v>
      </c>
      <c r="M370" s="271">
        <f t="shared" si="1049"/>
        <v>698.75</v>
      </c>
      <c r="N370" s="427">
        <f t="shared" si="1068"/>
        <v>638.75</v>
      </c>
      <c r="O370" s="271">
        <f t="shared" si="1050"/>
        <v>638.75</v>
      </c>
      <c r="P370" s="427">
        <f t="shared" si="1069"/>
        <v>613.75</v>
      </c>
      <c r="Q370" s="271">
        <f t="shared" si="1051"/>
        <v>613.75</v>
      </c>
      <c r="R370" s="427">
        <f t="shared" si="1070"/>
        <v>603.75</v>
      </c>
      <c r="S370" s="271">
        <f t="shared" si="1052"/>
        <v>603.75</v>
      </c>
      <c r="T370" s="96">
        <f t="shared" si="1071"/>
        <v>588.75</v>
      </c>
      <c r="U370" s="286">
        <f t="shared" si="1053"/>
        <v>588.75</v>
      </c>
      <c r="V370" s="96">
        <f t="shared" si="1072"/>
        <v>576.75</v>
      </c>
      <c r="W370" s="286">
        <f t="shared" si="1073"/>
        <v>576.75</v>
      </c>
      <c r="X370" s="130"/>
      <c r="Y370" s="126"/>
      <c r="Z370" s="126"/>
      <c r="AA370" s="129"/>
      <c r="AB370" s="372">
        <v>2240</v>
      </c>
    </row>
    <row r="371" spans="1:29" ht="12.6" customHeight="1" x14ac:dyDescent="0.2">
      <c r="A371" s="18"/>
      <c r="B371" s="631" t="s">
        <v>846</v>
      </c>
      <c r="C371" s="632"/>
      <c r="D371" s="632"/>
      <c r="E371" s="632"/>
      <c r="F371" s="351">
        <f>0.34*X2</f>
        <v>425.00000000000006</v>
      </c>
      <c r="G371" s="270">
        <f t="shared" ref="G371" si="1074">+F371*$X$1</f>
        <v>425.00000000000006</v>
      </c>
      <c r="H371" s="265"/>
      <c r="I371" s="320"/>
      <c r="J371" s="569"/>
      <c r="K371" s="270"/>
      <c r="L371" s="569">
        <f t="shared" si="1067"/>
        <v>585</v>
      </c>
      <c r="M371" s="270">
        <f t="shared" si="1049"/>
        <v>585</v>
      </c>
      <c r="N371" s="569">
        <f t="shared" si="1068"/>
        <v>525</v>
      </c>
      <c r="O371" s="270">
        <f t="shared" si="1050"/>
        <v>525</v>
      </c>
      <c r="P371" s="569">
        <f t="shared" si="1069"/>
        <v>500.00000000000006</v>
      </c>
      <c r="Q371" s="270">
        <f t="shared" si="1051"/>
        <v>500.00000000000006</v>
      </c>
      <c r="R371" s="569">
        <f t="shared" si="1070"/>
        <v>490.00000000000006</v>
      </c>
      <c r="S371" s="270">
        <f t="shared" si="1052"/>
        <v>490.00000000000006</v>
      </c>
      <c r="T371" s="97">
        <f t="shared" si="1071"/>
        <v>475.00000000000006</v>
      </c>
      <c r="U371" s="246">
        <f t="shared" si="1053"/>
        <v>475.00000000000006</v>
      </c>
      <c r="V371" s="97">
        <f t="shared" si="1072"/>
        <v>463.00000000000006</v>
      </c>
      <c r="W371" s="246">
        <f t="shared" si="1073"/>
        <v>463.00000000000006</v>
      </c>
      <c r="X371" s="130"/>
      <c r="Y371" s="126"/>
      <c r="Z371" s="126"/>
      <c r="AA371" s="129"/>
      <c r="AB371" s="372" t="s">
        <v>858</v>
      </c>
    </row>
    <row r="372" spans="1:29" ht="12.6" customHeight="1" x14ac:dyDescent="0.2">
      <c r="A372" s="18"/>
      <c r="B372" s="629" t="s">
        <v>783</v>
      </c>
      <c r="C372" s="638"/>
      <c r="D372" s="638"/>
      <c r="E372" s="638"/>
      <c r="F372" s="352">
        <f>0.21*X2</f>
        <v>262.5</v>
      </c>
      <c r="G372" s="271">
        <f t="shared" ref="G372:G373" si="1075">+F372*$X$1</f>
        <v>262.5</v>
      </c>
      <c r="H372" s="264"/>
      <c r="I372" s="321"/>
      <c r="J372" s="427"/>
      <c r="K372" s="271"/>
      <c r="L372" s="427"/>
      <c r="M372" s="271"/>
      <c r="N372" s="427">
        <f t="shared" si="1068"/>
        <v>362.5</v>
      </c>
      <c r="O372" s="271">
        <f t="shared" si="1050"/>
        <v>362.5</v>
      </c>
      <c r="P372" s="427">
        <f t="shared" si="1069"/>
        <v>337.5</v>
      </c>
      <c r="Q372" s="271">
        <f t="shared" si="1051"/>
        <v>337.5</v>
      </c>
      <c r="R372" s="427">
        <f t="shared" si="1070"/>
        <v>327.5</v>
      </c>
      <c r="S372" s="271">
        <f t="shared" si="1052"/>
        <v>327.5</v>
      </c>
      <c r="T372" s="96">
        <f t="shared" si="1071"/>
        <v>312.5</v>
      </c>
      <c r="U372" s="286">
        <f t="shared" si="1053"/>
        <v>312.5</v>
      </c>
      <c r="V372" s="96">
        <f t="shared" si="1072"/>
        <v>300.5</v>
      </c>
      <c r="W372" s="286">
        <f t="shared" si="1073"/>
        <v>300.5</v>
      </c>
      <c r="X372" s="130"/>
      <c r="Y372" s="126"/>
      <c r="Z372" s="126"/>
      <c r="AA372" s="129"/>
      <c r="AB372" s="372">
        <v>2241</v>
      </c>
    </row>
    <row r="373" spans="1:29" ht="12.6" customHeight="1" x14ac:dyDescent="0.2">
      <c r="A373" s="18"/>
      <c r="B373" s="691" t="s">
        <v>948</v>
      </c>
      <c r="C373" s="692"/>
      <c r="D373" s="692"/>
      <c r="E373" s="692"/>
      <c r="F373" s="351">
        <f>0.29*X2</f>
        <v>362.5</v>
      </c>
      <c r="G373" s="270">
        <f t="shared" si="1075"/>
        <v>362.5</v>
      </c>
      <c r="H373" s="265"/>
      <c r="I373" s="320"/>
      <c r="J373" s="569"/>
      <c r="K373" s="270"/>
      <c r="L373" s="569">
        <f t="shared" ref="L373:L377" si="1076">F373+160</f>
        <v>522.5</v>
      </c>
      <c r="M373" s="270">
        <f t="shared" ref="M373:M377" si="1077">+L373*$X$1</f>
        <v>522.5</v>
      </c>
      <c r="N373" s="569">
        <f t="shared" ref="N373:N377" si="1078">F373+100</f>
        <v>462.5</v>
      </c>
      <c r="O373" s="270">
        <f t="shared" si="1050"/>
        <v>462.5</v>
      </c>
      <c r="P373" s="569">
        <f t="shared" ref="P373:P377" si="1079">F373+75</f>
        <v>437.5</v>
      </c>
      <c r="Q373" s="270">
        <f t="shared" si="1051"/>
        <v>437.5</v>
      </c>
      <c r="R373" s="569">
        <f t="shared" ref="R373:R377" si="1080">F373+65</f>
        <v>427.5</v>
      </c>
      <c r="S373" s="270">
        <f t="shared" si="1052"/>
        <v>427.5</v>
      </c>
      <c r="T373" s="97">
        <f t="shared" ref="T373:T377" si="1081">F373+50</f>
        <v>412.5</v>
      </c>
      <c r="U373" s="246">
        <f t="shared" ref="U373:U377" si="1082">+T373*$X$1</f>
        <v>412.5</v>
      </c>
      <c r="V373" s="97">
        <f t="shared" ref="V373:V377" si="1083">F373+38</f>
        <v>400.5</v>
      </c>
      <c r="W373" s="246">
        <f t="shared" ref="W373:W377" si="1084">+V373*$X$1</f>
        <v>400.5</v>
      </c>
      <c r="X373" s="130"/>
      <c r="Y373" s="126"/>
      <c r="Z373" s="126"/>
      <c r="AA373" s="129"/>
      <c r="AB373" s="372">
        <v>2242</v>
      </c>
    </row>
    <row r="374" spans="1:29" ht="12.6" customHeight="1" x14ac:dyDescent="0.2">
      <c r="A374" s="92"/>
      <c r="B374" s="696" t="s">
        <v>234</v>
      </c>
      <c r="C374" s="697"/>
      <c r="D374" s="697"/>
      <c r="E374" s="697"/>
      <c r="F374" s="495">
        <f>0.26*X2</f>
        <v>325</v>
      </c>
      <c r="G374" s="491">
        <f t="shared" si="1048"/>
        <v>325</v>
      </c>
      <c r="H374" s="492"/>
      <c r="I374" s="494"/>
      <c r="J374" s="566"/>
      <c r="K374" s="491"/>
      <c r="L374" s="566">
        <f t="shared" si="1076"/>
        <v>485</v>
      </c>
      <c r="M374" s="491">
        <f t="shared" si="1077"/>
        <v>485</v>
      </c>
      <c r="N374" s="566">
        <f t="shared" si="1078"/>
        <v>425</v>
      </c>
      <c r="O374" s="491">
        <f t="shared" si="1050"/>
        <v>425</v>
      </c>
      <c r="P374" s="566">
        <f t="shared" si="1079"/>
        <v>400</v>
      </c>
      <c r="Q374" s="491">
        <f t="shared" si="1051"/>
        <v>400</v>
      </c>
      <c r="R374" s="566">
        <f t="shared" si="1080"/>
        <v>390</v>
      </c>
      <c r="S374" s="491">
        <f t="shared" si="1052"/>
        <v>390</v>
      </c>
      <c r="T374" s="586">
        <f t="shared" si="1081"/>
        <v>375</v>
      </c>
      <c r="U374" s="585">
        <f t="shared" si="1082"/>
        <v>375</v>
      </c>
      <c r="V374" s="586">
        <f t="shared" si="1083"/>
        <v>363</v>
      </c>
      <c r="W374" s="585">
        <f t="shared" si="1084"/>
        <v>363</v>
      </c>
      <c r="X374" s="130"/>
      <c r="Y374" s="126"/>
      <c r="Z374" s="126"/>
      <c r="AA374" s="129"/>
      <c r="AB374" s="372">
        <v>2244</v>
      </c>
    </row>
    <row r="375" spans="1:29" ht="12.6" customHeight="1" x14ac:dyDescent="0.2">
      <c r="A375" s="18"/>
      <c r="B375" s="691" t="s">
        <v>786</v>
      </c>
      <c r="C375" s="692"/>
      <c r="D375" s="692"/>
      <c r="E375" s="692"/>
      <c r="F375" s="351">
        <f>0.29*X2</f>
        <v>362.5</v>
      </c>
      <c r="G375" s="270">
        <f t="shared" ref="G375:G376" si="1085">+F375*$X$1</f>
        <v>362.5</v>
      </c>
      <c r="H375" s="265"/>
      <c r="I375" s="320"/>
      <c r="J375" s="569"/>
      <c r="K375" s="270"/>
      <c r="L375" s="569">
        <f t="shared" si="1076"/>
        <v>522.5</v>
      </c>
      <c r="M375" s="270">
        <f t="shared" si="1077"/>
        <v>522.5</v>
      </c>
      <c r="N375" s="569">
        <f t="shared" si="1078"/>
        <v>462.5</v>
      </c>
      <c r="O375" s="270">
        <f t="shared" si="1050"/>
        <v>462.5</v>
      </c>
      <c r="P375" s="569">
        <f t="shared" si="1079"/>
        <v>437.5</v>
      </c>
      <c r="Q375" s="270">
        <f t="shared" si="1051"/>
        <v>437.5</v>
      </c>
      <c r="R375" s="569">
        <f t="shared" si="1080"/>
        <v>427.5</v>
      </c>
      <c r="S375" s="270">
        <f t="shared" si="1052"/>
        <v>427.5</v>
      </c>
      <c r="T375" s="97">
        <f t="shared" si="1081"/>
        <v>412.5</v>
      </c>
      <c r="U375" s="246">
        <f t="shared" si="1082"/>
        <v>412.5</v>
      </c>
      <c r="V375" s="97">
        <f t="shared" si="1083"/>
        <v>400.5</v>
      </c>
      <c r="W375" s="246">
        <f t="shared" si="1084"/>
        <v>400.5</v>
      </c>
      <c r="X375" s="130"/>
      <c r="Y375" s="126"/>
      <c r="Z375" s="126"/>
      <c r="AA375" s="129"/>
      <c r="AB375" s="372">
        <v>2245</v>
      </c>
    </row>
    <row r="376" spans="1:29" ht="12.6" customHeight="1" x14ac:dyDescent="0.2">
      <c r="A376" s="18"/>
      <c r="B376" s="629" t="s">
        <v>785</v>
      </c>
      <c r="C376" s="638"/>
      <c r="D376" s="638"/>
      <c r="E376" s="638"/>
      <c r="F376" s="352">
        <f>0.3*X2</f>
        <v>375</v>
      </c>
      <c r="G376" s="271">
        <f t="shared" si="1085"/>
        <v>375</v>
      </c>
      <c r="H376" s="264"/>
      <c r="I376" s="321"/>
      <c r="J376" s="427"/>
      <c r="K376" s="271"/>
      <c r="L376" s="427">
        <f t="shared" si="1076"/>
        <v>535</v>
      </c>
      <c r="M376" s="271">
        <f t="shared" si="1077"/>
        <v>535</v>
      </c>
      <c r="N376" s="427">
        <f t="shared" si="1078"/>
        <v>475</v>
      </c>
      <c r="O376" s="271">
        <f t="shared" si="1050"/>
        <v>475</v>
      </c>
      <c r="P376" s="427">
        <f t="shared" si="1079"/>
        <v>450</v>
      </c>
      <c r="Q376" s="271">
        <f t="shared" si="1051"/>
        <v>450</v>
      </c>
      <c r="R376" s="427">
        <f t="shared" si="1080"/>
        <v>440</v>
      </c>
      <c r="S376" s="271">
        <f t="shared" si="1052"/>
        <v>440</v>
      </c>
      <c r="T376" s="96">
        <f t="shared" si="1081"/>
        <v>425</v>
      </c>
      <c r="U376" s="286">
        <f t="shared" si="1082"/>
        <v>425</v>
      </c>
      <c r="V376" s="96">
        <f t="shared" si="1083"/>
        <v>413</v>
      </c>
      <c r="W376" s="286">
        <f t="shared" si="1084"/>
        <v>413</v>
      </c>
      <c r="X376" s="130"/>
      <c r="Y376" s="126"/>
      <c r="Z376" s="126"/>
      <c r="AA376" s="129"/>
      <c r="AB376" s="372" t="s">
        <v>784</v>
      </c>
    </row>
    <row r="377" spans="1:29" ht="12.6" customHeight="1" x14ac:dyDescent="0.2">
      <c r="A377" s="92"/>
      <c r="B377" s="691" t="s">
        <v>494</v>
      </c>
      <c r="C377" s="692"/>
      <c r="D377" s="692"/>
      <c r="E377" s="692"/>
      <c r="F377" s="309">
        <v>1340</v>
      </c>
      <c r="G377" s="270">
        <f>+F377*$X$1</f>
        <v>1340</v>
      </c>
      <c r="H377" s="265"/>
      <c r="I377" s="320"/>
      <c r="J377" s="569"/>
      <c r="K377" s="270"/>
      <c r="L377" s="569">
        <f t="shared" si="1076"/>
        <v>1500</v>
      </c>
      <c r="M377" s="270">
        <f t="shared" si="1077"/>
        <v>1500</v>
      </c>
      <c r="N377" s="569">
        <f t="shared" si="1078"/>
        <v>1440</v>
      </c>
      <c r="O377" s="270">
        <f t="shared" si="1050"/>
        <v>1440</v>
      </c>
      <c r="P377" s="569">
        <f t="shared" si="1079"/>
        <v>1415</v>
      </c>
      <c r="Q377" s="270">
        <f t="shared" si="1051"/>
        <v>1415</v>
      </c>
      <c r="R377" s="569">
        <f t="shared" si="1080"/>
        <v>1405</v>
      </c>
      <c r="S377" s="270">
        <f t="shared" si="1052"/>
        <v>1405</v>
      </c>
      <c r="T377" s="97">
        <f t="shared" si="1081"/>
        <v>1390</v>
      </c>
      <c r="U377" s="246">
        <f t="shared" si="1082"/>
        <v>1390</v>
      </c>
      <c r="V377" s="97">
        <f t="shared" si="1083"/>
        <v>1378</v>
      </c>
      <c r="W377" s="246">
        <f t="shared" si="1084"/>
        <v>1378</v>
      </c>
      <c r="X377" s="130"/>
      <c r="Y377" s="126"/>
      <c r="Z377" s="126"/>
      <c r="AA377" s="129"/>
      <c r="AB377" s="372">
        <v>2246</v>
      </c>
    </row>
    <row r="378" spans="1:29" ht="12.6" customHeight="1" x14ac:dyDescent="0.2">
      <c r="A378" s="18"/>
      <c r="B378" s="629" t="s">
        <v>793</v>
      </c>
      <c r="C378" s="638"/>
      <c r="D378" s="638"/>
      <c r="E378" s="638"/>
      <c r="F378" s="564">
        <f>2.7*X2</f>
        <v>3375</v>
      </c>
      <c r="G378" s="271">
        <f t="shared" ref="G378" si="1086">+F378*$X$1</f>
        <v>3375</v>
      </c>
      <c r="H378" s="264"/>
      <c r="I378" s="321"/>
      <c r="J378" s="427">
        <f>F378+210</f>
        <v>3585</v>
      </c>
      <c r="K378" s="271">
        <f t="shared" ref="K378" si="1087">+J378*$X$1</f>
        <v>3585</v>
      </c>
      <c r="L378" s="427">
        <f t="shared" ref="L378:L387" si="1088">F378+160</f>
        <v>3535</v>
      </c>
      <c r="M378" s="271">
        <f t="shared" ref="M378:M387" si="1089">+L378*$X$1</f>
        <v>3535</v>
      </c>
      <c r="N378" s="427">
        <f t="shared" ref="N378:N387" si="1090">F378+100</f>
        <v>3475</v>
      </c>
      <c r="O378" s="271">
        <f t="shared" ref="O378:O387" si="1091">+N378*$X$1</f>
        <v>3475</v>
      </c>
      <c r="P378" s="427">
        <f t="shared" ref="P378:P387" si="1092">F378+75</f>
        <v>3450</v>
      </c>
      <c r="Q378" s="271">
        <f t="shared" ref="Q378:Q387" si="1093">+P378*$X$1</f>
        <v>3450</v>
      </c>
      <c r="R378" s="427">
        <f t="shared" ref="R378:R387" si="1094">F378+65</f>
        <v>3440</v>
      </c>
      <c r="S378" s="271">
        <f t="shared" ref="S378:S387" si="1095">+R378*$X$1</f>
        <v>3440</v>
      </c>
      <c r="T378" s="96">
        <f t="shared" ref="T378:T387" si="1096">F378+50</f>
        <v>3425</v>
      </c>
      <c r="U378" s="286">
        <f t="shared" ref="U378:U387" si="1097">+T378*$X$1</f>
        <v>3425</v>
      </c>
      <c r="V378" s="96">
        <f t="shared" ref="V378:V387" si="1098">F378+38</f>
        <v>3413</v>
      </c>
      <c r="W378" s="286">
        <f t="shared" ref="W378:W387" si="1099">+V378*$X$1</f>
        <v>3413</v>
      </c>
      <c r="X378" s="130"/>
      <c r="Y378" s="126"/>
      <c r="Z378" s="126"/>
      <c r="AA378" s="129"/>
      <c r="AB378" s="372">
        <v>2247</v>
      </c>
    </row>
    <row r="379" spans="1:29" ht="12.6" customHeight="1" x14ac:dyDescent="0.2">
      <c r="A379" s="18"/>
      <c r="B379" s="633" t="s">
        <v>449</v>
      </c>
      <c r="C379" s="769"/>
      <c r="D379" s="769"/>
      <c r="E379" s="770"/>
      <c r="F379" s="356">
        <f>0.42*X2</f>
        <v>525</v>
      </c>
      <c r="G379" s="270">
        <f t="shared" ref="G379:G383" si="1100">+F379*$X$1</f>
        <v>525</v>
      </c>
      <c r="H379" s="265"/>
      <c r="I379" s="320"/>
      <c r="J379" s="569"/>
      <c r="K379" s="270"/>
      <c r="L379" s="569">
        <f t="shared" si="1088"/>
        <v>685</v>
      </c>
      <c r="M379" s="270">
        <f t="shared" si="1089"/>
        <v>685</v>
      </c>
      <c r="N379" s="569">
        <f t="shared" si="1090"/>
        <v>625</v>
      </c>
      <c r="O379" s="270">
        <f t="shared" si="1091"/>
        <v>625</v>
      </c>
      <c r="P379" s="569">
        <f t="shared" si="1092"/>
        <v>600</v>
      </c>
      <c r="Q379" s="270">
        <f t="shared" si="1093"/>
        <v>600</v>
      </c>
      <c r="R379" s="569">
        <f t="shared" si="1094"/>
        <v>590</v>
      </c>
      <c r="S379" s="270">
        <f t="shared" si="1095"/>
        <v>590</v>
      </c>
      <c r="T379" s="97">
        <f t="shared" si="1096"/>
        <v>575</v>
      </c>
      <c r="U379" s="246">
        <f t="shared" si="1097"/>
        <v>575</v>
      </c>
      <c r="V379" s="97">
        <f t="shared" si="1098"/>
        <v>563</v>
      </c>
      <c r="W379" s="246">
        <f t="shared" si="1099"/>
        <v>563</v>
      </c>
      <c r="X379" s="123"/>
      <c r="Y379" s="123"/>
      <c r="Z379" s="123"/>
      <c r="AA379" s="123"/>
      <c r="AB379" s="386">
        <v>2251</v>
      </c>
    </row>
    <row r="380" spans="1:29" ht="12.6" customHeight="1" x14ac:dyDescent="0.2">
      <c r="A380" s="18"/>
      <c r="B380" s="708" t="s">
        <v>651</v>
      </c>
      <c r="C380" s="952"/>
      <c r="D380" s="952"/>
      <c r="E380" s="953"/>
      <c r="F380" s="355">
        <f>0.42*X2</f>
        <v>525</v>
      </c>
      <c r="G380" s="271">
        <f t="shared" si="1100"/>
        <v>525</v>
      </c>
      <c r="H380" s="264"/>
      <c r="I380" s="321"/>
      <c r="J380" s="427"/>
      <c r="K380" s="271"/>
      <c r="L380" s="427">
        <f t="shared" si="1088"/>
        <v>685</v>
      </c>
      <c r="M380" s="271">
        <f t="shared" si="1089"/>
        <v>685</v>
      </c>
      <c r="N380" s="427">
        <f t="shared" si="1090"/>
        <v>625</v>
      </c>
      <c r="O380" s="271">
        <f t="shared" si="1091"/>
        <v>625</v>
      </c>
      <c r="P380" s="427">
        <f t="shared" si="1092"/>
        <v>600</v>
      </c>
      <c r="Q380" s="271">
        <f t="shared" si="1093"/>
        <v>600</v>
      </c>
      <c r="R380" s="427">
        <f t="shared" si="1094"/>
        <v>590</v>
      </c>
      <c r="S380" s="271">
        <f t="shared" si="1095"/>
        <v>590</v>
      </c>
      <c r="T380" s="96">
        <f t="shared" si="1096"/>
        <v>575</v>
      </c>
      <c r="U380" s="286">
        <f t="shared" si="1097"/>
        <v>575</v>
      </c>
      <c r="V380" s="96">
        <f t="shared" si="1098"/>
        <v>563</v>
      </c>
      <c r="W380" s="286">
        <f t="shared" si="1099"/>
        <v>563</v>
      </c>
      <c r="X380" s="123"/>
      <c r="Y380" s="123"/>
      <c r="Z380" s="123"/>
      <c r="AA380" s="123"/>
      <c r="AB380" s="372">
        <v>2252</v>
      </c>
    </row>
    <row r="381" spans="1:29" ht="12.6" customHeight="1" x14ac:dyDescent="0.2">
      <c r="A381" s="98"/>
      <c r="B381" s="633" t="s">
        <v>235</v>
      </c>
      <c r="C381" s="747"/>
      <c r="D381" s="747"/>
      <c r="E381" s="748"/>
      <c r="F381" s="351">
        <f>0.34*X2</f>
        <v>425.00000000000006</v>
      </c>
      <c r="G381" s="270">
        <f t="shared" si="1100"/>
        <v>425.00000000000006</v>
      </c>
      <c r="H381" s="265"/>
      <c r="I381" s="320"/>
      <c r="J381" s="569"/>
      <c r="K381" s="270"/>
      <c r="L381" s="569">
        <f t="shared" si="1088"/>
        <v>585</v>
      </c>
      <c r="M381" s="270">
        <f t="shared" si="1089"/>
        <v>585</v>
      </c>
      <c r="N381" s="569">
        <f t="shared" si="1090"/>
        <v>525</v>
      </c>
      <c r="O381" s="270">
        <f t="shared" si="1091"/>
        <v>525</v>
      </c>
      <c r="P381" s="569">
        <f t="shared" si="1092"/>
        <v>500.00000000000006</v>
      </c>
      <c r="Q381" s="270">
        <f t="shared" si="1093"/>
        <v>500.00000000000006</v>
      </c>
      <c r="R381" s="569">
        <f t="shared" si="1094"/>
        <v>490.00000000000006</v>
      </c>
      <c r="S381" s="270">
        <f t="shared" si="1095"/>
        <v>490.00000000000006</v>
      </c>
      <c r="T381" s="97">
        <f t="shared" si="1096"/>
        <v>475.00000000000006</v>
      </c>
      <c r="U381" s="246">
        <f t="shared" si="1097"/>
        <v>475.00000000000006</v>
      </c>
      <c r="V381" s="97">
        <f t="shared" si="1098"/>
        <v>463.00000000000006</v>
      </c>
      <c r="W381" s="246">
        <f t="shared" si="1099"/>
        <v>463.00000000000006</v>
      </c>
      <c r="X381" s="160"/>
      <c r="Y381" s="123"/>
      <c r="Z381" s="123"/>
      <c r="AA381" s="139"/>
      <c r="AB381" s="372">
        <v>2254</v>
      </c>
      <c r="AC381" s="64"/>
    </row>
    <row r="382" spans="1:29" ht="12.6" customHeight="1" x14ac:dyDescent="0.2">
      <c r="A382" s="98"/>
      <c r="B382" s="708" t="s">
        <v>461</v>
      </c>
      <c r="C382" s="831"/>
      <c r="D382" s="831"/>
      <c r="E382" s="832"/>
      <c r="F382" s="352">
        <f>0.34*X2</f>
        <v>425.00000000000006</v>
      </c>
      <c r="G382" s="271">
        <f t="shared" si="1100"/>
        <v>425.00000000000006</v>
      </c>
      <c r="H382" s="264"/>
      <c r="I382" s="321"/>
      <c r="J382" s="427"/>
      <c r="K382" s="271"/>
      <c r="L382" s="427">
        <f t="shared" si="1088"/>
        <v>585</v>
      </c>
      <c r="M382" s="271">
        <f t="shared" si="1089"/>
        <v>585</v>
      </c>
      <c r="N382" s="427">
        <f t="shared" si="1090"/>
        <v>525</v>
      </c>
      <c r="O382" s="271">
        <f t="shared" si="1091"/>
        <v>525</v>
      </c>
      <c r="P382" s="427">
        <f t="shared" si="1092"/>
        <v>500.00000000000006</v>
      </c>
      <c r="Q382" s="271">
        <f t="shared" si="1093"/>
        <v>500.00000000000006</v>
      </c>
      <c r="R382" s="427">
        <f t="shared" si="1094"/>
        <v>490.00000000000006</v>
      </c>
      <c r="S382" s="271">
        <f t="shared" si="1095"/>
        <v>490.00000000000006</v>
      </c>
      <c r="T382" s="96">
        <f t="shared" si="1096"/>
        <v>475.00000000000006</v>
      </c>
      <c r="U382" s="286">
        <f t="shared" si="1097"/>
        <v>475.00000000000006</v>
      </c>
      <c r="V382" s="96">
        <f t="shared" si="1098"/>
        <v>463.00000000000006</v>
      </c>
      <c r="W382" s="286">
        <f t="shared" si="1099"/>
        <v>463.00000000000006</v>
      </c>
      <c r="X382" s="160"/>
      <c r="Y382" s="123"/>
      <c r="Z382" s="123"/>
      <c r="AA382" s="139"/>
      <c r="AB382" s="372" t="s">
        <v>486</v>
      </c>
      <c r="AC382" s="64"/>
    </row>
    <row r="383" spans="1:29" ht="12.6" customHeight="1" x14ac:dyDescent="0.2">
      <c r="A383" s="98"/>
      <c r="B383" s="772" t="s">
        <v>236</v>
      </c>
      <c r="C383" s="773"/>
      <c r="D383" s="773"/>
      <c r="E383" s="774"/>
      <c r="F383" s="491">
        <v>430</v>
      </c>
      <c r="G383" s="491">
        <f t="shared" si="1100"/>
        <v>430</v>
      </c>
      <c r="H383" s="492"/>
      <c r="I383" s="494"/>
      <c r="J383" s="566"/>
      <c r="K383" s="491"/>
      <c r="L383" s="566">
        <f t="shared" si="1088"/>
        <v>590</v>
      </c>
      <c r="M383" s="491">
        <f t="shared" si="1089"/>
        <v>590</v>
      </c>
      <c r="N383" s="566">
        <f t="shared" si="1090"/>
        <v>530</v>
      </c>
      <c r="O383" s="491">
        <f t="shared" si="1091"/>
        <v>530</v>
      </c>
      <c r="P383" s="566">
        <f t="shared" si="1092"/>
        <v>505</v>
      </c>
      <c r="Q383" s="491">
        <f t="shared" si="1093"/>
        <v>505</v>
      </c>
      <c r="R383" s="566">
        <f t="shared" si="1094"/>
        <v>495</v>
      </c>
      <c r="S383" s="491">
        <f t="shared" si="1095"/>
        <v>495</v>
      </c>
      <c r="T383" s="586">
        <f t="shared" si="1096"/>
        <v>480</v>
      </c>
      <c r="U383" s="585">
        <f t="shared" si="1097"/>
        <v>480</v>
      </c>
      <c r="V383" s="586">
        <f t="shared" si="1098"/>
        <v>468</v>
      </c>
      <c r="W383" s="585">
        <f t="shared" si="1099"/>
        <v>468</v>
      </c>
      <c r="X383" s="160"/>
      <c r="Y383" s="123"/>
      <c r="Z383" s="123"/>
      <c r="AA383" s="123"/>
      <c r="AB383" s="372">
        <v>2255</v>
      </c>
      <c r="AC383" s="64"/>
    </row>
    <row r="384" spans="1:29" ht="12.6" customHeight="1" x14ac:dyDescent="0.2">
      <c r="A384" s="92"/>
      <c r="B384" s="631" t="s">
        <v>839</v>
      </c>
      <c r="C384" s="632"/>
      <c r="D384" s="632"/>
      <c r="E384" s="632"/>
      <c r="F384" s="352">
        <f>1.75*X2</f>
        <v>2187.5</v>
      </c>
      <c r="G384" s="271">
        <f t="shared" ref="G384" si="1101">+F384*$X$1</f>
        <v>2187.5</v>
      </c>
      <c r="H384" s="264"/>
      <c r="I384" s="321"/>
      <c r="J384" s="427"/>
      <c r="K384" s="271"/>
      <c r="L384" s="427">
        <f t="shared" si="1088"/>
        <v>2347.5</v>
      </c>
      <c r="M384" s="271">
        <f t="shared" si="1089"/>
        <v>2347.5</v>
      </c>
      <c r="N384" s="427">
        <f t="shared" si="1090"/>
        <v>2287.5</v>
      </c>
      <c r="O384" s="271">
        <f t="shared" si="1091"/>
        <v>2287.5</v>
      </c>
      <c r="P384" s="427">
        <f t="shared" si="1092"/>
        <v>2262.5</v>
      </c>
      <c r="Q384" s="271">
        <f t="shared" si="1093"/>
        <v>2262.5</v>
      </c>
      <c r="R384" s="427">
        <f t="shared" si="1094"/>
        <v>2252.5</v>
      </c>
      <c r="S384" s="271">
        <f t="shared" si="1095"/>
        <v>2252.5</v>
      </c>
      <c r="T384" s="96">
        <f t="shared" si="1096"/>
        <v>2237.5</v>
      </c>
      <c r="U384" s="286">
        <f t="shared" si="1097"/>
        <v>2237.5</v>
      </c>
      <c r="V384" s="96">
        <f t="shared" si="1098"/>
        <v>2225.5</v>
      </c>
      <c r="W384" s="286">
        <f t="shared" si="1099"/>
        <v>2225.5</v>
      </c>
      <c r="X384" s="130"/>
      <c r="Y384" s="126"/>
      <c r="Z384" s="126"/>
      <c r="AA384" s="129"/>
      <c r="AB384" s="372">
        <v>2258</v>
      </c>
    </row>
    <row r="385" spans="1:34" ht="12.6" customHeight="1" x14ac:dyDescent="0.2">
      <c r="A385" s="18"/>
      <c r="B385" s="703" t="s">
        <v>633</v>
      </c>
      <c r="C385" s="1169"/>
      <c r="D385" s="1169"/>
      <c r="E385" s="1169"/>
      <c r="F385" s="351">
        <f>0.52*X2</f>
        <v>650</v>
      </c>
      <c r="G385" s="270">
        <f t="shared" ref="G385" si="1102">+F385*$X$1</f>
        <v>650</v>
      </c>
      <c r="H385" s="569"/>
      <c r="I385" s="270"/>
      <c r="J385" s="569"/>
      <c r="K385" s="270"/>
      <c r="L385" s="569">
        <f t="shared" si="1088"/>
        <v>810</v>
      </c>
      <c r="M385" s="270">
        <f t="shared" si="1089"/>
        <v>810</v>
      </c>
      <c r="N385" s="569">
        <f t="shared" si="1090"/>
        <v>750</v>
      </c>
      <c r="O385" s="270">
        <f t="shared" si="1091"/>
        <v>750</v>
      </c>
      <c r="P385" s="569">
        <f t="shared" si="1092"/>
        <v>725</v>
      </c>
      <c r="Q385" s="270">
        <f t="shared" si="1093"/>
        <v>725</v>
      </c>
      <c r="R385" s="569">
        <f t="shared" si="1094"/>
        <v>715</v>
      </c>
      <c r="S385" s="270">
        <f t="shared" si="1095"/>
        <v>715</v>
      </c>
      <c r="T385" s="97">
        <f t="shared" si="1096"/>
        <v>700</v>
      </c>
      <c r="U385" s="246">
        <f t="shared" si="1097"/>
        <v>700</v>
      </c>
      <c r="V385" s="97">
        <f t="shared" si="1098"/>
        <v>688</v>
      </c>
      <c r="W385" s="246">
        <f t="shared" si="1099"/>
        <v>688</v>
      </c>
      <c r="X385" s="642"/>
      <c r="Y385" s="707"/>
      <c r="Z385" s="707"/>
      <c r="AA385" s="643"/>
      <c r="AB385" s="372">
        <v>2260</v>
      </c>
      <c r="AC385" s="64"/>
    </row>
    <row r="386" spans="1:34" ht="12.6" customHeight="1" x14ac:dyDescent="0.2">
      <c r="A386" s="18"/>
      <c r="B386" s="741" t="s">
        <v>614</v>
      </c>
      <c r="C386" s="742"/>
      <c r="D386" s="742"/>
      <c r="E386" s="742"/>
      <c r="F386" s="352">
        <f>0.6*X2</f>
        <v>750</v>
      </c>
      <c r="G386" s="271">
        <f t="shared" ref="G386:G387" si="1103">+F386*$X$1</f>
        <v>750</v>
      </c>
      <c r="H386" s="427"/>
      <c r="I386" s="271"/>
      <c r="J386" s="427"/>
      <c r="K386" s="271"/>
      <c r="L386" s="427">
        <f t="shared" si="1088"/>
        <v>910</v>
      </c>
      <c r="M386" s="271">
        <f t="shared" si="1089"/>
        <v>910</v>
      </c>
      <c r="N386" s="427">
        <f t="shared" si="1090"/>
        <v>850</v>
      </c>
      <c r="O386" s="271">
        <f t="shared" si="1091"/>
        <v>850</v>
      </c>
      <c r="P386" s="427">
        <f t="shared" si="1092"/>
        <v>825</v>
      </c>
      <c r="Q386" s="271">
        <f t="shared" si="1093"/>
        <v>825</v>
      </c>
      <c r="R386" s="427">
        <f t="shared" si="1094"/>
        <v>815</v>
      </c>
      <c r="S386" s="271">
        <f t="shared" si="1095"/>
        <v>815</v>
      </c>
      <c r="T386" s="96">
        <f t="shared" si="1096"/>
        <v>800</v>
      </c>
      <c r="U386" s="286">
        <f t="shared" si="1097"/>
        <v>800</v>
      </c>
      <c r="V386" s="96">
        <f t="shared" si="1098"/>
        <v>788</v>
      </c>
      <c r="W386" s="286">
        <f t="shared" si="1099"/>
        <v>788</v>
      </c>
      <c r="X386" s="642"/>
      <c r="Y386" s="707"/>
      <c r="Z386" s="707"/>
      <c r="AA386" s="643"/>
      <c r="AB386" s="372">
        <v>2261</v>
      </c>
      <c r="AC386" s="64"/>
    </row>
    <row r="387" spans="1:34" ht="12.6" customHeight="1" x14ac:dyDescent="0.2">
      <c r="A387" s="18"/>
      <c r="B387" s="703" t="s">
        <v>635</v>
      </c>
      <c r="C387" s="1169"/>
      <c r="D387" s="1169"/>
      <c r="E387" s="1169"/>
      <c r="F387" s="351">
        <f>0.58*X2</f>
        <v>725</v>
      </c>
      <c r="G387" s="270">
        <f t="shared" si="1103"/>
        <v>725</v>
      </c>
      <c r="H387" s="569"/>
      <c r="I387" s="270"/>
      <c r="J387" s="569"/>
      <c r="K387" s="270"/>
      <c r="L387" s="569">
        <f t="shared" si="1088"/>
        <v>885</v>
      </c>
      <c r="M387" s="270">
        <f t="shared" si="1089"/>
        <v>885</v>
      </c>
      <c r="N387" s="569">
        <f t="shared" si="1090"/>
        <v>825</v>
      </c>
      <c r="O387" s="270">
        <f t="shared" si="1091"/>
        <v>825</v>
      </c>
      <c r="P387" s="569">
        <f t="shared" si="1092"/>
        <v>800</v>
      </c>
      <c r="Q387" s="270">
        <f t="shared" si="1093"/>
        <v>800</v>
      </c>
      <c r="R387" s="569">
        <f t="shared" si="1094"/>
        <v>790</v>
      </c>
      <c r="S387" s="270">
        <f t="shared" si="1095"/>
        <v>790</v>
      </c>
      <c r="T387" s="97">
        <f t="shared" si="1096"/>
        <v>775</v>
      </c>
      <c r="U387" s="246">
        <f t="shared" si="1097"/>
        <v>775</v>
      </c>
      <c r="V387" s="97">
        <f t="shared" si="1098"/>
        <v>763</v>
      </c>
      <c r="W387" s="246">
        <f t="shared" si="1099"/>
        <v>763</v>
      </c>
      <c r="X387" s="642"/>
      <c r="Y387" s="707"/>
      <c r="Z387" s="707"/>
      <c r="AA387" s="643"/>
      <c r="AB387" s="372">
        <v>2262</v>
      </c>
      <c r="AC387" s="64"/>
    </row>
    <row r="388" spans="1:34" ht="12.6" customHeight="1" x14ac:dyDescent="0.2">
      <c r="A388" s="18"/>
      <c r="B388" s="741" t="s">
        <v>634</v>
      </c>
      <c r="C388" s="742"/>
      <c r="D388" s="742"/>
      <c r="E388" s="742"/>
      <c r="F388" s="352">
        <f>0.81*X2</f>
        <v>1012.5000000000001</v>
      </c>
      <c r="G388" s="271">
        <f t="shared" ref="G388" si="1104">+F388*$X$1</f>
        <v>1012.5000000000001</v>
      </c>
      <c r="H388" s="427"/>
      <c r="I388" s="271"/>
      <c r="J388" s="427"/>
      <c r="K388" s="271"/>
      <c r="L388" s="427">
        <f t="shared" ref="L388" si="1105">F388+160</f>
        <v>1172.5</v>
      </c>
      <c r="M388" s="271">
        <f t="shared" ref="M388:M390" si="1106">+L388*$X$1</f>
        <v>1172.5</v>
      </c>
      <c r="N388" s="427">
        <f t="shared" ref="N388" si="1107">F388+100</f>
        <v>1112.5</v>
      </c>
      <c r="O388" s="271">
        <f t="shared" ref="O388" si="1108">+N388*$X$1</f>
        <v>1112.5</v>
      </c>
      <c r="P388" s="427">
        <f t="shared" ref="P388" si="1109">F388+75</f>
        <v>1087.5</v>
      </c>
      <c r="Q388" s="271">
        <f t="shared" ref="Q388" si="1110">+P388*$X$1</f>
        <v>1087.5</v>
      </c>
      <c r="R388" s="427">
        <f t="shared" ref="R388" si="1111">F388+65</f>
        <v>1077.5</v>
      </c>
      <c r="S388" s="271">
        <f t="shared" ref="S388" si="1112">+R388*$X$1</f>
        <v>1077.5</v>
      </c>
      <c r="T388" s="96">
        <f t="shared" ref="T388" si="1113">F388+50</f>
        <v>1062.5</v>
      </c>
      <c r="U388" s="286">
        <f t="shared" ref="U388" si="1114">+T388*$X$1</f>
        <v>1062.5</v>
      </c>
      <c r="V388" s="96">
        <f t="shared" ref="V388" si="1115">F388+38</f>
        <v>1050.5</v>
      </c>
      <c r="W388" s="286">
        <f t="shared" ref="W388" si="1116">+V388*$X$1</f>
        <v>1050.5</v>
      </c>
      <c r="X388" s="642"/>
      <c r="Y388" s="707"/>
      <c r="Z388" s="707"/>
      <c r="AA388" s="643"/>
      <c r="AB388" s="372">
        <v>2266</v>
      </c>
      <c r="AC388" s="64"/>
    </row>
    <row r="389" spans="1:34" ht="12.6" customHeight="1" x14ac:dyDescent="0.2">
      <c r="A389" s="18"/>
      <c r="B389" s="1166" t="s">
        <v>237</v>
      </c>
      <c r="C389" s="1167"/>
      <c r="D389" s="1167"/>
      <c r="E389" s="1167"/>
      <c r="F389" s="487">
        <f>1.96*X2</f>
        <v>2450</v>
      </c>
      <c r="G389" s="270">
        <f t="shared" ref="G389:G391" si="1117">+F389*$X$1</f>
        <v>2450</v>
      </c>
      <c r="H389" s="569">
        <f>F389+650</f>
        <v>3100</v>
      </c>
      <c r="I389" s="270">
        <f t="shared" ref="I389" si="1118">+H389*$X$1</f>
        <v>3100</v>
      </c>
      <c r="J389" s="569">
        <f>F389+230</f>
        <v>2680</v>
      </c>
      <c r="K389" s="270">
        <f t="shared" ref="K389" si="1119">+J389*$X$1</f>
        <v>2680</v>
      </c>
      <c r="L389" s="569">
        <f>F389+190</f>
        <v>2640</v>
      </c>
      <c r="M389" s="270">
        <f t="shared" si="1106"/>
        <v>2640</v>
      </c>
      <c r="N389" s="569"/>
      <c r="O389" s="270"/>
      <c r="P389" s="569"/>
      <c r="Q389" s="270"/>
      <c r="R389" s="569"/>
      <c r="S389" s="270"/>
      <c r="T389" s="569"/>
      <c r="U389" s="270"/>
      <c r="V389" s="569"/>
      <c r="W389" s="270"/>
      <c r="X389" s="642"/>
      <c r="Y389" s="707"/>
      <c r="Z389" s="707"/>
      <c r="AA389" s="643"/>
      <c r="AB389" s="372">
        <v>2268</v>
      </c>
      <c r="AC389" s="64"/>
    </row>
    <row r="390" spans="1:34" ht="12.6" customHeight="1" x14ac:dyDescent="0.2">
      <c r="A390" s="92"/>
      <c r="B390" s="631" t="s">
        <v>947</v>
      </c>
      <c r="C390" s="632"/>
      <c r="D390" s="632"/>
      <c r="E390" s="632"/>
      <c r="F390" s="352">
        <f>0.47*X2</f>
        <v>587.5</v>
      </c>
      <c r="G390" s="271">
        <f t="shared" si="1117"/>
        <v>587.5</v>
      </c>
      <c r="H390" s="264"/>
      <c r="I390" s="321"/>
      <c r="J390" s="427"/>
      <c r="K390" s="271"/>
      <c r="L390" s="427">
        <f t="shared" ref="L390" si="1120">F390+160</f>
        <v>747.5</v>
      </c>
      <c r="M390" s="271">
        <f t="shared" si="1106"/>
        <v>747.5</v>
      </c>
      <c r="N390" s="427">
        <f t="shared" ref="N390" si="1121">F390+100</f>
        <v>687.5</v>
      </c>
      <c r="O390" s="271">
        <f t="shared" ref="O390" si="1122">+N390*$X$1</f>
        <v>687.5</v>
      </c>
      <c r="P390" s="427">
        <f t="shared" ref="P390" si="1123">F390+75</f>
        <v>662.5</v>
      </c>
      <c r="Q390" s="271">
        <f t="shared" ref="Q390" si="1124">+P390*$X$1</f>
        <v>662.5</v>
      </c>
      <c r="R390" s="427">
        <f t="shared" ref="R390" si="1125">F390+65</f>
        <v>652.5</v>
      </c>
      <c r="S390" s="271">
        <f t="shared" ref="S390" si="1126">+R390*$X$1</f>
        <v>652.5</v>
      </c>
      <c r="T390" s="96">
        <f t="shared" ref="T390" si="1127">F390+50</f>
        <v>637.5</v>
      </c>
      <c r="U390" s="286">
        <f t="shared" ref="U390" si="1128">+T390*$X$1</f>
        <v>637.5</v>
      </c>
      <c r="V390" s="96">
        <f t="shared" ref="V390" si="1129">F390+38</f>
        <v>625.5</v>
      </c>
      <c r="W390" s="286">
        <f t="shared" ref="W390" si="1130">+V390*$X$1</f>
        <v>625.5</v>
      </c>
      <c r="X390" s="130"/>
      <c r="Y390" s="126"/>
      <c r="Z390" s="126"/>
      <c r="AA390" s="129"/>
      <c r="AB390" s="372">
        <v>2269</v>
      </c>
    </row>
    <row r="391" spans="1:34" ht="12.6" customHeight="1" x14ac:dyDescent="0.2">
      <c r="A391" s="18"/>
      <c r="B391" s="986" t="s">
        <v>238</v>
      </c>
      <c r="C391" s="1186"/>
      <c r="D391" s="1186"/>
      <c r="E391" s="1186"/>
      <c r="F391" s="495">
        <f>0.29*X2</f>
        <v>362.5</v>
      </c>
      <c r="G391" s="491">
        <f t="shared" si="1117"/>
        <v>362.5</v>
      </c>
      <c r="H391" s="492"/>
      <c r="I391" s="492"/>
      <c r="J391" s="597"/>
      <c r="K391" s="597"/>
      <c r="L391" s="597">
        <f t="shared" ref="L391" si="1131">F391+160</f>
        <v>522.5</v>
      </c>
      <c r="M391" s="491">
        <f t="shared" ref="M391" si="1132">+L391*$X$1</f>
        <v>522.5</v>
      </c>
      <c r="N391" s="597">
        <f t="shared" ref="N391" si="1133">F391+100</f>
        <v>462.5</v>
      </c>
      <c r="O391" s="491">
        <f t="shared" ref="O391" si="1134">+N391*$X$1</f>
        <v>462.5</v>
      </c>
      <c r="P391" s="597">
        <f t="shared" ref="P391" si="1135">F391+75</f>
        <v>437.5</v>
      </c>
      <c r="Q391" s="491">
        <f t="shared" ref="Q391" si="1136">+P391*$X$1</f>
        <v>437.5</v>
      </c>
      <c r="R391" s="597">
        <f t="shared" ref="R391" si="1137">F391+65</f>
        <v>427.5</v>
      </c>
      <c r="S391" s="491">
        <f t="shared" ref="S391" si="1138">+R391*$X$1</f>
        <v>427.5</v>
      </c>
      <c r="T391" s="586">
        <f t="shared" ref="T391" si="1139">F391+50</f>
        <v>412.5</v>
      </c>
      <c r="U391" s="585">
        <f t="shared" ref="U391" si="1140">+T391*$X$1</f>
        <v>412.5</v>
      </c>
      <c r="V391" s="586">
        <f t="shared" ref="V391" si="1141">F391+38</f>
        <v>400.5</v>
      </c>
      <c r="W391" s="585">
        <f t="shared" ref="W391" si="1142">+V391*$X$1</f>
        <v>400.5</v>
      </c>
      <c r="X391" s="166"/>
      <c r="Y391" s="168"/>
      <c r="Z391" s="168"/>
      <c r="AA391" s="166"/>
      <c r="AB391" s="372">
        <v>2270</v>
      </c>
      <c r="AC391" s="64"/>
    </row>
    <row r="392" spans="1:34" ht="12.6" customHeight="1" x14ac:dyDescent="0.2">
      <c r="A392" s="18"/>
      <c r="B392" s="741" t="s">
        <v>882</v>
      </c>
      <c r="C392" s="1170"/>
      <c r="D392" s="1170"/>
      <c r="E392" s="1170"/>
      <c r="F392" s="352">
        <f>0.44*X2</f>
        <v>550</v>
      </c>
      <c r="G392" s="271">
        <f>+F392*$X$1</f>
        <v>550</v>
      </c>
      <c r="H392" s="264"/>
      <c r="I392" s="264"/>
      <c r="J392" s="427"/>
      <c r="K392" s="427"/>
      <c r="L392" s="427">
        <f>F392+160</f>
        <v>710</v>
      </c>
      <c r="M392" s="271">
        <f>+L392*$X$1</f>
        <v>710</v>
      </c>
      <c r="N392" s="427">
        <f>F392+100</f>
        <v>650</v>
      </c>
      <c r="O392" s="271">
        <f>+N392*$X$1</f>
        <v>650</v>
      </c>
      <c r="P392" s="427">
        <f>F392+75</f>
        <v>625</v>
      </c>
      <c r="Q392" s="271">
        <f>+P392*$X$1</f>
        <v>625</v>
      </c>
      <c r="R392" s="427">
        <f>F392+65</f>
        <v>615</v>
      </c>
      <c r="S392" s="271">
        <f>+R392*$X$1</f>
        <v>615</v>
      </c>
      <c r="T392" s="96">
        <f>F392+50</f>
        <v>600</v>
      </c>
      <c r="U392" s="286">
        <f>+T392*$X$1</f>
        <v>600</v>
      </c>
      <c r="V392" s="96">
        <f>F392+38</f>
        <v>588</v>
      </c>
      <c r="W392" s="286">
        <f>+V392*$X$1</f>
        <v>588</v>
      </c>
      <c r="X392" s="518"/>
      <c r="Y392" s="516"/>
      <c r="Z392" s="516"/>
      <c r="AA392" s="518"/>
      <c r="AB392" s="372">
        <v>2271</v>
      </c>
      <c r="AC392" s="64"/>
    </row>
    <row r="393" spans="1:34" ht="12.6" customHeight="1" x14ac:dyDescent="0.2">
      <c r="A393" s="18"/>
      <c r="B393" s="703" t="s">
        <v>883</v>
      </c>
      <c r="C393" s="1006"/>
      <c r="D393" s="1006"/>
      <c r="E393" s="1006"/>
      <c r="F393" s="351">
        <f>0.65*X2</f>
        <v>812.5</v>
      </c>
      <c r="G393" s="270">
        <f>+F393*$X$1</f>
        <v>812.5</v>
      </c>
      <c r="H393" s="265"/>
      <c r="I393" s="265"/>
      <c r="J393" s="596"/>
      <c r="K393" s="596"/>
      <c r="L393" s="596">
        <f>F393+160</f>
        <v>972.5</v>
      </c>
      <c r="M393" s="270">
        <f>+L393*$X$1</f>
        <v>972.5</v>
      </c>
      <c r="N393" s="596">
        <f>F393+100</f>
        <v>912.5</v>
      </c>
      <c r="O393" s="270">
        <f>+N393*$X$1</f>
        <v>912.5</v>
      </c>
      <c r="P393" s="596">
        <f>F393+75</f>
        <v>887.5</v>
      </c>
      <c r="Q393" s="270">
        <f>+P393*$X$1</f>
        <v>887.5</v>
      </c>
      <c r="R393" s="596">
        <f>F393+65</f>
        <v>877.5</v>
      </c>
      <c r="S393" s="270">
        <f>+R393*$X$1</f>
        <v>877.5</v>
      </c>
      <c r="T393" s="97">
        <f>F393+50</f>
        <v>862.5</v>
      </c>
      <c r="U393" s="246">
        <f>+T393*$X$1</f>
        <v>862.5</v>
      </c>
      <c r="V393" s="97">
        <f>F393+38</f>
        <v>850.5</v>
      </c>
      <c r="W393" s="246">
        <f>+V393*$X$1</f>
        <v>850.5</v>
      </c>
      <c r="X393" s="518"/>
      <c r="Y393" s="516"/>
      <c r="Z393" s="516"/>
      <c r="AA393" s="518"/>
      <c r="AB393" s="372">
        <v>2272</v>
      </c>
      <c r="AC393" s="64"/>
    </row>
    <row r="394" spans="1:34" ht="12.6" customHeight="1" x14ac:dyDescent="0.2">
      <c r="A394" s="18"/>
      <c r="B394" s="741" t="s">
        <v>239</v>
      </c>
      <c r="C394" s="755"/>
      <c r="D394" s="755"/>
      <c r="E394" s="755"/>
      <c r="F394" s="352">
        <f>0.59*X2</f>
        <v>737.5</v>
      </c>
      <c r="G394" s="271">
        <f>+F394*$X$1</f>
        <v>737.5</v>
      </c>
      <c r="H394" s="264"/>
      <c r="I394" s="264"/>
      <c r="J394" s="427"/>
      <c r="K394" s="427"/>
      <c r="L394" s="427">
        <f>F394+160</f>
        <v>897.5</v>
      </c>
      <c r="M394" s="271">
        <f>+L394*$X$1</f>
        <v>897.5</v>
      </c>
      <c r="N394" s="427">
        <f>F394+100</f>
        <v>837.5</v>
      </c>
      <c r="O394" s="271">
        <f>+N394*$X$1</f>
        <v>837.5</v>
      </c>
      <c r="P394" s="427">
        <f>F394+75</f>
        <v>812.5</v>
      </c>
      <c r="Q394" s="271">
        <f>+P394*$X$1</f>
        <v>812.5</v>
      </c>
      <c r="R394" s="427">
        <f>F394+65</f>
        <v>802.5</v>
      </c>
      <c r="S394" s="271">
        <f>+R394*$X$1</f>
        <v>802.5</v>
      </c>
      <c r="T394" s="96">
        <f>F394+50</f>
        <v>787.5</v>
      </c>
      <c r="U394" s="286">
        <f>+T394*$X$1</f>
        <v>787.5</v>
      </c>
      <c r="V394" s="96">
        <f>F394+38</f>
        <v>775.5</v>
      </c>
      <c r="W394" s="286">
        <f>+V394*$X$1</f>
        <v>775.5</v>
      </c>
      <c r="X394" s="166"/>
      <c r="Y394" s="168"/>
      <c r="Z394" s="168"/>
      <c r="AA394" s="166"/>
      <c r="AB394" s="372">
        <v>2275</v>
      </c>
      <c r="AC394" s="64"/>
    </row>
    <row r="395" spans="1:34" ht="12.6" customHeight="1" x14ac:dyDescent="0.2">
      <c r="A395" s="18"/>
      <c r="B395" s="703" t="s">
        <v>978</v>
      </c>
      <c r="C395" s="704"/>
      <c r="D395" s="704"/>
      <c r="E395" s="704"/>
      <c r="F395" s="351">
        <f>0.57*X2</f>
        <v>712.49999999999989</v>
      </c>
      <c r="G395" s="270">
        <f t="shared" ref="G395" si="1143">+F395*$X$1</f>
        <v>712.49999999999989</v>
      </c>
      <c r="H395" s="265"/>
      <c r="I395" s="265"/>
      <c r="J395" s="596"/>
      <c r="K395" s="596"/>
      <c r="L395" s="596">
        <f>F395+160</f>
        <v>872.49999999999989</v>
      </c>
      <c r="M395" s="270">
        <f>+L395*$X$1</f>
        <v>872.49999999999989</v>
      </c>
      <c r="N395" s="596">
        <f>F395+100</f>
        <v>812.49999999999989</v>
      </c>
      <c r="O395" s="270">
        <f>+N395*$X$1</f>
        <v>812.49999999999989</v>
      </c>
      <c r="P395" s="596">
        <f>F395+75</f>
        <v>787.49999999999989</v>
      </c>
      <c r="Q395" s="270">
        <f>+P395*$X$1</f>
        <v>787.49999999999989</v>
      </c>
      <c r="R395" s="596">
        <f>F395+65</f>
        <v>777.49999999999989</v>
      </c>
      <c r="S395" s="270">
        <f>+R395*$X$1</f>
        <v>777.49999999999989</v>
      </c>
      <c r="T395" s="97">
        <f>F395+50</f>
        <v>762.49999999999989</v>
      </c>
      <c r="U395" s="246">
        <f>+T395*$X$1</f>
        <v>762.49999999999989</v>
      </c>
      <c r="V395" s="97">
        <f>F395+38</f>
        <v>750.49999999999989</v>
      </c>
      <c r="W395" s="246">
        <f>+V395*$X$1</f>
        <v>750.49999999999989</v>
      </c>
      <c r="X395" s="216"/>
      <c r="Y395" s="217"/>
      <c r="Z395" s="217"/>
      <c r="AA395" s="216"/>
      <c r="AB395" s="372">
        <v>2279</v>
      </c>
      <c r="AC395" s="64"/>
    </row>
    <row r="396" spans="1:34" s="4" customFormat="1" ht="12.6" customHeight="1" x14ac:dyDescent="0.2">
      <c r="A396" s="19"/>
      <c r="B396" s="16"/>
      <c r="C396" s="12"/>
      <c r="D396" s="12"/>
      <c r="E396" s="12"/>
      <c r="F396" s="57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7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7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660" t="s">
        <v>11</v>
      </c>
      <c r="C399" s="935" t="s">
        <v>12</v>
      </c>
      <c r="D399" s="936"/>
      <c r="E399" s="936"/>
      <c r="F399" s="763" t="s">
        <v>13</v>
      </c>
      <c r="G399" s="763" t="s">
        <v>13</v>
      </c>
      <c r="H399" s="661" t="s">
        <v>770</v>
      </c>
      <c r="I399" s="661"/>
      <c r="J399" s="662"/>
      <c r="K399" s="662"/>
      <c r="L399" s="662"/>
      <c r="M399" s="662"/>
      <c r="N399" s="662"/>
      <c r="O399" s="662"/>
      <c r="P399" s="662"/>
      <c r="Q399" s="662"/>
      <c r="R399" s="662"/>
      <c r="S399" s="662"/>
      <c r="T399" s="662"/>
      <c r="U399" s="662"/>
      <c r="V399" s="662"/>
      <c r="W399" s="662"/>
      <c r="X399" s="731" t="s">
        <v>14</v>
      </c>
      <c r="Y399" s="731"/>
      <c r="Z399" s="731"/>
      <c r="AA399" s="731"/>
      <c r="AB399" s="677" t="s">
        <v>15</v>
      </c>
      <c r="AE399" s="63"/>
      <c r="AF399" s="675" t="s">
        <v>3</v>
      </c>
      <c r="AG399" s="676"/>
      <c r="AH399" s="676"/>
    </row>
    <row r="400" spans="1:34" ht="12" customHeight="1" x14ac:dyDescent="0.2">
      <c r="A400" s="18"/>
      <c r="B400" s="660"/>
      <c r="C400" s="936"/>
      <c r="D400" s="936"/>
      <c r="E400" s="936"/>
      <c r="F400" s="764"/>
      <c r="G400" s="764"/>
      <c r="H400" s="442"/>
      <c r="I400" s="434" t="s">
        <v>279</v>
      </c>
      <c r="J400" s="436"/>
      <c r="K400" s="434" t="s">
        <v>17</v>
      </c>
      <c r="L400" s="437"/>
      <c r="M400" s="437" t="s">
        <v>18</v>
      </c>
      <c r="N400" s="437"/>
      <c r="O400" s="434" t="s">
        <v>19</v>
      </c>
      <c r="P400" s="437"/>
      <c r="Q400" s="437" t="s">
        <v>280</v>
      </c>
      <c r="R400" s="437"/>
      <c r="S400" s="437" t="s">
        <v>20</v>
      </c>
      <c r="T400" s="437"/>
      <c r="U400" s="437" t="s">
        <v>21</v>
      </c>
      <c r="V400" s="437"/>
      <c r="W400" s="437" t="s">
        <v>22</v>
      </c>
      <c r="X400" s="731"/>
      <c r="Y400" s="731"/>
      <c r="Z400" s="731"/>
      <c r="AA400" s="731"/>
      <c r="AB400" s="678"/>
    </row>
    <row r="401" spans="1:29" ht="12.6" customHeight="1" x14ac:dyDescent="0.2">
      <c r="A401" s="18"/>
      <c r="B401" s="693" t="s">
        <v>979</v>
      </c>
      <c r="C401" s="759"/>
      <c r="D401" s="759"/>
      <c r="E401" s="759"/>
      <c r="F401" s="352">
        <f>0.57*X2</f>
        <v>712.49999999999989</v>
      </c>
      <c r="G401" s="271">
        <f t="shared" ref="G401" si="1144">+F401*$X$1</f>
        <v>712.49999999999989</v>
      </c>
      <c r="H401" s="264"/>
      <c r="I401" s="264"/>
      <c r="J401" s="609"/>
      <c r="K401" s="609"/>
      <c r="L401" s="609">
        <f t="shared" ref="L401" si="1145">F401+160</f>
        <v>872.49999999999989</v>
      </c>
      <c r="M401" s="271">
        <f t="shared" ref="M401" si="1146">+L401*$X$1</f>
        <v>872.49999999999989</v>
      </c>
      <c r="N401" s="609">
        <f t="shared" ref="N401" si="1147">F401+100</f>
        <v>812.49999999999989</v>
      </c>
      <c r="O401" s="271">
        <f t="shared" ref="O401" si="1148">+N401*$X$1</f>
        <v>812.49999999999989</v>
      </c>
      <c r="P401" s="609">
        <f t="shared" ref="P401" si="1149">F401+75</f>
        <v>787.49999999999989</v>
      </c>
      <c r="Q401" s="271">
        <f t="shared" ref="Q401" si="1150">+P401*$X$1</f>
        <v>787.49999999999989</v>
      </c>
      <c r="R401" s="609">
        <f t="shared" ref="R401" si="1151">F401+65</f>
        <v>777.49999999999989</v>
      </c>
      <c r="S401" s="271">
        <f t="shared" ref="S401" si="1152">+R401*$X$1</f>
        <v>777.49999999999989</v>
      </c>
      <c r="T401" s="96">
        <f t="shared" ref="T401" si="1153">F401+50</f>
        <v>762.49999999999989</v>
      </c>
      <c r="U401" s="286">
        <f t="shared" ref="U401" si="1154">+T401*$X$1</f>
        <v>762.49999999999989</v>
      </c>
      <c r="V401" s="96">
        <f t="shared" ref="V401" si="1155">F401+38</f>
        <v>750.49999999999989</v>
      </c>
      <c r="W401" s="286">
        <f t="shared" ref="W401" si="1156">+V401*$X$1</f>
        <v>750.49999999999989</v>
      </c>
      <c r="X401" s="606"/>
      <c r="Y401" s="607"/>
      <c r="Z401" s="607"/>
      <c r="AA401" s="606"/>
      <c r="AB401" s="372" t="s">
        <v>970</v>
      </c>
      <c r="AC401" s="64"/>
    </row>
    <row r="402" spans="1:29" ht="12.6" customHeight="1" x14ac:dyDescent="0.2">
      <c r="A402" s="18"/>
      <c r="B402" s="703" t="s">
        <v>240</v>
      </c>
      <c r="C402" s="704"/>
      <c r="D402" s="704"/>
      <c r="E402" s="704"/>
      <c r="F402" s="351">
        <f>0.484*X2</f>
        <v>605</v>
      </c>
      <c r="G402" s="270">
        <f>+F402*$X$1</f>
        <v>605</v>
      </c>
      <c r="H402" s="265"/>
      <c r="I402" s="265"/>
      <c r="J402" s="601"/>
      <c r="K402" s="601"/>
      <c r="L402" s="601">
        <f>F402+160</f>
        <v>765</v>
      </c>
      <c r="M402" s="270">
        <f>+L402*$X$1</f>
        <v>765</v>
      </c>
      <c r="N402" s="601">
        <f>F402+100</f>
        <v>705</v>
      </c>
      <c r="O402" s="270">
        <f>+N402*$X$1</f>
        <v>705</v>
      </c>
      <c r="P402" s="601">
        <f>F402+75</f>
        <v>680</v>
      </c>
      <c r="Q402" s="270">
        <f>+P402*$X$1</f>
        <v>680</v>
      </c>
      <c r="R402" s="601">
        <f>F402+65</f>
        <v>670</v>
      </c>
      <c r="S402" s="270">
        <f>+R402*$X$1</f>
        <v>670</v>
      </c>
      <c r="T402" s="97">
        <f>F402+50</f>
        <v>655</v>
      </c>
      <c r="U402" s="246">
        <f>+T402*$X$1</f>
        <v>655</v>
      </c>
      <c r="V402" s="97">
        <f>F402+38</f>
        <v>643</v>
      </c>
      <c r="W402" s="246">
        <f>+V402*$X$1</f>
        <v>643</v>
      </c>
      <c r="X402" s="166"/>
      <c r="Y402" s="168"/>
      <c r="Z402" s="168"/>
      <c r="AA402" s="166"/>
      <c r="AB402" s="372">
        <v>2280</v>
      </c>
      <c r="AC402" s="64"/>
    </row>
    <row r="403" spans="1:29" ht="12.6" customHeight="1" x14ac:dyDescent="0.2">
      <c r="A403" s="18"/>
      <c r="B403" s="741" t="s">
        <v>455</v>
      </c>
      <c r="C403" s="755"/>
      <c r="D403" s="755"/>
      <c r="E403" s="755"/>
      <c r="F403" s="352">
        <f>0.38*X2</f>
        <v>475</v>
      </c>
      <c r="G403" s="271">
        <f t="shared" ref="G403" si="1157">+F403*$X$1</f>
        <v>475</v>
      </c>
      <c r="H403" s="264"/>
      <c r="I403" s="264"/>
      <c r="J403" s="427"/>
      <c r="K403" s="427"/>
      <c r="L403" s="427">
        <f>F403+160</f>
        <v>635</v>
      </c>
      <c r="M403" s="271">
        <f>+L403*$X$1</f>
        <v>635</v>
      </c>
      <c r="N403" s="427">
        <f>F403+100</f>
        <v>575</v>
      </c>
      <c r="O403" s="271">
        <f>+N403*$X$1</f>
        <v>575</v>
      </c>
      <c r="P403" s="427">
        <f>F403+75</f>
        <v>550</v>
      </c>
      <c r="Q403" s="271">
        <f>+P403*$X$1</f>
        <v>550</v>
      </c>
      <c r="R403" s="427">
        <f>F403+65</f>
        <v>540</v>
      </c>
      <c r="S403" s="271">
        <f>+R403*$X$1</f>
        <v>540</v>
      </c>
      <c r="T403" s="96">
        <f>F403+50</f>
        <v>525</v>
      </c>
      <c r="U403" s="286">
        <f>+T403*$X$1</f>
        <v>525</v>
      </c>
      <c r="V403" s="96">
        <f>F403+38</f>
        <v>513</v>
      </c>
      <c r="W403" s="286">
        <f>+V403*$X$1</f>
        <v>513</v>
      </c>
      <c r="X403" s="166"/>
      <c r="Y403" s="168"/>
      <c r="Z403" s="168"/>
      <c r="AA403" s="166"/>
      <c r="AB403" s="372">
        <v>2281</v>
      </c>
      <c r="AC403" s="64"/>
    </row>
    <row r="404" spans="1:29" ht="12.6" customHeight="1" x14ac:dyDescent="0.2">
      <c r="A404" s="18"/>
      <c r="B404" s="633" t="s">
        <v>828</v>
      </c>
      <c r="C404" s="769"/>
      <c r="D404" s="769"/>
      <c r="E404" s="770"/>
      <c r="F404" s="356">
        <f>0.61*X2</f>
        <v>762.5</v>
      </c>
      <c r="G404" s="270">
        <f t="shared" ref="G404" si="1158">+F404*$X$1</f>
        <v>762.5</v>
      </c>
      <c r="H404" s="265"/>
      <c r="I404" s="320"/>
      <c r="J404" s="569"/>
      <c r="K404" s="270"/>
      <c r="L404" s="569">
        <f>F404+160</f>
        <v>922.5</v>
      </c>
      <c r="M404" s="270">
        <f>+L404*$X$1</f>
        <v>922.5</v>
      </c>
      <c r="N404" s="569">
        <f>F404+100</f>
        <v>862.5</v>
      </c>
      <c r="O404" s="270">
        <f>+N404*$X$1</f>
        <v>862.5</v>
      </c>
      <c r="P404" s="569">
        <f>F404+75</f>
        <v>837.5</v>
      </c>
      <c r="Q404" s="270">
        <f>+P404*$X$1</f>
        <v>837.5</v>
      </c>
      <c r="R404" s="569">
        <f>F404+65</f>
        <v>827.5</v>
      </c>
      <c r="S404" s="270">
        <f>+R404*$X$1</f>
        <v>827.5</v>
      </c>
      <c r="T404" s="97">
        <f>F404+50</f>
        <v>812.5</v>
      </c>
      <c r="U404" s="246">
        <f>+T404*$X$1</f>
        <v>812.5</v>
      </c>
      <c r="V404" s="97">
        <f>F404+38</f>
        <v>800.5</v>
      </c>
      <c r="W404" s="246">
        <f>+V404*$X$1</f>
        <v>800.5</v>
      </c>
      <c r="X404" s="123"/>
      <c r="Y404" s="123"/>
      <c r="Z404" s="123"/>
      <c r="AA404" s="123"/>
      <c r="AB404" s="372">
        <v>2282</v>
      </c>
    </row>
    <row r="405" spans="1:29" ht="12.6" customHeight="1" x14ac:dyDescent="0.2">
      <c r="A405" s="18"/>
      <c r="B405" s="708" t="s">
        <v>827</v>
      </c>
      <c r="C405" s="952"/>
      <c r="D405" s="952"/>
      <c r="E405" s="953"/>
      <c r="F405" s="355">
        <f>0.57*X2</f>
        <v>712.49999999999989</v>
      </c>
      <c r="G405" s="271">
        <f>+F405*$X$1</f>
        <v>712.49999999999989</v>
      </c>
      <c r="H405" s="264"/>
      <c r="I405" s="321"/>
      <c r="J405" s="427"/>
      <c r="K405" s="271"/>
      <c r="L405" s="427">
        <f t="shared" ref="L405" si="1159">F405+160</f>
        <v>872.49999999999989</v>
      </c>
      <c r="M405" s="271">
        <f t="shared" ref="M405" si="1160">+L405*$X$1</f>
        <v>872.49999999999989</v>
      </c>
      <c r="N405" s="427">
        <f t="shared" ref="N405" si="1161">F405+100</f>
        <v>812.49999999999989</v>
      </c>
      <c r="O405" s="271">
        <f t="shared" ref="O405" si="1162">+N405*$X$1</f>
        <v>812.49999999999989</v>
      </c>
      <c r="P405" s="427">
        <f t="shared" ref="P405" si="1163">F405+75</f>
        <v>787.49999999999989</v>
      </c>
      <c r="Q405" s="271">
        <f t="shared" ref="Q405" si="1164">+P405*$X$1</f>
        <v>787.49999999999989</v>
      </c>
      <c r="R405" s="427">
        <f t="shared" ref="R405" si="1165">F405+65</f>
        <v>777.49999999999989</v>
      </c>
      <c r="S405" s="271">
        <f t="shared" ref="S405" si="1166">+R405*$X$1</f>
        <v>777.49999999999989</v>
      </c>
      <c r="T405" s="96">
        <f t="shared" ref="T405" si="1167">F405+50</f>
        <v>762.49999999999989</v>
      </c>
      <c r="U405" s="286">
        <f t="shared" ref="U405" si="1168">+T405*$X$1</f>
        <v>762.49999999999989</v>
      </c>
      <c r="V405" s="96">
        <f t="shared" ref="V405" si="1169">F405+38</f>
        <v>750.49999999999989</v>
      </c>
      <c r="W405" s="286">
        <f t="shared" ref="W405" si="1170">+V405*$X$1</f>
        <v>750.49999999999989</v>
      </c>
      <c r="X405" s="123"/>
      <c r="Y405" s="123"/>
      <c r="Z405" s="123"/>
      <c r="AA405" s="123"/>
      <c r="AB405" s="372">
        <v>2283</v>
      </c>
    </row>
    <row r="406" spans="1:29" ht="12.6" customHeight="1" x14ac:dyDescent="0.2">
      <c r="A406" s="18"/>
      <c r="B406" s="703" t="s">
        <v>321</v>
      </c>
      <c r="C406" s="704"/>
      <c r="D406" s="704"/>
      <c r="E406" s="704"/>
      <c r="F406" s="351">
        <f>0.64*X2</f>
        <v>800</v>
      </c>
      <c r="G406" s="270">
        <f>+F406*$X$1</f>
        <v>800</v>
      </c>
      <c r="H406" s="265"/>
      <c r="I406" s="265"/>
      <c r="J406" s="569"/>
      <c r="K406" s="569"/>
      <c r="L406" s="569">
        <f t="shared" ref="L406:L417" si="1171">F406+160</f>
        <v>960</v>
      </c>
      <c r="M406" s="270">
        <f t="shared" ref="M406:M422" si="1172">+L406*$X$1</f>
        <v>960</v>
      </c>
      <c r="N406" s="569">
        <f t="shared" ref="N406:N417" si="1173">F406+100</f>
        <v>900</v>
      </c>
      <c r="O406" s="270">
        <f t="shared" ref="O406:O417" si="1174">+N406*$X$1</f>
        <v>900</v>
      </c>
      <c r="P406" s="569">
        <f t="shared" ref="P406:P417" si="1175">F406+75</f>
        <v>875</v>
      </c>
      <c r="Q406" s="270">
        <f t="shared" ref="Q406:Q422" si="1176">+P406*$X$1</f>
        <v>875</v>
      </c>
      <c r="R406" s="569">
        <f t="shared" ref="R406:R417" si="1177">F406+65</f>
        <v>865</v>
      </c>
      <c r="S406" s="270">
        <f t="shared" ref="S406:S417" si="1178">+R406*$X$1</f>
        <v>865</v>
      </c>
      <c r="T406" s="97">
        <f t="shared" ref="T406:T417" si="1179">F406+50</f>
        <v>850</v>
      </c>
      <c r="U406" s="246">
        <f t="shared" ref="U406:U422" si="1180">+T406*$X$1</f>
        <v>850</v>
      </c>
      <c r="V406" s="97">
        <f t="shared" ref="V406:V417" si="1181">F406+38</f>
        <v>838</v>
      </c>
      <c r="W406" s="246">
        <f t="shared" ref="W406:W422" si="1182">+V406*$X$1</f>
        <v>838</v>
      </c>
      <c r="X406" s="179"/>
      <c r="Y406" s="178"/>
      <c r="Z406" s="178"/>
      <c r="AA406" s="179"/>
      <c r="AB406" s="372">
        <v>2285</v>
      </c>
      <c r="AC406" s="64"/>
    </row>
    <row r="407" spans="1:29" ht="12.6" customHeight="1" x14ac:dyDescent="0.2">
      <c r="A407" s="18"/>
      <c r="B407" s="741" t="s">
        <v>322</v>
      </c>
      <c r="C407" s="755"/>
      <c r="D407" s="755"/>
      <c r="E407" s="755"/>
      <c r="F407" s="352">
        <f>0.356*X2</f>
        <v>445</v>
      </c>
      <c r="G407" s="271">
        <f>+F407*$X$1</f>
        <v>445</v>
      </c>
      <c r="H407" s="264"/>
      <c r="I407" s="264"/>
      <c r="J407" s="427"/>
      <c r="K407" s="427"/>
      <c r="L407" s="427">
        <f t="shared" si="1171"/>
        <v>605</v>
      </c>
      <c r="M407" s="271">
        <f t="shared" si="1172"/>
        <v>605</v>
      </c>
      <c r="N407" s="427">
        <f t="shared" si="1173"/>
        <v>545</v>
      </c>
      <c r="O407" s="271">
        <f t="shared" si="1174"/>
        <v>545</v>
      </c>
      <c r="P407" s="427">
        <f t="shared" si="1175"/>
        <v>520</v>
      </c>
      <c r="Q407" s="271">
        <f t="shared" si="1176"/>
        <v>520</v>
      </c>
      <c r="R407" s="427">
        <f t="shared" si="1177"/>
        <v>510</v>
      </c>
      <c r="S407" s="271">
        <f t="shared" si="1178"/>
        <v>510</v>
      </c>
      <c r="T407" s="96">
        <f t="shared" si="1179"/>
        <v>495</v>
      </c>
      <c r="U407" s="286">
        <f t="shared" si="1180"/>
        <v>495</v>
      </c>
      <c r="V407" s="96">
        <f t="shared" si="1181"/>
        <v>483</v>
      </c>
      <c r="W407" s="286">
        <f t="shared" si="1182"/>
        <v>483</v>
      </c>
      <c r="X407" s="180"/>
      <c r="Y407" s="181"/>
      <c r="Z407" s="181"/>
      <c r="AA407" s="180"/>
      <c r="AB407" s="372">
        <v>2286</v>
      </c>
      <c r="AC407" s="64"/>
    </row>
    <row r="408" spans="1:29" ht="12.6" customHeight="1" x14ac:dyDescent="0.2">
      <c r="A408" s="18"/>
      <c r="B408" s="1184" t="s">
        <v>356</v>
      </c>
      <c r="C408" s="1185"/>
      <c r="D408" s="1185"/>
      <c r="E408" s="1185"/>
      <c r="F408" s="356">
        <f>0.51*X2</f>
        <v>637.5</v>
      </c>
      <c r="G408" s="287">
        <f t="shared" ref="G408:G410" si="1183">+F408*$X$1</f>
        <v>637.5</v>
      </c>
      <c r="H408" s="443"/>
      <c r="I408" s="443"/>
      <c r="J408" s="97"/>
      <c r="K408" s="97"/>
      <c r="L408" s="569">
        <f t="shared" si="1171"/>
        <v>797.5</v>
      </c>
      <c r="M408" s="270">
        <f t="shared" si="1172"/>
        <v>797.5</v>
      </c>
      <c r="N408" s="569">
        <f t="shared" si="1173"/>
        <v>737.5</v>
      </c>
      <c r="O408" s="270">
        <f t="shared" si="1174"/>
        <v>737.5</v>
      </c>
      <c r="P408" s="569">
        <f t="shared" si="1175"/>
        <v>712.5</v>
      </c>
      <c r="Q408" s="270">
        <f t="shared" si="1176"/>
        <v>712.5</v>
      </c>
      <c r="R408" s="569">
        <f t="shared" si="1177"/>
        <v>702.5</v>
      </c>
      <c r="S408" s="270">
        <f t="shared" si="1178"/>
        <v>702.5</v>
      </c>
      <c r="T408" s="97">
        <f t="shared" si="1179"/>
        <v>687.5</v>
      </c>
      <c r="U408" s="246">
        <f t="shared" si="1180"/>
        <v>687.5</v>
      </c>
      <c r="V408" s="97">
        <f t="shared" si="1181"/>
        <v>675.5</v>
      </c>
      <c r="W408" s="246">
        <f t="shared" si="1182"/>
        <v>675.5</v>
      </c>
      <c r="X408" s="211"/>
      <c r="Y408" s="210"/>
      <c r="Z408" s="210"/>
      <c r="AA408" s="211"/>
      <c r="AB408" s="372">
        <v>2287</v>
      </c>
      <c r="AC408" s="64"/>
    </row>
    <row r="409" spans="1:29" ht="12.6" customHeight="1" x14ac:dyDescent="0.2">
      <c r="A409" s="18"/>
      <c r="B409" s="749" t="s">
        <v>365</v>
      </c>
      <c r="C409" s="750"/>
      <c r="D409" s="750"/>
      <c r="E409" s="751"/>
      <c r="F409" s="352">
        <f>1*X2</f>
        <v>1250</v>
      </c>
      <c r="G409" s="271">
        <f t="shared" si="1183"/>
        <v>1250</v>
      </c>
      <c r="H409" s="264"/>
      <c r="I409" s="264"/>
      <c r="J409" s="427"/>
      <c r="K409" s="427"/>
      <c r="L409" s="427">
        <f t="shared" si="1171"/>
        <v>1410</v>
      </c>
      <c r="M409" s="271">
        <f t="shared" si="1172"/>
        <v>1410</v>
      </c>
      <c r="N409" s="427">
        <f t="shared" si="1173"/>
        <v>1350</v>
      </c>
      <c r="O409" s="271">
        <f t="shared" si="1174"/>
        <v>1350</v>
      </c>
      <c r="P409" s="427">
        <f t="shared" si="1175"/>
        <v>1325</v>
      </c>
      <c r="Q409" s="271">
        <f t="shared" si="1176"/>
        <v>1325</v>
      </c>
      <c r="R409" s="427">
        <f t="shared" si="1177"/>
        <v>1315</v>
      </c>
      <c r="S409" s="271">
        <f t="shared" si="1178"/>
        <v>1315</v>
      </c>
      <c r="T409" s="96">
        <f t="shared" si="1179"/>
        <v>1300</v>
      </c>
      <c r="U409" s="286">
        <f t="shared" si="1180"/>
        <v>1300</v>
      </c>
      <c r="V409" s="96">
        <f t="shared" si="1181"/>
        <v>1288</v>
      </c>
      <c r="W409" s="286">
        <f t="shared" si="1182"/>
        <v>1288</v>
      </c>
      <c r="X409" s="212"/>
      <c r="Y409" s="213"/>
      <c r="Z409" s="213"/>
      <c r="AA409" s="212"/>
      <c r="AB409" s="372">
        <v>2289</v>
      </c>
      <c r="AC409" s="64"/>
    </row>
    <row r="410" spans="1:29" ht="12.6" customHeight="1" x14ac:dyDescent="0.2">
      <c r="A410" s="18"/>
      <c r="B410" s="752" t="s">
        <v>657</v>
      </c>
      <c r="C410" s="753"/>
      <c r="D410" s="753"/>
      <c r="E410" s="754"/>
      <c r="F410" s="356">
        <f>0.726*X2</f>
        <v>907.5</v>
      </c>
      <c r="G410" s="270">
        <f t="shared" si="1183"/>
        <v>907.5</v>
      </c>
      <c r="H410" s="265"/>
      <c r="I410" s="265"/>
      <c r="J410" s="569"/>
      <c r="K410" s="569"/>
      <c r="L410" s="569">
        <f t="shared" si="1171"/>
        <v>1067.5</v>
      </c>
      <c r="M410" s="270">
        <f t="shared" si="1172"/>
        <v>1067.5</v>
      </c>
      <c r="N410" s="569">
        <f t="shared" si="1173"/>
        <v>1007.5</v>
      </c>
      <c r="O410" s="270">
        <f t="shared" si="1174"/>
        <v>1007.5</v>
      </c>
      <c r="P410" s="569">
        <f t="shared" si="1175"/>
        <v>982.5</v>
      </c>
      <c r="Q410" s="270">
        <f t="shared" si="1176"/>
        <v>982.5</v>
      </c>
      <c r="R410" s="569">
        <f t="shared" si="1177"/>
        <v>972.5</v>
      </c>
      <c r="S410" s="270">
        <f t="shared" si="1178"/>
        <v>972.5</v>
      </c>
      <c r="T410" s="97">
        <f t="shared" si="1179"/>
        <v>957.5</v>
      </c>
      <c r="U410" s="246">
        <f t="shared" si="1180"/>
        <v>957.5</v>
      </c>
      <c r="V410" s="97">
        <f t="shared" si="1181"/>
        <v>945.5</v>
      </c>
      <c r="W410" s="246">
        <f t="shared" si="1182"/>
        <v>945.5</v>
      </c>
      <c r="X410" s="409"/>
      <c r="Y410" s="410"/>
      <c r="Z410" s="410"/>
      <c r="AA410" s="409"/>
      <c r="AB410" s="372">
        <v>2290</v>
      </c>
      <c r="AC410" s="64"/>
    </row>
    <row r="411" spans="1:29" ht="12.6" customHeight="1" x14ac:dyDescent="0.2">
      <c r="A411" s="18"/>
      <c r="B411" s="688" t="s">
        <v>454</v>
      </c>
      <c r="C411" s="689"/>
      <c r="D411" s="689"/>
      <c r="E411" s="690"/>
      <c r="F411" s="355">
        <f>0.47*X2</f>
        <v>587.5</v>
      </c>
      <c r="G411" s="271">
        <f t="shared" ref="G411" si="1184">+F411*$X$1</f>
        <v>587.5</v>
      </c>
      <c r="H411" s="264"/>
      <c r="I411" s="264"/>
      <c r="J411" s="427"/>
      <c r="K411" s="427"/>
      <c r="L411" s="427">
        <f t="shared" si="1171"/>
        <v>747.5</v>
      </c>
      <c r="M411" s="271">
        <f t="shared" si="1172"/>
        <v>747.5</v>
      </c>
      <c r="N411" s="427">
        <f t="shared" si="1173"/>
        <v>687.5</v>
      </c>
      <c r="O411" s="271">
        <f t="shared" si="1174"/>
        <v>687.5</v>
      </c>
      <c r="P411" s="427">
        <f t="shared" si="1175"/>
        <v>662.5</v>
      </c>
      <c r="Q411" s="271">
        <f t="shared" si="1176"/>
        <v>662.5</v>
      </c>
      <c r="R411" s="427">
        <f t="shared" si="1177"/>
        <v>652.5</v>
      </c>
      <c r="S411" s="271">
        <f t="shared" si="1178"/>
        <v>652.5</v>
      </c>
      <c r="T411" s="96">
        <f t="shared" si="1179"/>
        <v>637.5</v>
      </c>
      <c r="U411" s="286">
        <f t="shared" si="1180"/>
        <v>637.5</v>
      </c>
      <c r="V411" s="96">
        <f t="shared" si="1181"/>
        <v>625.5</v>
      </c>
      <c r="W411" s="286">
        <f t="shared" si="1182"/>
        <v>625.5</v>
      </c>
      <c r="X411" s="239"/>
      <c r="Y411" s="243"/>
      <c r="Z411" s="243"/>
      <c r="AA411" s="239"/>
      <c r="AB411" s="372">
        <v>2291</v>
      </c>
      <c r="AC411" s="64"/>
    </row>
    <row r="412" spans="1:29" ht="12.6" customHeight="1" x14ac:dyDescent="0.2">
      <c r="A412" s="18"/>
      <c r="B412" s="1160" t="s">
        <v>582</v>
      </c>
      <c r="C412" s="1161"/>
      <c r="D412" s="1161"/>
      <c r="E412" s="1162"/>
      <c r="F412" s="501">
        <f>0.25*X2</f>
        <v>312.5</v>
      </c>
      <c r="G412" s="491">
        <f t="shared" ref="G412" si="1185">+F412*$X$1</f>
        <v>312.5</v>
      </c>
      <c r="H412" s="492"/>
      <c r="I412" s="492"/>
      <c r="J412" s="597"/>
      <c r="K412" s="597"/>
      <c r="L412" s="597">
        <f t="shared" si="1171"/>
        <v>472.5</v>
      </c>
      <c r="M412" s="491">
        <f t="shared" si="1172"/>
        <v>472.5</v>
      </c>
      <c r="N412" s="597">
        <f t="shared" si="1173"/>
        <v>412.5</v>
      </c>
      <c r="O412" s="491">
        <f t="shared" si="1174"/>
        <v>412.5</v>
      </c>
      <c r="P412" s="597">
        <f t="shared" si="1175"/>
        <v>387.5</v>
      </c>
      <c r="Q412" s="491">
        <f t="shared" si="1176"/>
        <v>387.5</v>
      </c>
      <c r="R412" s="597">
        <f t="shared" si="1177"/>
        <v>377.5</v>
      </c>
      <c r="S412" s="491">
        <f t="shared" si="1178"/>
        <v>377.5</v>
      </c>
      <c r="T412" s="586">
        <f t="shared" si="1179"/>
        <v>362.5</v>
      </c>
      <c r="U412" s="585">
        <f t="shared" si="1180"/>
        <v>362.5</v>
      </c>
      <c r="V412" s="586">
        <f t="shared" si="1181"/>
        <v>350.5</v>
      </c>
      <c r="W412" s="585">
        <f t="shared" si="1182"/>
        <v>350.5</v>
      </c>
      <c r="X412" s="244"/>
      <c r="Y412" s="245"/>
      <c r="Z412" s="245"/>
      <c r="AA412" s="244"/>
      <c r="AB412" s="372">
        <v>2292</v>
      </c>
      <c r="AC412" s="64"/>
    </row>
    <row r="413" spans="1:29" ht="12.6" customHeight="1" x14ac:dyDescent="0.2">
      <c r="A413" s="18"/>
      <c r="B413" s="688" t="s">
        <v>472</v>
      </c>
      <c r="C413" s="689"/>
      <c r="D413" s="689"/>
      <c r="E413" s="690"/>
      <c r="F413" s="355">
        <f>0.89*X2</f>
        <v>1112.5</v>
      </c>
      <c r="G413" s="271">
        <f t="shared" ref="G413" si="1186">+F413*$X$1</f>
        <v>1112.5</v>
      </c>
      <c r="H413" s="264"/>
      <c r="I413" s="264"/>
      <c r="J413" s="427"/>
      <c r="K413" s="427"/>
      <c r="L413" s="427">
        <f t="shared" si="1171"/>
        <v>1272.5</v>
      </c>
      <c r="M413" s="271">
        <f t="shared" si="1172"/>
        <v>1272.5</v>
      </c>
      <c r="N413" s="427">
        <f t="shared" si="1173"/>
        <v>1212.5</v>
      </c>
      <c r="O413" s="271">
        <f t="shared" si="1174"/>
        <v>1212.5</v>
      </c>
      <c r="P413" s="427">
        <f t="shared" si="1175"/>
        <v>1187.5</v>
      </c>
      <c r="Q413" s="271">
        <f t="shared" si="1176"/>
        <v>1187.5</v>
      </c>
      <c r="R413" s="427">
        <f t="shared" si="1177"/>
        <v>1177.5</v>
      </c>
      <c r="S413" s="271">
        <f t="shared" si="1178"/>
        <v>1177.5</v>
      </c>
      <c r="T413" s="96">
        <f t="shared" si="1179"/>
        <v>1162.5</v>
      </c>
      <c r="U413" s="286">
        <f t="shared" si="1180"/>
        <v>1162.5</v>
      </c>
      <c r="V413" s="96">
        <f t="shared" si="1181"/>
        <v>1150.5</v>
      </c>
      <c r="W413" s="286">
        <f t="shared" si="1182"/>
        <v>1150.5</v>
      </c>
      <c r="X413" s="247"/>
      <c r="Y413" s="248"/>
      <c r="Z413" s="248"/>
      <c r="AA413" s="247"/>
      <c r="AB413" s="372">
        <v>2293</v>
      </c>
      <c r="AC413" s="64"/>
    </row>
    <row r="414" spans="1:29" ht="12.6" customHeight="1" x14ac:dyDescent="0.2">
      <c r="A414" s="18"/>
      <c r="B414" s="752" t="s">
        <v>529</v>
      </c>
      <c r="C414" s="753"/>
      <c r="D414" s="753"/>
      <c r="E414" s="754"/>
      <c r="F414" s="473">
        <v>380</v>
      </c>
      <c r="G414" s="270">
        <f t="shared" ref="G414" si="1187">+F414*$X$1</f>
        <v>380</v>
      </c>
      <c r="H414" s="265"/>
      <c r="I414" s="265"/>
      <c r="J414" s="569"/>
      <c r="K414" s="569"/>
      <c r="L414" s="569">
        <f t="shared" si="1171"/>
        <v>540</v>
      </c>
      <c r="M414" s="270">
        <f t="shared" si="1172"/>
        <v>540</v>
      </c>
      <c r="N414" s="569">
        <f t="shared" si="1173"/>
        <v>480</v>
      </c>
      <c r="O414" s="270">
        <f t="shared" si="1174"/>
        <v>480</v>
      </c>
      <c r="P414" s="569">
        <f t="shared" si="1175"/>
        <v>455</v>
      </c>
      <c r="Q414" s="270">
        <f t="shared" si="1176"/>
        <v>455</v>
      </c>
      <c r="R414" s="569">
        <f t="shared" si="1177"/>
        <v>445</v>
      </c>
      <c r="S414" s="270">
        <f t="shared" si="1178"/>
        <v>445</v>
      </c>
      <c r="T414" s="97">
        <f t="shared" si="1179"/>
        <v>430</v>
      </c>
      <c r="U414" s="246">
        <f t="shared" si="1180"/>
        <v>430</v>
      </c>
      <c r="V414" s="97">
        <f t="shared" si="1181"/>
        <v>418</v>
      </c>
      <c r="W414" s="246">
        <f t="shared" si="1182"/>
        <v>418</v>
      </c>
      <c r="X414" s="306"/>
      <c r="Y414" s="307"/>
      <c r="Z414" s="307"/>
      <c r="AA414" s="306"/>
      <c r="AB414" s="372">
        <v>2294</v>
      </c>
      <c r="AC414" s="64"/>
    </row>
    <row r="415" spans="1:29" ht="12.6" customHeight="1" x14ac:dyDescent="0.2">
      <c r="A415" s="18"/>
      <c r="B415" s="688" t="s">
        <v>411</v>
      </c>
      <c r="C415" s="689"/>
      <c r="D415" s="689"/>
      <c r="E415" s="690"/>
      <c r="F415" s="355">
        <f>0.7*X2</f>
        <v>875</v>
      </c>
      <c r="G415" s="271">
        <f t="shared" ref="G415" si="1188">+F415*$X$1</f>
        <v>875</v>
      </c>
      <c r="H415" s="264"/>
      <c r="I415" s="264"/>
      <c r="J415" s="427"/>
      <c r="K415" s="427"/>
      <c r="L415" s="427">
        <f t="shared" si="1171"/>
        <v>1035</v>
      </c>
      <c r="M415" s="271">
        <f t="shared" si="1172"/>
        <v>1035</v>
      </c>
      <c r="N415" s="427">
        <f t="shared" si="1173"/>
        <v>975</v>
      </c>
      <c r="O415" s="271">
        <f t="shared" si="1174"/>
        <v>975</v>
      </c>
      <c r="P415" s="427">
        <f t="shared" si="1175"/>
        <v>950</v>
      </c>
      <c r="Q415" s="271">
        <f t="shared" si="1176"/>
        <v>950</v>
      </c>
      <c r="R415" s="427">
        <f t="shared" si="1177"/>
        <v>940</v>
      </c>
      <c r="S415" s="271">
        <f t="shared" si="1178"/>
        <v>940</v>
      </c>
      <c r="T415" s="96">
        <f t="shared" si="1179"/>
        <v>925</v>
      </c>
      <c r="U415" s="286">
        <f t="shared" si="1180"/>
        <v>925</v>
      </c>
      <c r="V415" s="96">
        <f t="shared" si="1181"/>
        <v>913</v>
      </c>
      <c r="W415" s="286">
        <f t="shared" si="1182"/>
        <v>913</v>
      </c>
      <c r="X415" s="214"/>
      <c r="Y415" s="215"/>
      <c r="Z415" s="215"/>
      <c r="AA415" s="214"/>
      <c r="AB415" s="372">
        <v>2295</v>
      </c>
      <c r="AC415" s="64"/>
    </row>
    <row r="416" spans="1:29" ht="12.6" customHeight="1" x14ac:dyDescent="0.2">
      <c r="A416" s="18"/>
      <c r="B416" s="1160" t="s">
        <v>367</v>
      </c>
      <c r="C416" s="1161"/>
      <c r="D416" s="1161"/>
      <c r="E416" s="1162"/>
      <c r="F416" s="501">
        <f>0.452*X2</f>
        <v>565</v>
      </c>
      <c r="G416" s="491">
        <f t="shared" ref="G416" si="1189">+F416*$X$1</f>
        <v>565</v>
      </c>
      <c r="H416" s="492"/>
      <c r="I416" s="492"/>
      <c r="J416" s="566"/>
      <c r="K416" s="566"/>
      <c r="L416" s="566">
        <f t="shared" si="1171"/>
        <v>725</v>
      </c>
      <c r="M416" s="491">
        <f t="shared" si="1172"/>
        <v>725</v>
      </c>
      <c r="N416" s="566">
        <f t="shared" si="1173"/>
        <v>665</v>
      </c>
      <c r="O416" s="491">
        <f t="shared" si="1174"/>
        <v>665</v>
      </c>
      <c r="P416" s="566">
        <f t="shared" si="1175"/>
        <v>640</v>
      </c>
      <c r="Q416" s="491">
        <f t="shared" si="1176"/>
        <v>640</v>
      </c>
      <c r="R416" s="566">
        <f t="shared" si="1177"/>
        <v>630</v>
      </c>
      <c r="S416" s="491">
        <f t="shared" si="1178"/>
        <v>630</v>
      </c>
      <c r="T416" s="586">
        <f t="shared" si="1179"/>
        <v>615</v>
      </c>
      <c r="U416" s="585">
        <f t="shared" si="1180"/>
        <v>615</v>
      </c>
      <c r="V416" s="586">
        <f t="shared" si="1181"/>
        <v>603</v>
      </c>
      <c r="W416" s="585">
        <f t="shared" si="1182"/>
        <v>603</v>
      </c>
      <c r="X416" s="214"/>
      <c r="Y416" s="215"/>
      <c r="Z416" s="215"/>
      <c r="AA416" s="214"/>
      <c r="AB416" s="372">
        <v>2296</v>
      </c>
      <c r="AC416" s="64"/>
    </row>
    <row r="417" spans="1:29" ht="12.6" customHeight="1" x14ac:dyDescent="0.2">
      <c r="A417" s="18"/>
      <c r="B417" s="688" t="s">
        <v>511</v>
      </c>
      <c r="C417" s="689"/>
      <c r="D417" s="689"/>
      <c r="E417" s="690"/>
      <c r="F417" s="355">
        <f>0.568*X2</f>
        <v>709.99999999999989</v>
      </c>
      <c r="G417" s="271">
        <f t="shared" ref="G417" si="1190">+F417*$X$1</f>
        <v>709.99999999999989</v>
      </c>
      <c r="H417" s="264"/>
      <c r="I417" s="264"/>
      <c r="J417" s="427"/>
      <c r="K417" s="271"/>
      <c r="L417" s="427">
        <f t="shared" si="1171"/>
        <v>869.99999999999989</v>
      </c>
      <c r="M417" s="271">
        <f t="shared" si="1172"/>
        <v>869.99999999999989</v>
      </c>
      <c r="N417" s="427">
        <f t="shared" si="1173"/>
        <v>809.99999999999989</v>
      </c>
      <c r="O417" s="271">
        <f t="shared" si="1174"/>
        <v>809.99999999999989</v>
      </c>
      <c r="P417" s="427">
        <f t="shared" si="1175"/>
        <v>784.99999999999989</v>
      </c>
      <c r="Q417" s="271">
        <f t="shared" si="1176"/>
        <v>784.99999999999989</v>
      </c>
      <c r="R417" s="427">
        <f t="shared" si="1177"/>
        <v>774.99999999999989</v>
      </c>
      <c r="S417" s="271">
        <f t="shared" si="1178"/>
        <v>774.99999999999989</v>
      </c>
      <c r="T417" s="96">
        <f t="shared" si="1179"/>
        <v>759.99999999999989</v>
      </c>
      <c r="U417" s="286">
        <f t="shared" si="1180"/>
        <v>759.99999999999989</v>
      </c>
      <c r="V417" s="96">
        <f t="shared" si="1181"/>
        <v>747.99999999999989</v>
      </c>
      <c r="W417" s="286">
        <f t="shared" si="1182"/>
        <v>747.99999999999989</v>
      </c>
      <c r="X417" s="294"/>
      <c r="Y417" s="295"/>
      <c r="Z417" s="295"/>
      <c r="AA417" s="294"/>
      <c r="AB417" s="372">
        <v>2299</v>
      </c>
      <c r="AC417" s="64"/>
    </row>
    <row r="418" spans="1:29" ht="12.6" customHeight="1" x14ac:dyDescent="0.2">
      <c r="A418" s="18"/>
      <c r="B418" s="633" t="s">
        <v>837</v>
      </c>
      <c r="C418" s="634"/>
      <c r="D418" s="634"/>
      <c r="E418" s="635"/>
      <c r="F418" s="351">
        <f>1.863*X2</f>
        <v>2328.75</v>
      </c>
      <c r="G418" s="270">
        <f>+F418*$X$1</f>
        <v>2328.75</v>
      </c>
      <c r="H418" s="569">
        <f t="shared" ref="H418:H421" si="1191">F418+600</f>
        <v>2928.75</v>
      </c>
      <c r="I418" s="270">
        <f t="shared" ref="I418:I422" si="1192">+H418*$X$1</f>
        <v>2928.75</v>
      </c>
      <c r="J418" s="569">
        <f t="shared" ref="J418:J421" si="1193">F418+200</f>
        <v>2528.75</v>
      </c>
      <c r="K418" s="270">
        <f t="shared" ref="K418:K422" si="1194">+J418*$X$1</f>
        <v>2528.75</v>
      </c>
      <c r="L418" s="569">
        <f>F418+150</f>
        <v>2478.75</v>
      </c>
      <c r="M418" s="270">
        <f t="shared" si="1172"/>
        <v>2478.75</v>
      </c>
      <c r="N418" s="569">
        <f>F418+110</f>
        <v>2438.75</v>
      </c>
      <c r="O418" s="270">
        <f>+N418*$X$1</f>
        <v>2438.75</v>
      </c>
      <c r="P418" s="569">
        <f>F418+90</f>
        <v>2418.75</v>
      </c>
      <c r="Q418" s="270">
        <f t="shared" si="1176"/>
        <v>2418.75</v>
      </c>
      <c r="R418" s="569">
        <f>F418+70</f>
        <v>2398.75</v>
      </c>
      <c r="S418" s="270">
        <f>+R418*$X$1</f>
        <v>2398.75</v>
      </c>
      <c r="T418" s="569">
        <f>F418+56</f>
        <v>2384.75</v>
      </c>
      <c r="U418" s="270">
        <f t="shared" si="1180"/>
        <v>2384.75</v>
      </c>
      <c r="V418" s="569">
        <f>F418+49</f>
        <v>2377.75</v>
      </c>
      <c r="W418" s="270">
        <f t="shared" si="1182"/>
        <v>2377.75</v>
      </c>
      <c r="X418" s="641"/>
      <c r="Y418" s="707"/>
      <c r="Z418" s="707"/>
      <c r="AA418" s="643"/>
      <c r="AB418" s="372">
        <v>2310</v>
      </c>
      <c r="AC418" s="64"/>
    </row>
    <row r="419" spans="1:29" ht="12.6" customHeight="1" x14ac:dyDescent="0.2">
      <c r="A419" s="18"/>
      <c r="B419" s="741" t="s">
        <v>401</v>
      </c>
      <c r="C419" s="742"/>
      <c r="D419" s="742"/>
      <c r="E419" s="742"/>
      <c r="F419" s="352">
        <f>1.3*X2</f>
        <v>1625</v>
      </c>
      <c r="G419" s="271">
        <f>+F419*$X$1</f>
        <v>1625</v>
      </c>
      <c r="H419" s="427">
        <f t="shared" si="1191"/>
        <v>2225</v>
      </c>
      <c r="I419" s="271">
        <f t="shared" si="1192"/>
        <v>2225</v>
      </c>
      <c r="J419" s="427">
        <f t="shared" si="1193"/>
        <v>1825</v>
      </c>
      <c r="K419" s="271">
        <f t="shared" si="1194"/>
        <v>1825</v>
      </c>
      <c r="L419" s="427">
        <f>F419+150</f>
        <v>1775</v>
      </c>
      <c r="M419" s="271">
        <f t="shared" si="1172"/>
        <v>1775</v>
      </c>
      <c r="N419" s="427">
        <f>F419+110</f>
        <v>1735</v>
      </c>
      <c r="O419" s="271">
        <f>+N419*$X$1</f>
        <v>1735</v>
      </c>
      <c r="P419" s="427">
        <f>F419+90</f>
        <v>1715</v>
      </c>
      <c r="Q419" s="271">
        <f t="shared" si="1176"/>
        <v>1715</v>
      </c>
      <c r="R419" s="427">
        <f>F419+70</f>
        <v>1695</v>
      </c>
      <c r="S419" s="271">
        <f>+R419*$X$1</f>
        <v>1695</v>
      </c>
      <c r="T419" s="427">
        <f>F419+56</f>
        <v>1681</v>
      </c>
      <c r="U419" s="271">
        <f t="shared" si="1180"/>
        <v>1681</v>
      </c>
      <c r="V419" s="427">
        <f>F419+49</f>
        <v>1674</v>
      </c>
      <c r="W419" s="271">
        <f t="shared" si="1182"/>
        <v>1674</v>
      </c>
      <c r="X419" s="641"/>
      <c r="Y419" s="707"/>
      <c r="Z419" s="707"/>
      <c r="AA419" s="643"/>
      <c r="AB419" s="372">
        <v>2322</v>
      </c>
      <c r="AC419" s="64"/>
    </row>
    <row r="420" spans="1:29" ht="12.6" customHeight="1" x14ac:dyDescent="0.2">
      <c r="A420" s="18"/>
      <c r="B420" s="693" t="s">
        <v>871</v>
      </c>
      <c r="C420" s="981"/>
      <c r="D420" s="981"/>
      <c r="E420" s="981"/>
      <c r="F420" s="351">
        <f>1.3*X2</f>
        <v>1625</v>
      </c>
      <c r="G420" s="270">
        <f>+F420*$X$1</f>
        <v>1625</v>
      </c>
      <c r="H420" s="569">
        <f t="shared" si="1191"/>
        <v>2225</v>
      </c>
      <c r="I420" s="270">
        <f t="shared" si="1192"/>
        <v>2225</v>
      </c>
      <c r="J420" s="569">
        <f t="shared" si="1193"/>
        <v>1825</v>
      </c>
      <c r="K420" s="270">
        <f t="shared" si="1194"/>
        <v>1825</v>
      </c>
      <c r="L420" s="569">
        <f>F420+150</f>
        <v>1775</v>
      </c>
      <c r="M420" s="270">
        <f t="shared" si="1172"/>
        <v>1775</v>
      </c>
      <c r="N420" s="569">
        <f>F420+110</f>
        <v>1735</v>
      </c>
      <c r="O420" s="270">
        <f>+N420*$X$1</f>
        <v>1735</v>
      </c>
      <c r="P420" s="569">
        <f>F420+90</f>
        <v>1715</v>
      </c>
      <c r="Q420" s="270">
        <f t="shared" si="1176"/>
        <v>1715</v>
      </c>
      <c r="R420" s="569">
        <f>F420+70</f>
        <v>1695</v>
      </c>
      <c r="S420" s="270">
        <f>+R420*$X$1</f>
        <v>1695</v>
      </c>
      <c r="T420" s="569">
        <f>F420+56</f>
        <v>1681</v>
      </c>
      <c r="U420" s="270">
        <f t="shared" si="1180"/>
        <v>1681</v>
      </c>
      <c r="V420" s="569">
        <f>F420+49</f>
        <v>1674</v>
      </c>
      <c r="W420" s="270">
        <f t="shared" si="1182"/>
        <v>1674</v>
      </c>
      <c r="X420" s="641"/>
      <c r="Y420" s="707"/>
      <c r="Z420" s="707"/>
      <c r="AA420" s="643"/>
      <c r="AB420" s="372" t="s">
        <v>893</v>
      </c>
      <c r="AC420" s="64"/>
    </row>
    <row r="421" spans="1:29" ht="12.6" customHeight="1" x14ac:dyDescent="0.2">
      <c r="A421" s="18"/>
      <c r="B421" s="741" t="s">
        <v>794</v>
      </c>
      <c r="C421" s="742"/>
      <c r="D421" s="742"/>
      <c r="E421" s="742"/>
      <c r="F421" s="352">
        <f>1.53*X2</f>
        <v>1912.5</v>
      </c>
      <c r="G421" s="271">
        <f>+F421*$X$1</f>
        <v>1912.5</v>
      </c>
      <c r="H421" s="427">
        <f t="shared" si="1191"/>
        <v>2512.5</v>
      </c>
      <c r="I421" s="271">
        <f t="shared" si="1192"/>
        <v>2512.5</v>
      </c>
      <c r="J421" s="427">
        <f t="shared" si="1193"/>
        <v>2112.5</v>
      </c>
      <c r="K421" s="271">
        <f t="shared" si="1194"/>
        <v>2112.5</v>
      </c>
      <c r="L421" s="427">
        <f>F421+150</f>
        <v>2062.5</v>
      </c>
      <c r="M421" s="271">
        <f t="shared" si="1172"/>
        <v>2062.5</v>
      </c>
      <c r="N421" s="427">
        <f>F421+110</f>
        <v>2022.5</v>
      </c>
      <c r="O421" s="271">
        <f>+N421*$X$1</f>
        <v>2022.5</v>
      </c>
      <c r="P421" s="427">
        <f>F421+90</f>
        <v>2002.5</v>
      </c>
      <c r="Q421" s="271">
        <f t="shared" si="1176"/>
        <v>2002.5</v>
      </c>
      <c r="R421" s="427">
        <f>F421+70</f>
        <v>1982.5</v>
      </c>
      <c r="S421" s="271">
        <f>+R421*$X$1</f>
        <v>1982.5</v>
      </c>
      <c r="T421" s="427">
        <f>F421+56</f>
        <v>1968.5</v>
      </c>
      <c r="U421" s="271">
        <f t="shared" si="1180"/>
        <v>1968.5</v>
      </c>
      <c r="V421" s="427">
        <f>F421+49</f>
        <v>1961.5</v>
      </c>
      <c r="W421" s="271">
        <f t="shared" si="1182"/>
        <v>1961.5</v>
      </c>
      <c r="X421" s="641"/>
      <c r="Y421" s="707"/>
      <c r="Z421" s="707"/>
      <c r="AA421" s="643"/>
      <c r="AB421" s="372">
        <v>2327</v>
      </c>
      <c r="AC421" s="64"/>
    </row>
    <row r="422" spans="1:29" ht="12.6" customHeight="1" x14ac:dyDescent="0.2">
      <c r="A422" s="18"/>
      <c r="B422" s="633" t="s">
        <v>241</v>
      </c>
      <c r="C422" s="747"/>
      <c r="D422" s="747"/>
      <c r="E422" s="748"/>
      <c r="F422" s="351">
        <f>3.407*X2</f>
        <v>4258.75</v>
      </c>
      <c r="G422" s="270">
        <f>+F422*$X$1</f>
        <v>4258.75</v>
      </c>
      <c r="H422" s="569">
        <f>F422+650</f>
        <v>4908.75</v>
      </c>
      <c r="I422" s="270">
        <f t="shared" si="1192"/>
        <v>4908.75</v>
      </c>
      <c r="J422" s="569">
        <f>F422+230</f>
        <v>4488.75</v>
      </c>
      <c r="K422" s="270">
        <f t="shared" si="1194"/>
        <v>4488.75</v>
      </c>
      <c r="L422" s="569">
        <f>F422+190</f>
        <v>4448.75</v>
      </c>
      <c r="M422" s="270">
        <f t="shared" si="1172"/>
        <v>4448.75</v>
      </c>
      <c r="N422" s="569">
        <f>F422+150</f>
        <v>4408.75</v>
      </c>
      <c r="O422" s="270">
        <f t="shared" ref="O422" si="1195">+N422*$X$1</f>
        <v>4408.75</v>
      </c>
      <c r="P422" s="569">
        <f>F422+130</f>
        <v>4388.75</v>
      </c>
      <c r="Q422" s="270">
        <f t="shared" si="1176"/>
        <v>4388.75</v>
      </c>
      <c r="R422" s="569">
        <f>F422+110</f>
        <v>4368.75</v>
      </c>
      <c r="S422" s="270">
        <f t="shared" ref="S422" si="1196">+R422*$X$1</f>
        <v>4368.75</v>
      </c>
      <c r="T422" s="569">
        <f>F422+90</f>
        <v>4348.75</v>
      </c>
      <c r="U422" s="270">
        <f t="shared" si="1180"/>
        <v>4348.75</v>
      </c>
      <c r="V422" s="569">
        <f>F422+70</f>
        <v>4328.75</v>
      </c>
      <c r="W422" s="270">
        <f t="shared" si="1182"/>
        <v>4328.75</v>
      </c>
      <c r="X422" s="641"/>
      <c r="Y422" s="707"/>
      <c r="Z422" s="707"/>
      <c r="AA422" s="643"/>
      <c r="AB422" s="372">
        <v>2330</v>
      </c>
      <c r="AC422" s="64"/>
    </row>
    <row r="423" spans="1:29" ht="12.6" customHeight="1" x14ac:dyDescent="0.2">
      <c r="A423" s="98"/>
      <c r="B423" s="735" t="s">
        <v>860</v>
      </c>
      <c r="C423" s="736"/>
      <c r="D423" s="736"/>
      <c r="E423" s="737"/>
      <c r="F423" s="352">
        <f>1.3*X2</f>
        <v>1625</v>
      </c>
      <c r="G423" s="271">
        <f t="shared" ref="G423" si="1197">+F423*$X$1</f>
        <v>1625</v>
      </c>
      <c r="H423" s="427">
        <f>F423+650</f>
        <v>2275</v>
      </c>
      <c r="I423" s="271">
        <f t="shared" ref="I423" si="1198">+H423*$X$1</f>
        <v>2275</v>
      </c>
      <c r="J423" s="427">
        <f>F423+230</f>
        <v>1855</v>
      </c>
      <c r="K423" s="271">
        <f t="shared" ref="K423" si="1199">+J423*$X$1</f>
        <v>1855</v>
      </c>
      <c r="L423" s="427">
        <f>F423+190</f>
        <v>1815</v>
      </c>
      <c r="M423" s="271">
        <f t="shared" ref="M423" si="1200">+L423*$X$1</f>
        <v>1815</v>
      </c>
      <c r="N423" s="427">
        <f>F423+150</f>
        <v>1775</v>
      </c>
      <c r="O423" s="271">
        <f t="shared" ref="O423" si="1201">+N423*$X$1</f>
        <v>1775</v>
      </c>
      <c r="P423" s="427">
        <f>F423+130</f>
        <v>1755</v>
      </c>
      <c r="Q423" s="271">
        <f t="shared" ref="Q423" si="1202">+P423*$X$1</f>
        <v>1755</v>
      </c>
      <c r="R423" s="427">
        <f>F423+110</f>
        <v>1735</v>
      </c>
      <c r="S423" s="271">
        <f t="shared" ref="S423" si="1203">+R423*$X$1</f>
        <v>1735</v>
      </c>
      <c r="T423" s="427">
        <f>F423+90</f>
        <v>1715</v>
      </c>
      <c r="U423" s="271">
        <f t="shared" ref="U423" si="1204">+T423*$X$1</f>
        <v>1715</v>
      </c>
      <c r="V423" s="427">
        <f>F423+70</f>
        <v>1695</v>
      </c>
      <c r="W423" s="271">
        <f t="shared" ref="W423" si="1205">+V423*$X$1</f>
        <v>1695</v>
      </c>
      <c r="X423" s="641"/>
      <c r="Y423" s="707"/>
      <c r="Z423" s="707"/>
      <c r="AA423" s="643"/>
      <c r="AB423" s="372">
        <v>2331</v>
      </c>
      <c r="AC423" s="64"/>
    </row>
    <row r="424" spans="1:29" ht="12.6" customHeight="1" x14ac:dyDescent="0.2">
      <c r="A424" s="98"/>
      <c r="B424" s="735" t="s">
        <v>854</v>
      </c>
      <c r="C424" s="736"/>
      <c r="D424" s="736"/>
      <c r="E424" s="737"/>
      <c r="F424" s="532">
        <f>4.8*X2</f>
        <v>6000</v>
      </c>
      <c r="G424" s="270">
        <f t="shared" ref="G424" si="1206">+F424*$X$1</f>
        <v>6000</v>
      </c>
      <c r="H424" s="569">
        <f>F424+800</f>
        <v>6800</v>
      </c>
      <c r="I424" s="270">
        <f t="shared" ref="I424:I426" si="1207">+H424*$X$1</f>
        <v>6800</v>
      </c>
      <c r="J424" s="569">
        <f>F424+350</f>
        <v>6350</v>
      </c>
      <c r="K424" s="270">
        <f t="shared" ref="K424:K426" si="1208">+J424*$X$1</f>
        <v>6350</v>
      </c>
      <c r="L424" s="569">
        <f>F424+290</f>
        <v>6290</v>
      </c>
      <c r="M424" s="270">
        <f t="shared" ref="M424:M426" si="1209">+L424*$X$1</f>
        <v>6290</v>
      </c>
      <c r="N424" s="569">
        <f>F424+230</f>
        <v>6230</v>
      </c>
      <c r="O424" s="270">
        <f t="shared" ref="O424:O426" si="1210">+N424*$X$1</f>
        <v>6230</v>
      </c>
      <c r="P424" s="569">
        <f>F424+200</f>
        <v>6200</v>
      </c>
      <c r="Q424" s="270">
        <f t="shared" ref="Q424:Q426" si="1211">+P424*$X$1</f>
        <v>6200</v>
      </c>
      <c r="R424" s="569">
        <f>F424+170</f>
        <v>6170</v>
      </c>
      <c r="S424" s="270">
        <f t="shared" ref="S424:S426" si="1212">+R424*$X$1</f>
        <v>6170</v>
      </c>
      <c r="T424" s="569">
        <f>F424+140</f>
        <v>6140</v>
      </c>
      <c r="U424" s="270">
        <f t="shared" ref="U424:U426" si="1213">+T424*$X$1</f>
        <v>6140</v>
      </c>
      <c r="V424" s="569">
        <f>F424+105</f>
        <v>6105</v>
      </c>
      <c r="W424" s="270">
        <f t="shared" ref="W424:W426" si="1214">+V424*$X$1</f>
        <v>6105</v>
      </c>
      <c r="X424" s="641"/>
      <c r="Y424" s="707"/>
      <c r="Z424" s="707"/>
      <c r="AA424" s="643"/>
      <c r="AB424" s="372">
        <v>2332</v>
      </c>
      <c r="AC424" s="64"/>
    </row>
    <row r="425" spans="1:29" ht="12.6" customHeight="1" x14ac:dyDescent="0.2">
      <c r="A425" s="98"/>
      <c r="B425" s="708" t="s">
        <v>368</v>
      </c>
      <c r="C425" s="709"/>
      <c r="D425" s="709"/>
      <c r="E425" s="710"/>
      <c r="F425" s="352">
        <f>1.15*X2</f>
        <v>1437.5</v>
      </c>
      <c r="G425" s="271">
        <f t="shared" ref="G425" si="1215">+F425*$X$1</f>
        <v>1437.5</v>
      </c>
      <c r="H425" s="427">
        <f>F425+650</f>
        <v>2087.5</v>
      </c>
      <c r="I425" s="271">
        <f t="shared" si="1207"/>
        <v>2087.5</v>
      </c>
      <c r="J425" s="427">
        <f>F425+230</f>
        <v>1667.5</v>
      </c>
      <c r="K425" s="271">
        <f t="shared" si="1208"/>
        <v>1667.5</v>
      </c>
      <c r="L425" s="427">
        <f>F425+190</f>
        <v>1627.5</v>
      </c>
      <c r="M425" s="271">
        <f t="shared" si="1209"/>
        <v>1627.5</v>
      </c>
      <c r="N425" s="427">
        <f>F425+150</f>
        <v>1587.5</v>
      </c>
      <c r="O425" s="271">
        <f t="shared" si="1210"/>
        <v>1587.5</v>
      </c>
      <c r="P425" s="427">
        <f>F425+130</f>
        <v>1567.5</v>
      </c>
      <c r="Q425" s="271">
        <f t="shared" si="1211"/>
        <v>1567.5</v>
      </c>
      <c r="R425" s="427">
        <f>F425+110</f>
        <v>1547.5</v>
      </c>
      <c r="S425" s="271">
        <f t="shared" si="1212"/>
        <v>1547.5</v>
      </c>
      <c r="T425" s="427">
        <f>F425+90</f>
        <v>1527.5</v>
      </c>
      <c r="U425" s="271">
        <f t="shared" si="1213"/>
        <v>1527.5</v>
      </c>
      <c r="V425" s="427">
        <f>F425+70</f>
        <v>1507.5</v>
      </c>
      <c r="W425" s="271">
        <f t="shared" si="1214"/>
        <v>1507.5</v>
      </c>
      <c r="X425" s="641"/>
      <c r="Y425" s="707"/>
      <c r="Z425" s="707"/>
      <c r="AA425" s="643"/>
      <c r="AB425" s="372">
        <v>2334</v>
      </c>
      <c r="AC425" s="64"/>
    </row>
    <row r="426" spans="1:29" ht="12.6" customHeight="1" x14ac:dyDescent="0.2">
      <c r="A426" s="98"/>
      <c r="B426" s="738" t="s">
        <v>242</v>
      </c>
      <c r="C426" s="739"/>
      <c r="D426" s="739"/>
      <c r="E426" s="740"/>
      <c r="F426" s="356">
        <f>1.35*X2</f>
        <v>1687.5</v>
      </c>
      <c r="G426" s="287">
        <f t="shared" ref="G426" si="1216">+F426*$X$1</f>
        <v>1687.5</v>
      </c>
      <c r="H426" s="569">
        <f>F426+650</f>
        <v>2337.5</v>
      </c>
      <c r="I426" s="270">
        <f t="shared" si="1207"/>
        <v>2337.5</v>
      </c>
      <c r="J426" s="569">
        <f>F426+230</f>
        <v>1917.5</v>
      </c>
      <c r="K426" s="270">
        <f t="shared" si="1208"/>
        <v>1917.5</v>
      </c>
      <c r="L426" s="569">
        <f>F426+190</f>
        <v>1877.5</v>
      </c>
      <c r="M426" s="270">
        <f t="shared" si="1209"/>
        <v>1877.5</v>
      </c>
      <c r="N426" s="569">
        <f>F426+150</f>
        <v>1837.5</v>
      </c>
      <c r="O426" s="270">
        <f t="shared" si="1210"/>
        <v>1837.5</v>
      </c>
      <c r="P426" s="569">
        <f>F426+130</f>
        <v>1817.5</v>
      </c>
      <c r="Q426" s="270">
        <f t="shared" si="1211"/>
        <v>1817.5</v>
      </c>
      <c r="R426" s="569">
        <f>F426+110</f>
        <v>1797.5</v>
      </c>
      <c r="S426" s="270">
        <f t="shared" si="1212"/>
        <v>1797.5</v>
      </c>
      <c r="T426" s="569">
        <f>F426+90</f>
        <v>1777.5</v>
      </c>
      <c r="U426" s="270">
        <f t="shared" si="1213"/>
        <v>1777.5</v>
      </c>
      <c r="V426" s="569">
        <f>F426+70</f>
        <v>1757.5</v>
      </c>
      <c r="W426" s="270">
        <f t="shared" si="1214"/>
        <v>1757.5</v>
      </c>
      <c r="X426" s="641"/>
      <c r="Y426" s="707"/>
      <c r="Z426" s="707"/>
      <c r="AA426" s="643"/>
      <c r="AB426" s="386">
        <v>2336</v>
      </c>
      <c r="AC426" s="64"/>
    </row>
    <row r="427" spans="1:29" ht="12.6" customHeight="1" x14ac:dyDescent="0.2">
      <c r="A427" s="18"/>
      <c r="B427" s="708" t="s">
        <v>243</v>
      </c>
      <c r="C427" s="709"/>
      <c r="D427" s="709"/>
      <c r="E427" s="710"/>
      <c r="F427" s="352">
        <f>1.36*X2</f>
        <v>1700.0000000000002</v>
      </c>
      <c r="G427" s="271">
        <f>+F427*$X$1</f>
        <v>1700.0000000000002</v>
      </c>
      <c r="H427" s="427">
        <f t="shared" ref="H427" si="1217">F427+600</f>
        <v>2300</v>
      </c>
      <c r="I427" s="271">
        <f t="shared" ref="I427" si="1218">+H427*$X$1</f>
        <v>2300</v>
      </c>
      <c r="J427" s="427">
        <f t="shared" ref="J427" si="1219">F427+200</f>
        <v>1900.0000000000002</v>
      </c>
      <c r="K427" s="271">
        <f t="shared" ref="K427" si="1220">+J427*$X$1</f>
        <v>1900.0000000000002</v>
      </c>
      <c r="L427" s="427">
        <f>F427+150</f>
        <v>1850.0000000000002</v>
      </c>
      <c r="M427" s="271">
        <f t="shared" ref="M427" si="1221">+L427*$X$1</f>
        <v>1850.0000000000002</v>
      </c>
      <c r="N427" s="427">
        <f>F427+110</f>
        <v>1810.0000000000002</v>
      </c>
      <c r="O427" s="271">
        <f t="shared" ref="O427:O441" si="1222">+N427*$X$1</f>
        <v>1810.0000000000002</v>
      </c>
      <c r="P427" s="427">
        <f>F427+90</f>
        <v>1790.0000000000002</v>
      </c>
      <c r="Q427" s="271">
        <f t="shared" ref="Q427" si="1223">+P427*$X$1</f>
        <v>1790.0000000000002</v>
      </c>
      <c r="R427" s="427">
        <f>F427+70</f>
        <v>1770.0000000000002</v>
      </c>
      <c r="S427" s="271">
        <f t="shared" ref="S427:S441" si="1224">+R427*$X$1</f>
        <v>1770.0000000000002</v>
      </c>
      <c r="T427" s="427">
        <f>F427+56</f>
        <v>1756.0000000000002</v>
      </c>
      <c r="U427" s="271">
        <f t="shared" ref="U427" si="1225">+T427*$X$1</f>
        <v>1756.0000000000002</v>
      </c>
      <c r="V427" s="427">
        <f>F427+49</f>
        <v>1749.0000000000002</v>
      </c>
      <c r="W427" s="271">
        <f t="shared" ref="W427" si="1226">+V427*$X$1</f>
        <v>1749.0000000000002</v>
      </c>
      <c r="X427" s="641"/>
      <c r="Y427" s="707"/>
      <c r="Z427" s="707"/>
      <c r="AA427" s="643"/>
      <c r="AB427" s="372">
        <v>2337</v>
      </c>
      <c r="AC427" s="64"/>
    </row>
    <row r="428" spans="1:29" ht="12.6" customHeight="1" x14ac:dyDescent="0.2">
      <c r="A428" s="18"/>
      <c r="B428" s="756" t="s">
        <v>244</v>
      </c>
      <c r="C428" s="757"/>
      <c r="D428" s="757"/>
      <c r="E428" s="758"/>
      <c r="F428" s="532">
        <f>1.84*X2</f>
        <v>2300</v>
      </c>
      <c r="G428" s="533">
        <f t="shared" ref="G428" si="1227">+F428*$X$1</f>
        <v>2300</v>
      </c>
      <c r="H428" s="569">
        <f t="shared" ref="H428:H429" si="1228">F428+600</f>
        <v>2900</v>
      </c>
      <c r="I428" s="270">
        <f t="shared" ref="I428:I429" si="1229">+H428*$X$1</f>
        <v>2900</v>
      </c>
      <c r="J428" s="569">
        <f t="shared" ref="J428:J429" si="1230">F428+200</f>
        <v>2500</v>
      </c>
      <c r="K428" s="270">
        <f t="shared" ref="K428:K429" si="1231">+J428*$X$1</f>
        <v>2500</v>
      </c>
      <c r="L428" s="569">
        <f>F428+150</f>
        <v>2450</v>
      </c>
      <c r="M428" s="270">
        <f t="shared" ref="M428:M429" si="1232">+L428*$X$1</f>
        <v>2450</v>
      </c>
      <c r="N428" s="569">
        <f>F428+110</f>
        <v>2410</v>
      </c>
      <c r="O428" s="270">
        <f t="shared" si="1222"/>
        <v>2410</v>
      </c>
      <c r="P428" s="569">
        <f>F428+90</f>
        <v>2390</v>
      </c>
      <c r="Q428" s="270">
        <f t="shared" ref="Q428:Q429" si="1233">+P428*$X$1</f>
        <v>2390</v>
      </c>
      <c r="R428" s="569">
        <f>F428+70</f>
        <v>2370</v>
      </c>
      <c r="S428" s="270">
        <f t="shared" si="1224"/>
        <v>2370</v>
      </c>
      <c r="T428" s="569">
        <f>F428+56</f>
        <v>2356</v>
      </c>
      <c r="U428" s="270">
        <f t="shared" ref="U428:U429" si="1234">+T428*$X$1</f>
        <v>2356</v>
      </c>
      <c r="V428" s="569">
        <f>F428+49</f>
        <v>2349</v>
      </c>
      <c r="W428" s="270">
        <f t="shared" ref="W428:W429" si="1235">+V428*$X$1</f>
        <v>2349</v>
      </c>
      <c r="X428" s="641"/>
      <c r="Y428" s="707"/>
      <c r="Z428" s="707"/>
      <c r="AA428" s="643"/>
      <c r="AB428" s="372">
        <v>2338</v>
      </c>
      <c r="AC428" s="64"/>
    </row>
    <row r="429" spans="1:29" ht="12.6" customHeight="1" x14ac:dyDescent="0.2">
      <c r="A429" s="18"/>
      <c r="B429" s="708" t="s">
        <v>310</v>
      </c>
      <c r="C429" s="709"/>
      <c r="D429" s="709"/>
      <c r="E429" s="710"/>
      <c r="F429" s="534">
        <f>1.24*X2</f>
        <v>1550</v>
      </c>
      <c r="G429" s="271">
        <f>+F429*$X$1</f>
        <v>1550</v>
      </c>
      <c r="H429" s="427">
        <f t="shared" si="1228"/>
        <v>2150</v>
      </c>
      <c r="I429" s="271">
        <f t="shared" si="1229"/>
        <v>2150</v>
      </c>
      <c r="J429" s="427">
        <f t="shared" si="1230"/>
        <v>1750</v>
      </c>
      <c r="K429" s="271">
        <f t="shared" si="1231"/>
        <v>1750</v>
      </c>
      <c r="L429" s="427">
        <f>F429+150</f>
        <v>1700</v>
      </c>
      <c r="M429" s="271">
        <f t="shared" si="1232"/>
        <v>1700</v>
      </c>
      <c r="N429" s="427">
        <f>F429+110</f>
        <v>1660</v>
      </c>
      <c r="O429" s="271">
        <f t="shared" si="1222"/>
        <v>1660</v>
      </c>
      <c r="P429" s="427">
        <f>F429+90</f>
        <v>1640</v>
      </c>
      <c r="Q429" s="271">
        <f t="shared" si="1233"/>
        <v>1640</v>
      </c>
      <c r="R429" s="427">
        <f>F429+70</f>
        <v>1620</v>
      </c>
      <c r="S429" s="271">
        <f t="shared" si="1224"/>
        <v>1620</v>
      </c>
      <c r="T429" s="427">
        <f>F429+56</f>
        <v>1606</v>
      </c>
      <c r="U429" s="271">
        <f t="shared" si="1234"/>
        <v>1606</v>
      </c>
      <c r="V429" s="427">
        <f>F429+49</f>
        <v>1599</v>
      </c>
      <c r="W429" s="271">
        <f t="shared" si="1235"/>
        <v>1599</v>
      </c>
      <c r="X429" s="165"/>
      <c r="Y429" s="168"/>
      <c r="Z429" s="168"/>
      <c r="AA429" s="167"/>
      <c r="AB429" s="372">
        <v>2340</v>
      </c>
      <c r="AC429" s="64"/>
    </row>
    <row r="430" spans="1:29" ht="12.6" customHeight="1" x14ac:dyDescent="0.2">
      <c r="A430" s="18"/>
      <c r="B430" s="633" t="s">
        <v>881</v>
      </c>
      <c r="C430" s="634"/>
      <c r="D430" s="634"/>
      <c r="E430" s="635"/>
      <c r="F430" s="532">
        <f>6.96*X2</f>
        <v>8700</v>
      </c>
      <c r="G430" s="270">
        <f t="shared" ref="G430" si="1236">+F430*$X$1</f>
        <v>8700</v>
      </c>
      <c r="H430" s="569">
        <f>F430+800</f>
        <v>9500</v>
      </c>
      <c r="I430" s="270">
        <f t="shared" ref="I430" si="1237">+H430*$X$1</f>
        <v>9500</v>
      </c>
      <c r="J430" s="569">
        <f>F430+300</f>
        <v>9000</v>
      </c>
      <c r="K430" s="270">
        <f t="shared" ref="K430" si="1238">+J430*$X$1</f>
        <v>9000</v>
      </c>
      <c r="L430" s="569">
        <f>F430+230</f>
        <v>8930</v>
      </c>
      <c r="M430" s="270">
        <f t="shared" ref="M430" si="1239">+L430*$X$1</f>
        <v>8930</v>
      </c>
      <c r="N430" s="569">
        <f>F430+170</f>
        <v>8870</v>
      </c>
      <c r="O430" s="270">
        <f t="shared" si="1222"/>
        <v>8870</v>
      </c>
      <c r="P430" s="569">
        <f>F430+140</f>
        <v>8840</v>
      </c>
      <c r="Q430" s="270">
        <f t="shared" ref="Q430" si="1240">+P430*$X$1</f>
        <v>8840</v>
      </c>
      <c r="R430" s="569">
        <f>F430+110</f>
        <v>8810</v>
      </c>
      <c r="S430" s="270">
        <f t="shared" si="1224"/>
        <v>8810</v>
      </c>
      <c r="T430" s="569">
        <f>F430+90</f>
        <v>8790</v>
      </c>
      <c r="U430" s="270">
        <f t="shared" ref="U430" si="1241">+T430*$X$1</f>
        <v>8790</v>
      </c>
      <c r="V430" s="569">
        <f>F430+78</f>
        <v>8778</v>
      </c>
      <c r="W430" s="270">
        <f t="shared" ref="W430" si="1242">+V430*$X$1</f>
        <v>8778</v>
      </c>
      <c r="X430" s="515"/>
      <c r="Y430" s="516"/>
      <c r="Z430" s="516"/>
      <c r="AA430" s="517"/>
      <c r="AB430" s="372">
        <v>2341</v>
      </c>
      <c r="AC430" s="64"/>
    </row>
    <row r="431" spans="1:29" ht="12.6" customHeight="1" x14ac:dyDescent="0.2">
      <c r="A431" s="18"/>
      <c r="B431" s="708" t="s">
        <v>667</v>
      </c>
      <c r="C431" s="709"/>
      <c r="D431" s="709"/>
      <c r="E431" s="710"/>
      <c r="F431" s="352">
        <f>11.93*X2</f>
        <v>14912.5</v>
      </c>
      <c r="G431" s="271">
        <f t="shared" ref="G431" si="1243">+F431*$X$1</f>
        <v>14912.5</v>
      </c>
      <c r="H431" s="427">
        <f t="shared" ref="H431:H441" si="1244">F431+600</f>
        <v>15512.5</v>
      </c>
      <c r="I431" s="271">
        <f t="shared" ref="I431:I442" si="1245">+H431*$X$1</f>
        <v>15512.5</v>
      </c>
      <c r="J431" s="427">
        <f t="shared" ref="J431:J441" si="1246">F431+200</f>
        <v>15112.5</v>
      </c>
      <c r="K431" s="271">
        <f t="shared" ref="K431:K442" si="1247">+J431*$X$1</f>
        <v>15112.5</v>
      </c>
      <c r="L431" s="427">
        <f t="shared" ref="L431:L441" si="1248">F431+150</f>
        <v>15062.5</v>
      </c>
      <c r="M431" s="271">
        <f t="shared" ref="M431:M442" si="1249">+L431*$X$1</f>
        <v>15062.5</v>
      </c>
      <c r="N431" s="427">
        <f t="shared" ref="N431:N441" si="1250">F431+110</f>
        <v>15022.5</v>
      </c>
      <c r="O431" s="271">
        <f t="shared" si="1222"/>
        <v>15022.5</v>
      </c>
      <c r="P431" s="427">
        <f t="shared" ref="P431:P441" si="1251">F431+90</f>
        <v>15002.5</v>
      </c>
      <c r="Q431" s="271">
        <f t="shared" ref="Q431:Q442" si="1252">+P431*$X$1</f>
        <v>15002.5</v>
      </c>
      <c r="R431" s="427">
        <f t="shared" ref="R431:R441" si="1253">F431+70</f>
        <v>14982.5</v>
      </c>
      <c r="S431" s="271">
        <f t="shared" si="1224"/>
        <v>14982.5</v>
      </c>
      <c r="T431" s="427">
        <f t="shared" ref="T431:T441" si="1254">F431+56</f>
        <v>14968.5</v>
      </c>
      <c r="U431" s="271">
        <f t="shared" ref="U431:U442" si="1255">+T431*$X$1</f>
        <v>14968.5</v>
      </c>
      <c r="V431" s="427">
        <f t="shared" ref="V431:V441" si="1256">F431+49</f>
        <v>14961.5</v>
      </c>
      <c r="W431" s="271">
        <f t="shared" ref="W431:W442" si="1257">+V431*$X$1</f>
        <v>14961.5</v>
      </c>
      <c r="X431" s="413"/>
      <c r="Y431" s="414"/>
      <c r="Z431" s="414"/>
      <c r="AA431" s="415"/>
      <c r="AB431" s="372">
        <v>2342</v>
      </c>
      <c r="AC431" s="64"/>
    </row>
    <row r="432" spans="1:29" ht="12.6" customHeight="1" x14ac:dyDescent="0.2">
      <c r="A432" s="18"/>
      <c r="B432" s="756" t="s">
        <v>666</v>
      </c>
      <c r="C432" s="757"/>
      <c r="D432" s="757"/>
      <c r="E432" s="758"/>
      <c r="F432" s="532">
        <f>14.07*X2</f>
        <v>17587.5</v>
      </c>
      <c r="G432" s="533">
        <f t="shared" ref="G432" si="1258">+F432*$X$1</f>
        <v>17587.5</v>
      </c>
      <c r="H432" s="569">
        <f t="shared" si="1244"/>
        <v>18187.5</v>
      </c>
      <c r="I432" s="270">
        <f t="shared" si="1245"/>
        <v>18187.5</v>
      </c>
      <c r="J432" s="569">
        <f t="shared" si="1246"/>
        <v>17787.5</v>
      </c>
      <c r="K432" s="270">
        <f t="shared" si="1247"/>
        <v>17787.5</v>
      </c>
      <c r="L432" s="569">
        <f t="shared" si="1248"/>
        <v>17737.5</v>
      </c>
      <c r="M432" s="270">
        <f t="shared" si="1249"/>
        <v>17737.5</v>
      </c>
      <c r="N432" s="569">
        <f t="shared" si="1250"/>
        <v>17697.5</v>
      </c>
      <c r="O432" s="270">
        <f t="shared" si="1222"/>
        <v>17697.5</v>
      </c>
      <c r="P432" s="569">
        <f t="shared" si="1251"/>
        <v>17677.5</v>
      </c>
      <c r="Q432" s="270">
        <f t="shared" si="1252"/>
        <v>17677.5</v>
      </c>
      <c r="R432" s="569">
        <f t="shared" si="1253"/>
        <v>17657.5</v>
      </c>
      <c r="S432" s="270">
        <f t="shared" si="1224"/>
        <v>17657.5</v>
      </c>
      <c r="T432" s="569">
        <f t="shared" si="1254"/>
        <v>17643.5</v>
      </c>
      <c r="U432" s="270">
        <f t="shared" si="1255"/>
        <v>17643.5</v>
      </c>
      <c r="V432" s="569">
        <f t="shared" si="1256"/>
        <v>17636.5</v>
      </c>
      <c r="W432" s="270">
        <f t="shared" si="1257"/>
        <v>17636.5</v>
      </c>
      <c r="X432" s="413"/>
      <c r="Y432" s="414"/>
      <c r="Z432" s="414"/>
      <c r="AA432" s="415"/>
      <c r="AB432" s="372">
        <v>2343</v>
      </c>
      <c r="AC432" s="64"/>
    </row>
    <row r="433" spans="1:29" ht="12.6" customHeight="1" x14ac:dyDescent="0.2">
      <c r="A433" s="18"/>
      <c r="B433" s="735" t="s">
        <v>806</v>
      </c>
      <c r="C433" s="736"/>
      <c r="D433" s="736"/>
      <c r="E433" s="737"/>
      <c r="F433" s="352">
        <f>9.41*X2</f>
        <v>11762.5</v>
      </c>
      <c r="G433" s="271">
        <f>+F433*$X$1</f>
        <v>11762.5</v>
      </c>
      <c r="H433" s="427">
        <f t="shared" si="1244"/>
        <v>12362.5</v>
      </c>
      <c r="I433" s="271">
        <f t="shared" si="1245"/>
        <v>12362.5</v>
      </c>
      <c r="J433" s="427">
        <f t="shared" si="1246"/>
        <v>11962.5</v>
      </c>
      <c r="K433" s="271">
        <f t="shared" si="1247"/>
        <v>11962.5</v>
      </c>
      <c r="L433" s="427">
        <f t="shared" si="1248"/>
        <v>11912.5</v>
      </c>
      <c r="M433" s="271">
        <f t="shared" si="1249"/>
        <v>11912.5</v>
      </c>
      <c r="N433" s="427">
        <f t="shared" si="1250"/>
        <v>11872.5</v>
      </c>
      <c r="O433" s="271">
        <f t="shared" si="1222"/>
        <v>11872.5</v>
      </c>
      <c r="P433" s="427">
        <f t="shared" si="1251"/>
        <v>11852.5</v>
      </c>
      <c r="Q433" s="271">
        <f t="shared" si="1252"/>
        <v>11852.5</v>
      </c>
      <c r="R433" s="427">
        <f t="shared" si="1253"/>
        <v>11832.5</v>
      </c>
      <c r="S433" s="271">
        <f t="shared" si="1224"/>
        <v>11832.5</v>
      </c>
      <c r="T433" s="427">
        <f t="shared" si="1254"/>
        <v>11818.5</v>
      </c>
      <c r="U433" s="271">
        <f t="shared" si="1255"/>
        <v>11818.5</v>
      </c>
      <c r="V433" s="427">
        <f t="shared" si="1256"/>
        <v>11811.5</v>
      </c>
      <c r="W433" s="271">
        <f t="shared" si="1257"/>
        <v>11811.5</v>
      </c>
      <c r="X433" s="466"/>
      <c r="Y433" s="467"/>
      <c r="Z433" s="467"/>
      <c r="AA433" s="468"/>
      <c r="AB433" s="372" t="s">
        <v>807</v>
      </c>
      <c r="AC433" s="64"/>
    </row>
    <row r="434" spans="1:29" ht="12.6" customHeight="1" x14ac:dyDescent="0.2">
      <c r="A434" s="18"/>
      <c r="B434" s="756" t="s">
        <v>412</v>
      </c>
      <c r="C434" s="757"/>
      <c r="D434" s="757"/>
      <c r="E434" s="758"/>
      <c r="F434" s="532">
        <f>8.5*X2</f>
        <v>10625</v>
      </c>
      <c r="G434" s="533">
        <f t="shared" ref="G434" si="1259">+F434*$X$1</f>
        <v>10625</v>
      </c>
      <c r="H434" s="569">
        <f t="shared" si="1244"/>
        <v>11225</v>
      </c>
      <c r="I434" s="270">
        <f t="shared" si="1245"/>
        <v>11225</v>
      </c>
      <c r="J434" s="569">
        <f t="shared" si="1246"/>
        <v>10825</v>
      </c>
      <c r="K434" s="270">
        <f t="shared" si="1247"/>
        <v>10825</v>
      </c>
      <c r="L434" s="569">
        <f t="shared" si="1248"/>
        <v>10775</v>
      </c>
      <c r="M434" s="270">
        <f t="shared" si="1249"/>
        <v>10775</v>
      </c>
      <c r="N434" s="569">
        <f t="shared" si="1250"/>
        <v>10735</v>
      </c>
      <c r="O434" s="270">
        <f t="shared" si="1222"/>
        <v>10735</v>
      </c>
      <c r="P434" s="569">
        <f t="shared" si="1251"/>
        <v>10715</v>
      </c>
      <c r="Q434" s="270">
        <f t="shared" si="1252"/>
        <v>10715</v>
      </c>
      <c r="R434" s="569">
        <f t="shared" si="1253"/>
        <v>10695</v>
      </c>
      <c r="S434" s="270">
        <f t="shared" si="1224"/>
        <v>10695</v>
      </c>
      <c r="T434" s="569">
        <f t="shared" si="1254"/>
        <v>10681</v>
      </c>
      <c r="U434" s="270">
        <f t="shared" si="1255"/>
        <v>10681</v>
      </c>
      <c r="V434" s="569">
        <f t="shared" si="1256"/>
        <v>10674</v>
      </c>
      <c r="W434" s="270">
        <f t="shared" si="1257"/>
        <v>10674</v>
      </c>
      <c r="X434" s="230"/>
      <c r="Y434" s="228"/>
      <c r="Z434" s="228"/>
      <c r="AA434" s="229"/>
      <c r="AB434" s="372">
        <v>2346</v>
      </c>
      <c r="AC434" s="64"/>
    </row>
    <row r="435" spans="1:29" ht="12.6" customHeight="1" x14ac:dyDescent="0.2">
      <c r="A435" s="18"/>
      <c r="B435" s="708" t="s">
        <v>668</v>
      </c>
      <c r="C435" s="709"/>
      <c r="D435" s="709"/>
      <c r="E435" s="710"/>
      <c r="F435" s="352">
        <f>11.9*X2</f>
        <v>14875</v>
      </c>
      <c r="G435" s="271">
        <f t="shared" ref="G435" si="1260">+F435*$X$1</f>
        <v>14875</v>
      </c>
      <c r="H435" s="427">
        <f t="shared" si="1244"/>
        <v>15475</v>
      </c>
      <c r="I435" s="271">
        <f t="shared" si="1245"/>
        <v>15475</v>
      </c>
      <c r="J435" s="427">
        <f t="shared" si="1246"/>
        <v>15075</v>
      </c>
      <c r="K435" s="271">
        <f t="shared" si="1247"/>
        <v>15075</v>
      </c>
      <c r="L435" s="427">
        <f t="shared" si="1248"/>
        <v>15025</v>
      </c>
      <c r="M435" s="271">
        <f t="shared" si="1249"/>
        <v>15025</v>
      </c>
      <c r="N435" s="427">
        <f t="shared" si="1250"/>
        <v>14985</v>
      </c>
      <c r="O435" s="271">
        <f t="shared" si="1222"/>
        <v>14985</v>
      </c>
      <c r="P435" s="427">
        <f t="shared" si="1251"/>
        <v>14965</v>
      </c>
      <c r="Q435" s="271">
        <f t="shared" si="1252"/>
        <v>14965</v>
      </c>
      <c r="R435" s="427">
        <f t="shared" si="1253"/>
        <v>14945</v>
      </c>
      <c r="S435" s="271">
        <f t="shared" si="1224"/>
        <v>14945</v>
      </c>
      <c r="T435" s="427">
        <f t="shared" si="1254"/>
        <v>14931</v>
      </c>
      <c r="U435" s="271">
        <f t="shared" si="1255"/>
        <v>14931</v>
      </c>
      <c r="V435" s="427">
        <f t="shared" si="1256"/>
        <v>14924</v>
      </c>
      <c r="W435" s="271">
        <f t="shared" si="1257"/>
        <v>14924</v>
      </c>
      <c r="X435" s="413"/>
      <c r="Y435" s="414"/>
      <c r="Z435" s="414"/>
      <c r="AA435" s="415"/>
      <c r="AB435" s="372" t="s">
        <v>677</v>
      </c>
      <c r="AC435" s="64"/>
    </row>
    <row r="436" spans="1:29" ht="12.6" customHeight="1" x14ac:dyDescent="0.2">
      <c r="A436" s="18"/>
      <c r="B436" s="756" t="s">
        <v>669</v>
      </c>
      <c r="C436" s="757"/>
      <c r="D436" s="757"/>
      <c r="E436" s="758"/>
      <c r="F436" s="532">
        <f>12.7*X2</f>
        <v>15875</v>
      </c>
      <c r="G436" s="533">
        <f t="shared" ref="G436" si="1261">+F436*$X$1</f>
        <v>15875</v>
      </c>
      <c r="H436" s="569">
        <f t="shared" si="1244"/>
        <v>16475</v>
      </c>
      <c r="I436" s="270">
        <f t="shared" si="1245"/>
        <v>16475</v>
      </c>
      <c r="J436" s="569">
        <f t="shared" si="1246"/>
        <v>16075</v>
      </c>
      <c r="K436" s="270">
        <f t="shared" si="1247"/>
        <v>16075</v>
      </c>
      <c r="L436" s="569">
        <f t="shared" si="1248"/>
        <v>16025</v>
      </c>
      <c r="M436" s="270">
        <f t="shared" si="1249"/>
        <v>16025</v>
      </c>
      <c r="N436" s="569">
        <f t="shared" si="1250"/>
        <v>15985</v>
      </c>
      <c r="O436" s="270">
        <f t="shared" si="1222"/>
        <v>15985</v>
      </c>
      <c r="P436" s="569">
        <f t="shared" si="1251"/>
        <v>15965</v>
      </c>
      <c r="Q436" s="270">
        <f t="shared" si="1252"/>
        <v>15965</v>
      </c>
      <c r="R436" s="569">
        <f t="shared" si="1253"/>
        <v>15945</v>
      </c>
      <c r="S436" s="270">
        <f t="shared" si="1224"/>
        <v>15945</v>
      </c>
      <c r="T436" s="569">
        <f t="shared" si="1254"/>
        <v>15931</v>
      </c>
      <c r="U436" s="270">
        <f t="shared" si="1255"/>
        <v>15931</v>
      </c>
      <c r="V436" s="569">
        <f t="shared" si="1256"/>
        <v>15924</v>
      </c>
      <c r="W436" s="270">
        <f t="shared" si="1257"/>
        <v>15924</v>
      </c>
      <c r="X436" s="413"/>
      <c r="Y436" s="414"/>
      <c r="Z436" s="414"/>
      <c r="AA436" s="415"/>
      <c r="AB436" s="372" t="s">
        <v>728</v>
      </c>
      <c r="AC436" s="64"/>
    </row>
    <row r="437" spans="1:29" ht="12.6" customHeight="1" x14ac:dyDescent="0.2">
      <c r="A437" s="18"/>
      <c r="B437" s="708" t="s">
        <v>560</v>
      </c>
      <c r="C437" s="709"/>
      <c r="D437" s="709"/>
      <c r="E437" s="710"/>
      <c r="F437" s="352">
        <f>2.57*X2</f>
        <v>3212.5</v>
      </c>
      <c r="G437" s="271">
        <f t="shared" ref="G437" si="1262">+F437*$X$1</f>
        <v>3212.5</v>
      </c>
      <c r="H437" s="427">
        <f t="shared" si="1244"/>
        <v>3812.5</v>
      </c>
      <c r="I437" s="271">
        <f t="shared" si="1245"/>
        <v>3812.5</v>
      </c>
      <c r="J437" s="427">
        <f t="shared" si="1246"/>
        <v>3412.5</v>
      </c>
      <c r="K437" s="271">
        <f t="shared" si="1247"/>
        <v>3412.5</v>
      </c>
      <c r="L437" s="427">
        <f t="shared" si="1248"/>
        <v>3362.5</v>
      </c>
      <c r="M437" s="271">
        <f t="shared" si="1249"/>
        <v>3362.5</v>
      </c>
      <c r="N437" s="427">
        <f t="shared" si="1250"/>
        <v>3322.5</v>
      </c>
      <c r="O437" s="271">
        <f t="shared" si="1222"/>
        <v>3322.5</v>
      </c>
      <c r="P437" s="427">
        <f t="shared" si="1251"/>
        <v>3302.5</v>
      </c>
      <c r="Q437" s="271">
        <f t="shared" si="1252"/>
        <v>3302.5</v>
      </c>
      <c r="R437" s="427">
        <f t="shared" si="1253"/>
        <v>3282.5</v>
      </c>
      <c r="S437" s="271">
        <f t="shared" si="1224"/>
        <v>3282.5</v>
      </c>
      <c r="T437" s="427">
        <f t="shared" si="1254"/>
        <v>3268.5</v>
      </c>
      <c r="U437" s="271">
        <f t="shared" si="1255"/>
        <v>3268.5</v>
      </c>
      <c r="V437" s="427">
        <f t="shared" si="1256"/>
        <v>3261.5</v>
      </c>
      <c r="W437" s="271">
        <f t="shared" si="1257"/>
        <v>3261.5</v>
      </c>
      <c r="X437" s="346"/>
      <c r="Y437" s="347"/>
      <c r="Z437" s="347"/>
      <c r="AA437" s="348"/>
      <c r="AB437" s="372">
        <v>2350</v>
      </c>
      <c r="AC437" s="64"/>
    </row>
    <row r="438" spans="1:29" ht="12.6" customHeight="1" x14ac:dyDescent="0.2">
      <c r="A438" s="18"/>
      <c r="B438" s="633" t="s">
        <v>650</v>
      </c>
      <c r="C438" s="634"/>
      <c r="D438" s="634"/>
      <c r="E438" s="635"/>
      <c r="F438" s="351">
        <f>1.59*X2</f>
        <v>1987.5</v>
      </c>
      <c r="G438" s="270">
        <f t="shared" ref="G438" si="1263">+F438*$X$1</f>
        <v>1987.5</v>
      </c>
      <c r="H438" s="569">
        <f t="shared" si="1244"/>
        <v>2587.5</v>
      </c>
      <c r="I438" s="270">
        <f t="shared" si="1245"/>
        <v>2587.5</v>
      </c>
      <c r="J438" s="569">
        <f t="shared" si="1246"/>
        <v>2187.5</v>
      </c>
      <c r="K438" s="270">
        <f t="shared" si="1247"/>
        <v>2187.5</v>
      </c>
      <c r="L438" s="569">
        <f t="shared" si="1248"/>
        <v>2137.5</v>
      </c>
      <c r="M438" s="270">
        <f t="shared" si="1249"/>
        <v>2137.5</v>
      </c>
      <c r="N438" s="569">
        <f t="shared" si="1250"/>
        <v>2097.5</v>
      </c>
      <c r="O438" s="270">
        <f t="shared" si="1222"/>
        <v>2097.5</v>
      </c>
      <c r="P438" s="569">
        <f t="shared" si="1251"/>
        <v>2077.5</v>
      </c>
      <c r="Q438" s="270">
        <f t="shared" si="1252"/>
        <v>2077.5</v>
      </c>
      <c r="R438" s="569">
        <f t="shared" si="1253"/>
        <v>2057.5</v>
      </c>
      <c r="S438" s="270">
        <f t="shared" si="1224"/>
        <v>2057.5</v>
      </c>
      <c r="T438" s="569">
        <f t="shared" si="1254"/>
        <v>2043.5</v>
      </c>
      <c r="U438" s="270">
        <f t="shared" si="1255"/>
        <v>2043.5</v>
      </c>
      <c r="V438" s="569">
        <f t="shared" si="1256"/>
        <v>2036.5</v>
      </c>
      <c r="W438" s="270">
        <f t="shared" si="1257"/>
        <v>2036.5</v>
      </c>
      <c r="X438" s="404"/>
      <c r="Y438" s="405"/>
      <c r="Z438" s="405"/>
      <c r="AA438" s="406"/>
      <c r="AB438" s="372">
        <v>2352</v>
      </c>
      <c r="AC438" s="64"/>
    </row>
    <row r="439" spans="1:29" ht="12.6" customHeight="1" x14ac:dyDescent="0.2">
      <c r="A439" s="18"/>
      <c r="B439" s="735" t="s">
        <v>861</v>
      </c>
      <c r="C439" s="736"/>
      <c r="D439" s="736"/>
      <c r="E439" s="737"/>
      <c r="F439" s="352">
        <f>1.48*X2</f>
        <v>1850</v>
      </c>
      <c r="G439" s="271">
        <f t="shared" ref="G439" si="1264">+F439*$X$1</f>
        <v>1850</v>
      </c>
      <c r="H439" s="427">
        <f t="shared" si="1244"/>
        <v>2450</v>
      </c>
      <c r="I439" s="271">
        <f t="shared" si="1245"/>
        <v>2450</v>
      </c>
      <c r="J439" s="427">
        <f t="shared" si="1246"/>
        <v>2050</v>
      </c>
      <c r="K439" s="271">
        <f t="shared" si="1247"/>
        <v>2050</v>
      </c>
      <c r="L439" s="427">
        <f t="shared" si="1248"/>
        <v>2000</v>
      </c>
      <c r="M439" s="271">
        <f t="shared" si="1249"/>
        <v>2000</v>
      </c>
      <c r="N439" s="427">
        <f t="shared" si="1250"/>
        <v>1960</v>
      </c>
      <c r="O439" s="271">
        <f t="shared" si="1222"/>
        <v>1960</v>
      </c>
      <c r="P439" s="427">
        <f t="shared" si="1251"/>
        <v>1940</v>
      </c>
      <c r="Q439" s="271">
        <f t="shared" si="1252"/>
        <v>1940</v>
      </c>
      <c r="R439" s="427">
        <f t="shared" si="1253"/>
        <v>1920</v>
      </c>
      <c r="S439" s="271">
        <f t="shared" si="1224"/>
        <v>1920</v>
      </c>
      <c r="T439" s="427">
        <f t="shared" si="1254"/>
        <v>1906</v>
      </c>
      <c r="U439" s="271">
        <f t="shared" si="1255"/>
        <v>1906</v>
      </c>
      <c r="V439" s="427">
        <f t="shared" si="1256"/>
        <v>1899</v>
      </c>
      <c r="W439" s="271">
        <f t="shared" si="1257"/>
        <v>1899</v>
      </c>
      <c r="X439" s="506"/>
      <c r="Y439" s="504"/>
      <c r="Z439" s="504"/>
      <c r="AA439" s="505"/>
      <c r="AB439" s="372">
        <v>2353</v>
      </c>
      <c r="AC439" s="64"/>
    </row>
    <row r="440" spans="1:29" ht="12.6" customHeight="1" x14ac:dyDescent="0.2">
      <c r="A440" s="18"/>
      <c r="B440" s="735" t="s">
        <v>905</v>
      </c>
      <c r="C440" s="736"/>
      <c r="D440" s="736"/>
      <c r="E440" s="737"/>
      <c r="F440" s="351">
        <f>1.732*X2</f>
        <v>2165</v>
      </c>
      <c r="G440" s="270">
        <f t="shared" ref="G440" si="1265">+F440*$X$1</f>
        <v>2165</v>
      </c>
      <c r="H440" s="569">
        <f t="shared" si="1244"/>
        <v>2765</v>
      </c>
      <c r="I440" s="270">
        <f t="shared" si="1245"/>
        <v>2765</v>
      </c>
      <c r="J440" s="569">
        <f t="shared" si="1246"/>
        <v>2365</v>
      </c>
      <c r="K440" s="270">
        <f t="shared" si="1247"/>
        <v>2365</v>
      </c>
      <c r="L440" s="569">
        <f t="shared" si="1248"/>
        <v>2315</v>
      </c>
      <c r="M440" s="270">
        <f t="shared" si="1249"/>
        <v>2315</v>
      </c>
      <c r="N440" s="569">
        <f t="shared" si="1250"/>
        <v>2275</v>
      </c>
      <c r="O440" s="270">
        <f t="shared" si="1222"/>
        <v>2275</v>
      </c>
      <c r="P440" s="569">
        <f t="shared" si="1251"/>
        <v>2255</v>
      </c>
      <c r="Q440" s="270">
        <f t="shared" si="1252"/>
        <v>2255</v>
      </c>
      <c r="R440" s="569">
        <f t="shared" si="1253"/>
        <v>2235</v>
      </c>
      <c r="S440" s="270">
        <f t="shared" si="1224"/>
        <v>2235</v>
      </c>
      <c r="T440" s="569">
        <f t="shared" si="1254"/>
        <v>2221</v>
      </c>
      <c r="U440" s="270">
        <f t="shared" si="1255"/>
        <v>2221</v>
      </c>
      <c r="V440" s="569">
        <f t="shared" si="1256"/>
        <v>2214</v>
      </c>
      <c r="W440" s="270">
        <f t="shared" si="1257"/>
        <v>2214</v>
      </c>
      <c r="X440" s="548"/>
      <c r="Y440" s="549"/>
      <c r="Z440" s="549"/>
      <c r="AA440" s="550"/>
      <c r="AB440" s="372">
        <v>2354</v>
      </c>
      <c r="AC440" s="64"/>
    </row>
    <row r="441" spans="1:29" ht="12.6" customHeight="1" x14ac:dyDescent="0.2">
      <c r="A441" s="18"/>
      <c r="B441" s="735" t="s">
        <v>904</v>
      </c>
      <c r="C441" s="736"/>
      <c r="D441" s="736"/>
      <c r="E441" s="737"/>
      <c r="F441" s="352">
        <f>1.471*X2</f>
        <v>1838.75</v>
      </c>
      <c r="G441" s="271">
        <f t="shared" ref="G441" si="1266">+F441*$X$1</f>
        <v>1838.75</v>
      </c>
      <c r="H441" s="427">
        <f t="shared" si="1244"/>
        <v>2438.75</v>
      </c>
      <c r="I441" s="271">
        <f t="shared" si="1245"/>
        <v>2438.75</v>
      </c>
      <c r="J441" s="427">
        <f t="shared" si="1246"/>
        <v>2038.75</v>
      </c>
      <c r="K441" s="271">
        <f t="shared" si="1247"/>
        <v>2038.75</v>
      </c>
      <c r="L441" s="427">
        <f t="shared" si="1248"/>
        <v>1988.75</v>
      </c>
      <c r="M441" s="271">
        <f t="shared" si="1249"/>
        <v>1988.75</v>
      </c>
      <c r="N441" s="427">
        <f t="shared" si="1250"/>
        <v>1948.75</v>
      </c>
      <c r="O441" s="271">
        <f t="shared" si="1222"/>
        <v>1948.75</v>
      </c>
      <c r="P441" s="427">
        <f t="shared" si="1251"/>
        <v>1928.75</v>
      </c>
      <c r="Q441" s="271">
        <f t="shared" si="1252"/>
        <v>1928.75</v>
      </c>
      <c r="R441" s="427">
        <f t="shared" si="1253"/>
        <v>1908.75</v>
      </c>
      <c r="S441" s="271">
        <f t="shared" si="1224"/>
        <v>1908.75</v>
      </c>
      <c r="T441" s="427">
        <f t="shared" si="1254"/>
        <v>1894.75</v>
      </c>
      <c r="U441" s="271">
        <f t="shared" si="1255"/>
        <v>1894.75</v>
      </c>
      <c r="V441" s="427">
        <f t="shared" si="1256"/>
        <v>1887.75</v>
      </c>
      <c r="W441" s="271">
        <f t="shared" si="1257"/>
        <v>1887.75</v>
      </c>
      <c r="X441" s="548"/>
      <c r="Y441" s="549"/>
      <c r="Z441" s="549"/>
      <c r="AA441" s="550"/>
      <c r="AB441" s="372">
        <v>2355</v>
      </c>
      <c r="AC441" s="64"/>
    </row>
    <row r="442" spans="1:29" ht="12.6" customHeight="1" x14ac:dyDescent="0.2">
      <c r="A442" s="18"/>
      <c r="B442" s="633" t="s">
        <v>917</v>
      </c>
      <c r="C442" s="634"/>
      <c r="D442" s="634"/>
      <c r="E442" s="635"/>
      <c r="F442" s="270">
        <f>2.95*X2</f>
        <v>3687.5</v>
      </c>
      <c r="G442" s="270">
        <f>+F442*$X$1</f>
        <v>3687.5</v>
      </c>
      <c r="H442" s="605">
        <f>F442+600</f>
        <v>4287.5</v>
      </c>
      <c r="I442" s="270">
        <f t="shared" si="1245"/>
        <v>4287.5</v>
      </c>
      <c r="J442" s="70">
        <f t="shared" ref="J442:J446" si="1267">F442+220</f>
        <v>3907.5</v>
      </c>
      <c r="K442" s="270">
        <f t="shared" si="1247"/>
        <v>3907.5</v>
      </c>
      <c r="L442" s="605">
        <f t="shared" ref="L442" si="1268">F442+150</f>
        <v>3837.5</v>
      </c>
      <c r="M442" s="270">
        <f t="shared" si="1249"/>
        <v>3837.5</v>
      </c>
      <c r="N442" s="605">
        <f t="shared" ref="N442" si="1269">F442+110</f>
        <v>3797.5</v>
      </c>
      <c r="O442" s="270">
        <f t="shared" ref="O442" si="1270">+N442*$X$1</f>
        <v>3797.5</v>
      </c>
      <c r="P442" s="605">
        <f t="shared" ref="P442" si="1271">F442+100</f>
        <v>3787.5</v>
      </c>
      <c r="Q442" s="270">
        <f t="shared" si="1252"/>
        <v>3787.5</v>
      </c>
      <c r="R442" s="605">
        <f t="shared" ref="R442" si="1272">F442+80</f>
        <v>3767.5</v>
      </c>
      <c r="S442" s="270">
        <f t="shared" ref="S442" si="1273">+R442*$X$1</f>
        <v>3767.5</v>
      </c>
      <c r="T442" s="605">
        <f t="shared" ref="T442" si="1274">F442+65</f>
        <v>3752.5</v>
      </c>
      <c r="U442" s="270">
        <f t="shared" si="1255"/>
        <v>3752.5</v>
      </c>
      <c r="V442" s="605">
        <f t="shared" ref="V442" si="1275">F442+56</f>
        <v>3743.5</v>
      </c>
      <c r="W442" s="270">
        <f t="shared" si="1257"/>
        <v>3743.5</v>
      </c>
      <c r="X442" s="641"/>
      <c r="Y442" s="642"/>
      <c r="Z442" s="642"/>
      <c r="AA442" s="643"/>
      <c r="AB442" s="372">
        <v>2500</v>
      </c>
    </row>
    <row r="443" spans="1:29" ht="12.6" customHeight="1" x14ac:dyDescent="0.2">
      <c r="A443" s="18"/>
      <c r="B443" s="708" t="s">
        <v>789</v>
      </c>
      <c r="C443" s="709"/>
      <c r="D443" s="709"/>
      <c r="E443" s="710"/>
      <c r="F443" s="271">
        <f>3.463*X2</f>
        <v>4328.75</v>
      </c>
      <c r="G443" s="271">
        <f>+F443*$X$1</f>
        <v>4328.75</v>
      </c>
      <c r="H443" s="626">
        <f>F443+600</f>
        <v>4928.75</v>
      </c>
      <c r="I443" s="271">
        <f t="shared" ref="I443:I445" si="1276">+H443*$X$1</f>
        <v>4928.75</v>
      </c>
      <c r="J443" s="85">
        <f t="shared" si="1267"/>
        <v>4548.75</v>
      </c>
      <c r="K443" s="271">
        <f t="shared" ref="K443:K446" si="1277">+J443*$X$1</f>
        <v>4548.75</v>
      </c>
      <c r="L443" s="626">
        <f t="shared" ref="L443:L446" si="1278">F443+150</f>
        <v>4478.75</v>
      </c>
      <c r="M443" s="271">
        <f t="shared" ref="M443:M446" si="1279">+L443*$X$1</f>
        <v>4478.75</v>
      </c>
      <c r="N443" s="626">
        <f t="shared" ref="N443:N446" si="1280">F443+110</f>
        <v>4438.75</v>
      </c>
      <c r="O443" s="271">
        <f t="shared" ref="O443:O446" si="1281">+N443*$X$1</f>
        <v>4438.75</v>
      </c>
      <c r="P443" s="626">
        <f t="shared" ref="P443:P446" si="1282">F443+100</f>
        <v>4428.75</v>
      </c>
      <c r="Q443" s="271">
        <f t="shared" ref="Q443:Q446" si="1283">+P443*$X$1</f>
        <v>4428.75</v>
      </c>
      <c r="R443" s="626">
        <f t="shared" ref="R443:R446" si="1284">F443+80</f>
        <v>4408.75</v>
      </c>
      <c r="S443" s="271">
        <f t="shared" ref="S443:S446" si="1285">+R443*$X$1</f>
        <v>4408.75</v>
      </c>
      <c r="T443" s="626">
        <f t="shared" ref="T443:T446" si="1286">F443+65</f>
        <v>4393.75</v>
      </c>
      <c r="U443" s="271">
        <f t="shared" ref="U443:U446" si="1287">+T443*$X$1</f>
        <v>4393.75</v>
      </c>
      <c r="V443" s="626">
        <f t="shared" ref="V443:V446" si="1288">F443+56</f>
        <v>4384.75</v>
      </c>
      <c r="W443" s="271">
        <f t="shared" ref="W443:W447" si="1289">+V443*$X$1</f>
        <v>4384.75</v>
      </c>
      <c r="X443" s="641"/>
      <c r="Y443" s="642"/>
      <c r="Z443" s="642"/>
      <c r="AA443" s="643"/>
      <c r="AB443" s="372">
        <v>2503</v>
      </c>
    </row>
    <row r="444" spans="1:29" ht="12.6" customHeight="1" x14ac:dyDescent="0.2">
      <c r="A444" s="18"/>
      <c r="B444" s="633" t="s">
        <v>918</v>
      </c>
      <c r="C444" s="634"/>
      <c r="D444" s="634"/>
      <c r="E444" s="635"/>
      <c r="F444" s="270">
        <f>0.95*X2</f>
        <v>1187.5</v>
      </c>
      <c r="G444" s="270">
        <f>+F444*$X$1</f>
        <v>1187.5</v>
      </c>
      <c r="H444" s="605">
        <f>F444+600</f>
        <v>1787.5</v>
      </c>
      <c r="I444" s="270">
        <f t="shared" si="1276"/>
        <v>1787.5</v>
      </c>
      <c r="J444" s="70">
        <f t="shared" si="1267"/>
        <v>1407.5</v>
      </c>
      <c r="K444" s="270">
        <f t="shared" si="1277"/>
        <v>1407.5</v>
      </c>
      <c r="L444" s="605">
        <f t="shared" si="1278"/>
        <v>1337.5</v>
      </c>
      <c r="M444" s="270">
        <f t="shared" si="1279"/>
        <v>1337.5</v>
      </c>
      <c r="N444" s="605">
        <f t="shared" si="1280"/>
        <v>1297.5</v>
      </c>
      <c r="O444" s="270">
        <f t="shared" si="1281"/>
        <v>1297.5</v>
      </c>
      <c r="P444" s="605">
        <f t="shared" si="1282"/>
        <v>1287.5</v>
      </c>
      <c r="Q444" s="270">
        <f t="shared" si="1283"/>
        <v>1287.5</v>
      </c>
      <c r="R444" s="605">
        <f t="shared" si="1284"/>
        <v>1267.5</v>
      </c>
      <c r="S444" s="270">
        <f t="shared" si="1285"/>
        <v>1267.5</v>
      </c>
      <c r="T444" s="605">
        <f t="shared" si="1286"/>
        <v>1252.5</v>
      </c>
      <c r="U444" s="270">
        <f t="shared" si="1287"/>
        <v>1252.5</v>
      </c>
      <c r="V444" s="605">
        <f t="shared" si="1288"/>
        <v>1243.5</v>
      </c>
      <c r="W444" s="270">
        <f t="shared" si="1289"/>
        <v>1243.5</v>
      </c>
      <c r="X444" s="641"/>
      <c r="Y444" s="642"/>
      <c r="Z444" s="642"/>
      <c r="AA444" s="643"/>
      <c r="AB444" s="372">
        <v>2506</v>
      </c>
    </row>
    <row r="445" spans="1:29" ht="12.6" customHeight="1" x14ac:dyDescent="0.2">
      <c r="A445" s="18"/>
      <c r="B445" s="735" t="s">
        <v>920</v>
      </c>
      <c r="C445" s="736"/>
      <c r="D445" s="736"/>
      <c r="E445" s="737"/>
      <c r="F445" s="271">
        <f>2.35*X2</f>
        <v>2937.5</v>
      </c>
      <c r="G445" s="271">
        <f>+F445*$X$1</f>
        <v>2937.5</v>
      </c>
      <c r="H445" s="626">
        <f>F445+600</f>
        <v>3537.5</v>
      </c>
      <c r="I445" s="271">
        <f t="shared" si="1276"/>
        <v>3537.5</v>
      </c>
      <c r="J445" s="85">
        <f t="shared" si="1267"/>
        <v>3157.5</v>
      </c>
      <c r="K445" s="271">
        <f t="shared" si="1277"/>
        <v>3157.5</v>
      </c>
      <c r="L445" s="626">
        <f t="shared" si="1278"/>
        <v>3087.5</v>
      </c>
      <c r="M445" s="271">
        <f t="shared" si="1279"/>
        <v>3087.5</v>
      </c>
      <c r="N445" s="626">
        <f t="shared" si="1280"/>
        <v>3047.5</v>
      </c>
      <c r="O445" s="271">
        <f t="shared" si="1281"/>
        <v>3047.5</v>
      </c>
      <c r="P445" s="626">
        <f t="shared" si="1282"/>
        <v>3037.5</v>
      </c>
      <c r="Q445" s="271">
        <f t="shared" si="1283"/>
        <v>3037.5</v>
      </c>
      <c r="R445" s="626">
        <f t="shared" si="1284"/>
        <v>3017.5</v>
      </c>
      <c r="S445" s="271">
        <f t="shared" si="1285"/>
        <v>3017.5</v>
      </c>
      <c r="T445" s="626">
        <f t="shared" si="1286"/>
        <v>3002.5</v>
      </c>
      <c r="U445" s="271">
        <f t="shared" si="1287"/>
        <v>3002.5</v>
      </c>
      <c r="V445" s="626">
        <f t="shared" si="1288"/>
        <v>2993.5</v>
      </c>
      <c r="W445" s="271">
        <f t="shared" si="1289"/>
        <v>2993.5</v>
      </c>
      <c r="X445" s="641"/>
      <c r="Y445" s="642"/>
      <c r="Z445" s="642"/>
      <c r="AA445" s="643"/>
      <c r="AB445" s="372">
        <v>2507</v>
      </c>
    </row>
    <row r="446" spans="1:29" ht="12.6" customHeight="1" x14ac:dyDescent="0.2">
      <c r="A446" s="18"/>
      <c r="B446" s="633" t="s">
        <v>462</v>
      </c>
      <c r="C446" s="747"/>
      <c r="D446" s="747"/>
      <c r="E446" s="748"/>
      <c r="F446" s="351">
        <f>2.6*X2</f>
        <v>3250</v>
      </c>
      <c r="G446" s="270">
        <f t="shared" ref="G446" si="1290">+F446*$X$1</f>
        <v>3250</v>
      </c>
      <c r="H446" s="605"/>
      <c r="I446" s="270"/>
      <c r="J446" s="70">
        <f t="shared" si="1267"/>
        <v>3470</v>
      </c>
      <c r="K446" s="270">
        <f t="shared" si="1277"/>
        <v>3470</v>
      </c>
      <c r="L446" s="605">
        <f t="shared" si="1278"/>
        <v>3400</v>
      </c>
      <c r="M446" s="270">
        <f t="shared" si="1279"/>
        <v>3400</v>
      </c>
      <c r="N446" s="605">
        <f t="shared" si="1280"/>
        <v>3360</v>
      </c>
      <c r="O446" s="270">
        <f t="shared" si="1281"/>
        <v>3360</v>
      </c>
      <c r="P446" s="605">
        <f t="shared" si="1282"/>
        <v>3350</v>
      </c>
      <c r="Q446" s="270">
        <f t="shared" si="1283"/>
        <v>3350</v>
      </c>
      <c r="R446" s="605">
        <f t="shared" si="1284"/>
        <v>3330</v>
      </c>
      <c r="S446" s="270">
        <f t="shared" si="1285"/>
        <v>3330</v>
      </c>
      <c r="T446" s="605">
        <f t="shared" si="1286"/>
        <v>3315</v>
      </c>
      <c r="U446" s="270">
        <f t="shared" si="1287"/>
        <v>3315</v>
      </c>
      <c r="V446" s="605">
        <f t="shared" si="1288"/>
        <v>3306</v>
      </c>
      <c r="W446" s="270">
        <f t="shared" si="1289"/>
        <v>3306</v>
      </c>
      <c r="X446" s="153"/>
      <c r="Y446" s="126"/>
      <c r="Z446" s="126"/>
      <c r="AA446" s="129"/>
      <c r="AB446" s="384">
        <v>3001</v>
      </c>
    </row>
    <row r="447" spans="1:29" ht="12.6" customHeight="1" x14ac:dyDescent="0.2">
      <c r="A447" s="98"/>
      <c r="B447" s="741" t="s">
        <v>753</v>
      </c>
      <c r="C447" s="755"/>
      <c r="D447" s="755"/>
      <c r="E447" s="755"/>
      <c r="F447" s="271">
        <v>4036</v>
      </c>
      <c r="G447" s="271">
        <f t="shared" ref="G447" si="1291">+F447*$X$1</f>
        <v>4036</v>
      </c>
      <c r="H447" s="264"/>
      <c r="I447" s="321"/>
      <c r="J447" s="626"/>
      <c r="K447" s="271"/>
      <c r="L447" s="626">
        <f>F447+1100</f>
        <v>5136</v>
      </c>
      <c r="M447" s="271">
        <f t="shared" ref="M447" si="1292">+L447*$X$1</f>
        <v>5136</v>
      </c>
      <c r="N447" s="626">
        <f>F447+850</f>
        <v>4886</v>
      </c>
      <c r="O447" s="271">
        <f t="shared" ref="O447:O448" si="1293">+N447*$X$1</f>
        <v>4886</v>
      </c>
      <c r="P447" s="626">
        <f>F447+810</f>
        <v>4846</v>
      </c>
      <c r="Q447" s="271">
        <f t="shared" ref="Q447:Q448" si="1294">+P447*$X$1</f>
        <v>4846</v>
      </c>
      <c r="R447" s="626">
        <f>F447+780</f>
        <v>4816</v>
      </c>
      <c r="S447" s="271">
        <f t="shared" ref="S447" si="1295">+R447*$X$1</f>
        <v>4816</v>
      </c>
      <c r="T447" s="626">
        <f>F447+750</f>
        <v>4786</v>
      </c>
      <c r="U447" s="271">
        <f t="shared" ref="U447" si="1296">+T447*$X$1</f>
        <v>4786</v>
      </c>
      <c r="V447" s="626">
        <f>F447+750</f>
        <v>4786</v>
      </c>
      <c r="W447" s="271">
        <f t="shared" si="1289"/>
        <v>4786</v>
      </c>
      <c r="X447" s="204"/>
      <c r="Y447" s="206"/>
      <c r="Z447" s="206"/>
      <c r="AA447" s="205"/>
      <c r="AB447" s="372">
        <v>5003</v>
      </c>
      <c r="AC447" s="64"/>
    </row>
    <row r="448" spans="1:29" ht="12.6" customHeight="1" x14ac:dyDescent="0.2">
      <c r="A448" s="98"/>
      <c r="B448" s="703" t="s">
        <v>754</v>
      </c>
      <c r="C448" s="704"/>
      <c r="D448" s="704"/>
      <c r="E448" s="704"/>
      <c r="F448" s="270">
        <v>4036</v>
      </c>
      <c r="G448" s="270">
        <f t="shared" ref="G448" si="1297">+F448*$X$1</f>
        <v>4036</v>
      </c>
      <c r="H448" s="605">
        <f>F448+900</f>
        <v>4936</v>
      </c>
      <c r="I448" s="270">
        <f>+H448*$X$1</f>
        <v>4936</v>
      </c>
      <c r="J448" s="70">
        <f>F448+350</f>
        <v>4386</v>
      </c>
      <c r="K448" s="270">
        <f t="shared" ref="K448" si="1298">+J448*$X$1</f>
        <v>4386</v>
      </c>
      <c r="L448" s="605">
        <f>F448+270</f>
        <v>4306</v>
      </c>
      <c r="M448" s="270">
        <f t="shared" ref="M448" si="1299">+L448*$X$1</f>
        <v>4306</v>
      </c>
      <c r="N448" s="605">
        <f>F448+230</f>
        <v>4266</v>
      </c>
      <c r="O448" s="270">
        <f t="shared" si="1293"/>
        <v>4266</v>
      </c>
      <c r="P448" s="605">
        <f>F448+185</f>
        <v>4221</v>
      </c>
      <c r="Q448" s="270">
        <f t="shared" si="1294"/>
        <v>4221</v>
      </c>
      <c r="R448" s="605">
        <f>F448+160</f>
        <v>4196</v>
      </c>
      <c r="S448" s="270">
        <f t="shared" ref="S448" si="1300">+R448*$X$1</f>
        <v>4196</v>
      </c>
      <c r="T448" s="605">
        <f>F448+140</f>
        <v>4176</v>
      </c>
      <c r="U448" s="270">
        <f t="shared" ref="U448" si="1301">+T448*$X$1</f>
        <v>4176</v>
      </c>
      <c r="V448" s="605">
        <f>F448+115</f>
        <v>4151</v>
      </c>
      <c r="W448" s="270">
        <f t="shared" ref="W448" si="1302">+V448*$X$1</f>
        <v>4151</v>
      </c>
      <c r="X448" s="403"/>
      <c r="Y448" s="401"/>
      <c r="Z448" s="401"/>
      <c r="AA448" s="402"/>
      <c r="AB448" s="372" t="s">
        <v>662</v>
      </c>
      <c r="AC448" s="64"/>
    </row>
    <row r="449" spans="1:35" ht="12.6" customHeight="1" x14ac:dyDescent="0.2">
      <c r="A449" s="18"/>
      <c r="B449" s="629" t="s">
        <v>502</v>
      </c>
      <c r="C449" s="638"/>
      <c r="D449" s="638"/>
      <c r="E449" s="638"/>
      <c r="F449" s="271">
        <v>4992</v>
      </c>
      <c r="G449" s="271">
        <f t="shared" ref="G449:G457" si="1303">+F449*$X$1</f>
        <v>4992</v>
      </c>
      <c r="H449" s="264"/>
      <c r="I449" s="321"/>
      <c r="J449" s="626"/>
      <c r="K449" s="271"/>
      <c r="L449" s="626">
        <f>F449+1400</f>
        <v>6392</v>
      </c>
      <c r="M449" s="271">
        <f t="shared" ref="M449" si="1304">+L449*$X$1</f>
        <v>6392</v>
      </c>
      <c r="N449" s="626">
        <f>F449+1100</f>
        <v>6092</v>
      </c>
      <c r="O449" s="271">
        <f t="shared" ref="O449" si="1305">+N449*$X$1</f>
        <v>6092</v>
      </c>
      <c r="P449" s="626">
        <f>F449+990</f>
        <v>5982</v>
      </c>
      <c r="Q449" s="271">
        <f t="shared" ref="Q449" si="1306">+P449*$X$1</f>
        <v>5982</v>
      </c>
      <c r="R449" s="626">
        <f>F449+950</f>
        <v>5942</v>
      </c>
      <c r="S449" s="271">
        <f>+R449*$X$1</f>
        <v>5942</v>
      </c>
      <c r="T449" s="626">
        <f>F449+910</f>
        <v>5902</v>
      </c>
      <c r="U449" s="271">
        <f>+T449*$X$1</f>
        <v>5902</v>
      </c>
      <c r="V449" s="626"/>
      <c r="W449" s="271"/>
      <c r="X449" s="978"/>
      <c r="Y449" s="979"/>
      <c r="Z449" s="979"/>
      <c r="AA449" s="980"/>
      <c r="AB449" s="184">
        <v>5008</v>
      </c>
      <c r="AC449" s="37"/>
      <c r="AD449" s="37"/>
      <c r="AE449" s="37"/>
      <c r="AF449" s="37"/>
      <c r="AG449" s="37"/>
      <c r="AH449" s="37"/>
      <c r="AI449" s="37"/>
    </row>
    <row r="450" spans="1:35" ht="12.6" customHeight="1" x14ac:dyDescent="0.2">
      <c r="A450" s="18"/>
      <c r="B450" s="633" t="s">
        <v>503</v>
      </c>
      <c r="C450" s="634"/>
      <c r="D450" s="634"/>
      <c r="E450" s="635"/>
      <c r="F450" s="270">
        <v>6786</v>
      </c>
      <c r="G450" s="270">
        <f t="shared" si="1303"/>
        <v>6786</v>
      </c>
      <c r="H450" s="265"/>
      <c r="I450" s="320"/>
      <c r="J450" s="605"/>
      <c r="K450" s="270"/>
      <c r="L450" s="605">
        <f>F450+1400</f>
        <v>8186</v>
      </c>
      <c r="M450" s="270">
        <f t="shared" ref="M450:M452" si="1307">+L450*$X$1</f>
        <v>8186</v>
      </c>
      <c r="N450" s="605">
        <f>F450+1100</f>
        <v>7886</v>
      </c>
      <c r="O450" s="270">
        <f t="shared" ref="O450:O452" si="1308">+N450*$X$1</f>
        <v>7886</v>
      </c>
      <c r="P450" s="605">
        <f>F450+990</f>
        <v>7776</v>
      </c>
      <c r="Q450" s="270">
        <f t="shared" ref="Q450:Q452" si="1309">+P450*$X$1</f>
        <v>7776</v>
      </c>
      <c r="R450" s="605">
        <f>F450+950</f>
        <v>7736</v>
      </c>
      <c r="S450" s="270">
        <f>+R450*$X$1</f>
        <v>7736</v>
      </c>
      <c r="T450" s="605">
        <f>F450+910</f>
        <v>7696</v>
      </c>
      <c r="U450" s="270">
        <f>+T450*$X$1</f>
        <v>7696</v>
      </c>
      <c r="V450" s="605"/>
      <c r="W450" s="270"/>
      <c r="X450" s="978"/>
      <c r="Y450" s="979"/>
      <c r="Z450" s="979"/>
      <c r="AA450" s="980"/>
      <c r="AB450" s="384">
        <v>5010</v>
      </c>
      <c r="AC450" s="37"/>
      <c r="AD450" s="37"/>
      <c r="AE450" s="37"/>
      <c r="AF450" s="37"/>
      <c r="AG450" s="37"/>
      <c r="AH450" s="37"/>
      <c r="AI450" s="37"/>
    </row>
    <row r="451" spans="1:35" ht="12.6" customHeight="1" x14ac:dyDescent="0.2">
      <c r="A451" s="18"/>
      <c r="B451" s="708" t="s">
        <v>504</v>
      </c>
      <c r="C451" s="709"/>
      <c r="D451" s="709"/>
      <c r="E451" s="710"/>
      <c r="F451" s="271">
        <v>3783</v>
      </c>
      <c r="G451" s="271">
        <f t="shared" ref="G451" si="1310">+F451*$X$1</f>
        <v>3783</v>
      </c>
      <c r="H451" s="264"/>
      <c r="I451" s="321"/>
      <c r="J451" s="626"/>
      <c r="K451" s="271"/>
      <c r="L451" s="626">
        <f>F451+1400</f>
        <v>5183</v>
      </c>
      <c r="M451" s="271">
        <f t="shared" si="1307"/>
        <v>5183</v>
      </c>
      <c r="N451" s="626">
        <f>F451+1100</f>
        <v>4883</v>
      </c>
      <c r="O451" s="271">
        <f t="shared" si="1308"/>
        <v>4883</v>
      </c>
      <c r="P451" s="626">
        <f>F451+990</f>
        <v>4773</v>
      </c>
      <c r="Q451" s="271">
        <f t="shared" si="1309"/>
        <v>4773</v>
      </c>
      <c r="R451" s="626">
        <f>F451+950</f>
        <v>4733</v>
      </c>
      <c r="S451" s="271">
        <f>+R451*$X$1</f>
        <v>4733</v>
      </c>
      <c r="T451" s="626">
        <f>F451+910</f>
        <v>4693</v>
      </c>
      <c r="U451" s="271">
        <f>+T451*$X$1</f>
        <v>4693</v>
      </c>
      <c r="V451" s="626"/>
      <c r="W451" s="271"/>
      <c r="X451" s="978"/>
      <c r="Y451" s="979"/>
      <c r="Z451" s="979"/>
      <c r="AA451" s="980"/>
      <c r="AB451" s="384"/>
      <c r="AC451" s="37"/>
      <c r="AD451" s="37"/>
      <c r="AE451" s="37"/>
      <c r="AF451" s="37"/>
      <c r="AG451" s="37"/>
      <c r="AH451" s="37"/>
      <c r="AI451" s="37"/>
    </row>
    <row r="452" spans="1:35" ht="12.6" customHeight="1" x14ac:dyDescent="0.2">
      <c r="A452" s="18"/>
      <c r="B452" s="633" t="s">
        <v>505</v>
      </c>
      <c r="C452" s="634"/>
      <c r="D452" s="634"/>
      <c r="E452" s="635"/>
      <c r="F452" s="270">
        <v>5616</v>
      </c>
      <c r="G452" s="270">
        <f t="shared" ref="G452:G455" si="1311">+F452*$X$1</f>
        <v>5616</v>
      </c>
      <c r="H452" s="265"/>
      <c r="I452" s="320"/>
      <c r="J452" s="605"/>
      <c r="K452" s="270"/>
      <c r="L452" s="605">
        <f>F452+1400</f>
        <v>7016</v>
      </c>
      <c r="M452" s="270">
        <f t="shared" si="1307"/>
        <v>7016</v>
      </c>
      <c r="N452" s="605">
        <f>F452+1100</f>
        <v>6716</v>
      </c>
      <c r="O452" s="270">
        <f t="shared" si="1308"/>
        <v>6716</v>
      </c>
      <c r="P452" s="605">
        <f>F452+990</f>
        <v>6606</v>
      </c>
      <c r="Q452" s="270">
        <f t="shared" si="1309"/>
        <v>6606</v>
      </c>
      <c r="R452" s="605">
        <f>F452+950</f>
        <v>6566</v>
      </c>
      <c r="S452" s="270">
        <f>+R452*$X$1</f>
        <v>6566</v>
      </c>
      <c r="T452" s="605">
        <f>F452+910</f>
        <v>6526</v>
      </c>
      <c r="U452" s="270">
        <f>+T452*$X$1</f>
        <v>6526</v>
      </c>
      <c r="V452" s="605"/>
      <c r="W452" s="270"/>
      <c r="X452" s="978"/>
      <c r="Y452" s="979"/>
      <c r="Z452" s="979"/>
      <c r="AA452" s="980"/>
      <c r="AB452" s="384"/>
      <c r="AC452" s="37"/>
      <c r="AD452" s="37"/>
      <c r="AE452" s="37"/>
      <c r="AF452" s="37"/>
      <c r="AG452" s="37"/>
      <c r="AH452" s="37"/>
      <c r="AI452" s="37"/>
    </row>
    <row r="453" spans="1:35" ht="12.6" customHeight="1" x14ac:dyDescent="0.2">
      <c r="A453" s="18"/>
      <c r="B453" s="629" t="s">
        <v>792</v>
      </c>
      <c r="C453" s="630"/>
      <c r="D453" s="630"/>
      <c r="E453" s="630"/>
      <c r="F453" s="308">
        <v>2100</v>
      </c>
      <c r="G453" s="271">
        <f t="shared" si="1311"/>
        <v>2100</v>
      </c>
      <c r="H453" s="264"/>
      <c r="I453" s="321"/>
      <c r="J453" s="85">
        <f t="shared" ref="J453" si="1312">F453+220</f>
        <v>2320</v>
      </c>
      <c r="K453" s="271">
        <f t="shared" ref="K453" si="1313">+J453*$X$1</f>
        <v>2320</v>
      </c>
      <c r="L453" s="626">
        <f t="shared" ref="L453" si="1314">F453+150</f>
        <v>2250</v>
      </c>
      <c r="M453" s="271">
        <f t="shared" ref="M453" si="1315">+L453*$X$1</f>
        <v>2250</v>
      </c>
      <c r="N453" s="626">
        <f t="shared" ref="N453" si="1316">F453+110</f>
        <v>2210</v>
      </c>
      <c r="O453" s="271">
        <f t="shared" ref="O453" si="1317">+N453*$X$1</f>
        <v>2210</v>
      </c>
      <c r="P453" s="626">
        <f t="shared" ref="P453" si="1318">F453+100</f>
        <v>2200</v>
      </c>
      <c r="Q453" s="271">
        <f t="shared" ref="Q453" si="1319">+P453*$X$1</f>
        <v>2200</v>
      </c>
      <c r="R453" s="626">
        <f t="shared" ref="R453" si="1320">F453+80</f>
        <v>2180</v>
      </c>
      <c r="S453" s="271">
        <f t="shared" ref="S453" si="1321">+R453*$X$1</f>
        <v>2180</v>
      </c>
      <c r="T453" s="626">
        <f t="shared" ref="T453" si="1322">F453+65</f>
        <v>2165</v>
      </c>
      <c r="U453" s="271">
        <f t="shared" ref="U453" si="1323">+T453*$X$1</f>
        <v>2165</v>
      </c>
      <c r="V453" s="626">
        <f t="shared" ref="V453" si="1324">F453+56</f>
        <v>2156</v>
      </c>
      <c r="W453" s="271">
        <f t="shared" ref="W453" si="1325">+V453*$X$1</f>
        <v>2156</v>
      </c>
      <c r="X453" s="732"/>
      <c r="Y453" s="733"/>
      <c r="Z453" s="733"/>
      <c r="AA453" s="734"/>
      <c r="AB453" s="384">
        <v>11604</v>
      </c>
    </row>
    <row r="454" spans="1:35" ht="12.6" customHeight="1" x14ac:dyDescent="0.2">
      <c r="A454" s="18"/>
      <c r="B454" s="691" t="s">
        <v>501</v>
      </c>
      <c r="C454" s="746"/>
      <c r="D454" s="746"/>
      <c r="E454" s="746"/>
      <c r="F454" s="309">
        <v>2100</v>
      </c>
      <c r="G454" s="270">
        <f t="shared" si="1303"/>
        <v>2100</v>
      </c>
      <c r="H454" s="265"/>
      <c r="I454" s="320"/>
      <c r="J454" s="605">
        <f>F454+330</f>
        <v>2430</v>
      </c>
      <c r="K454" s="270">
        <f t="shared" ref="K454" si="1326">+J454*$X$1</f>
        <v>2430</v>
      </c>
      <c r="L454" s="605">
        <f>F454+270</f>
        <v>2370</v>
      </c>
      <c r="M454" s="270">
        <f>+L454*$X$1</f>
        <v>2370</v>
      </c>
      <c r="N454" s="605">
        <f>F454+220</f>
        <v>2320</v>
      </c>
      <c r="O454" s="270">
        <f>+N454*$X$1</f>
        <v>2320</v>
      </c>
      <c r="P454" s="605">
        <f>F454+190</f>
        <v>2290</v>
      </c>
      <c r="Q454" s="270">
        <f t="shared" ref="Q454" si="1327">+P454*$X$1</f>
        <v>2290</v>
      </c>
      <c r="R454" s="605">
        <f>F454+170</f>
        <v>2270</v>
      </c>
      <c r="S454" s="270">
        <f>+R454*$X$1</f>
        <v>2270</v>
      </c>
      <c r="T454" s="605">
        <f>F454+140</f>
        <v>2240</v>
      </c>
      <c r="U454" s="270">
        <f t="shared" ref="U454" si="1328">+T454*$X$1</f>
        <v>2240</v>
      </c>
      <c r="V454" s="605">
        <f>F454+130</f>
        <v>2230</v>
      </c>
      <c r="W454" s="270">
        <f>+V454*$X$1</f>
        <v>2230</v>
      </c>
      <c r="X454" s="732"/>
      <c r="Y454" s="733"/>
      <c r="Z454" s="733"/>
      <c r="AA454" s="734"/>
      <c r="AB454" s="384">
        <v>11605</v>
      </c>
    </row>
    <row r="455" spans="1:35" ht="12.6" customHeight="1" x14ac:dyDescent="0.2">
      <c r="A455" s="18"/>
      <c r="B455" s="698" t="s">
        <v>791</v>
      </c>
      <c r="C455" s="699"/>
      <c r="D455" s="699"/>
      <c r="E455" s="699"/>
      <c r="F455" s="308">
        <v>950</v>
      </c>
      <c r="G455" s="271">
        <f t="shared" si="1311"/>
        <v>950</v>
      </c>
      <c r="H455" s="264"/>
      <c r="I455" s="264"/>
      <c r="J455" s="626"/>
      <c r="K455" s="271"/>
      <c r="L455" s="626"/>
      <c r="M455" s="271"/>
      <c r="N455" s="626"/>
      <c r="O455" s="271"/>
      <c r="P455" s="626"/>
      <c r="Q455" s="271"/>
      <c r="R455" s="626"/>
      <c r="S455" s="271"/>
      <c r="T455" s="96"/>
      <c r="U455" s="286"/>
      <c r="V455" s="96"/>
      <c r="W455" s="286"/>
      <c r="X455" s="732"/>
      <c r="Y455" s="733"/>
      <c r="Z455" s="733"/>
      <c r="AA455" s="734"/>
      <c r="AB455" s="387"/>
    </row>
    <row r="456" spans="1:35" ht="12.6" customHeight="1" x14ac:dyDescent="0.2">
      <c r="A456" s="18"/>
      <c r="B456" s="691" t="s">
        <v>245</v>
      </c>
      <c r="C456" s="746"/>
      <c r="D456" s="746"/>
      <c r="E456" s="746"/>
      <c r="F456" s="270">
        <v>1090</v>
      </c>
      <c r="G456" s="270">
        <f t="shared" si="1303"/>
        <v>1090</v>
      </c>
      <c r="H456" s="265"/>
      <c r="I456" s="265"/>
      <c r="J456" s="70">
        <f t="shared" ref="J456" si="1329">F456+220</f>
        <v>1310</v>
      </c>
      <c r="K456" s="270">
        <f t="shared" ref="K456" si="1330">+J456*$X$1</f>
        <v>1310</v>
      </c>
      <c r="L456" s="605">
        <f t="shared" ref="L456" si="1331">F456+150</f>
        <v>1240</v>
      </c>
      <c r="M456" s="270">
        <f t="shared" ref="M456" si="1332">+L456*$X$1</f>
        <v>1240</v>
      </c>
      <c r="N456" s="605">
        <f t="shared" ref="N456" si="1333">F456+110</f>
        <v>1200</v>
      </c>
      <c r="O456" s="270">
        <f t="shared" ref="O456" si="1334">+N456*$X$1</f>
        <v>1200</v>
      </c>
      <c r="P456" s="605">
        <f t="shared" ref="P456" si="1335">F456+100</f>
        <v>1190</v>
      </c>
      <c r="Q456" s="270">
        <f t="shared" ref="Q456" si="1336">+P456*$X$1</f>
        <v>1190</v>
      </c>
      <c r="R456" s="605">
        <f t="shared" ref="R456" si="1337">F456+80</f>
        <v>1170</v>
      </c>
      <c r="S456" s="270">
        <f t="shared" ref="S456" si="1338">+R456*$X$1</f>
        <v>1170</v>
      </c>
      <c r="T456" s="605">
        <f t="shared" ref="T456" si="1339">F456+65</f>
        <v>1155</v>
      </c>
      <c r="U456" s="270">
        <f t="shared" ref="U456" si="1340">+T456*$X$1</f>
        <v>1155</v>
      </c>
      <c r="V456" s="605">
        <f t="shared" ref="V456" si="1341">F456+56</f>
        <v>1146</v>
      </c>
      <c r="W456" s="270">
        <f t="shared" ref="W456" si="1342">+V456*$X$1</f>
        <v>1146</v>
      </c>
      <c r="X456" s="142"/>
      <c r="Y456" s="123"/>
      <c r="Z456" s="123"/>
      <c r="AA456" s="123"/>
      <c r="AB456" s="388"/>
    </row>
    <row r="457" spans="1:35" ht="12.6" customHeight="1" x14ac:dyDescent="0.2">
      <c r="A457" s="98"/>
      <c r="B457" s="696" t="s">
        <v>246</v>
      </c>
      <c r="C457" s="1165"/>
      <c r="D457" s="1165"/>
      <c r="E457" s="1165"/>
      <c r="F457" s="491">
        <v>60</v>
      </c>
      <c r="G457" s="491">
        <f t="shared" si="1303"/>
        <v>60</v>
      </c>
      <c r="H457" s="566"/>
      <c r="I457" s="566"/>
      <c r="J457" s="566"/>
      <c r="K457" s="566"/>
      <c r="L457" s="566"/>
      <c r="M457" s="566"/>
      <c r="N457" s="566"/>
      <c r="O457" s="491"/>
      <c r="P457" s="566"/>
      <c r="Q457" s="491"/>
      <c r="R457" s="566"/>
      <c r="S457" s="491"/>
      <c r="T457" s="566"/>
      <c r="U457" s="491"/>
      <c r="V457" s="566"/>
      <c r="W457" s="491"/>
      <c r="X457" s="142"/>
      <c r="Y457" s="123"/>
      <c r="Z457" s="123"/>
      <c r="AA457" s="123"/>
      <c r="AB457" s="184">
        <v>11612</v>
      </c>
    </row>
    <row r="458" spans="1:35" ht="12.6" customHeight="1" x14ac:dyDescent="0.2">
      <c r="A458" s="18"/>
      <c r="B458" s="633" t="s">
        <v>787</v>
      </c>
      <c r="C458" s="634"/>
      <c r="D458" s="634"/>
      <c r="E458" s="635"/>
      <c r="F458" s="351">
        <f>1.29*X2</f>
        <v>1612.5</v>
      </c>
      <c r="G458" s="270">
        <f t="shared" ref="G458" si="1343">+F458*$X$1</f>
        <v>1612.5</v>
      </c>
      <c r="H458" s="569">
        <f t="shared" ref="H458" si="1344">F458+600</f>
        <v>2212.5</v>
      </c>
      <c r="I458" s="270">
        <f t="shared" ref="I458:I460" si="1345">+H458*$X$1</f>
        <v>2212.5</v>
      </c>
      <c r="J458" s="569">
        <f t="shared" ref="J458" si="1346">F458+200</f>
        <v>1812.5</v>
      </c>
      <c r="K458" s="270">
        <f t="shared" ref="K458:K460" si="1347">+J458*$X$1</f>
        <v>1812.5</v>
      </c>
      <c r="L458" s="569">
        <f>F458+150</f>
        <v>1762.5</v>
      </c>
      <c r="M458" s="270">
        <f t="shared" ref="M458:M460" si="1348">+L458*$X$1</f>
        <v>1762.5</v>
      </c>
      <c r="N458" s="569">
        <f>F458+110</f>
        <v>1722.5</v>
      </c>
      <c r="O458" s="270">
        <f>+N458*$X$1</f>
        <v>1722.5</v>
      </c>
      <c r="P458" s="569">
        <f>F458+90</f>
        <v>1702.5</v>
      </c>
      <c r="Q458" s="270">
        <f t="shared" ref="Q458:Q460" si="1349">+P458*$X$1</f>
        <v>1702.5</v>
      </c>
      <c r="R458" s="569">
        <f>F458+70</f>
        <v>1682.5</v>
      </c>
      <c r="S458" s="270">
        <f>+R458*$X$1</f>
        <v>1682.5</v>
      </c>
      <c r="T458" s="569">
        <f>F458+56</f>
        <v>1668.5</v>
      </c>
      <c r="U458" s="270">
        <f t="shared" ref="U458:U460" si="1350">+T458*$X$1</f>
        <v>1668.5</v>
      </c>
      <c r="V458" s="569">
        <f>F458+49</f>
        <v>1661.5</v>
      </c>
      <c r="W458" s="270">
        <f t="shared" ref="W458:W460" si="1351">+V458*$X$1</f>
        <v>1661.5</v>
      </c>
      <c r="X458" s="642"/>
      <c r="Y458" s="707"/>
      <c r="Z458" s="707"/>
      <c r="AA458" s="643"/>
      <c r="AB458" s="184" t="s">
        <v>488</v>
      </c>
    </row>
    <row r="459" spans="1:35" ht="12.6" customHeight="1" x14ac:dyDescent="0.2">
      <c r="A459" s="98"/>
      <c r="B459" s="741" t="s">
        <v>852</v>
      </c>
      <c r="C459" s="755"/>
      <c r="D459" s="755"/>
      <c r="E459" s="755"/>
      <c r="F459" s="352">
        <f>1.89*X2</f>
        <v>2362.5</v>
      </c>
      <c r="G459" s="271">
        <f>+F459*$X$1</f>
        <v>2362.5</v>
      </c>
      <c r="H459" s="427">
        <f>F459+650</f>
        <v>3012.5</v>
      </c>
      <c r="I459" s="271">
        <f t="shared" si="1345"/>
        <v>3012.5</v>
      </c>
      <c r="J459" s="427">
        <f>F459+230</f>
        <v>2592.5</v>
      </c>
      <c r="K459" s="271">
        <f t="shared" si="1347"/>
        <v>2592.5</v>
      </c>
      <c r="L459" s="427">
        <f>F459+190</f>
        <v>2552.5</v>
      </c>
      <c r="M459" s="271">
        <f t="shared" si="1348"/>
        <v>2552.5</v>
      </c>
      <c r="N459" s="427">
        <f>F459+150</f>
        <v>2512.5</v>
      </c>
      <c r="O459" s="271">
        <f t="shared" ref="O459:O460" si="1352">+N459*$X$1</f>
        <v>2512.5</v>
      </c>
      <c r="P459" s="427">
        <f>F459+130</f>
        <v>2492.5</v>
      </c>
      <c r="Q459" s="271">
        <f t="shared" si="1349"/>
        <v>2492.5</v>
      </c>
      <c r="R459" s="427">
        <f>F459+110</f>
        <v>2472.5</v>
      </c>
      <c r="S459" s="271">
        <f t="shared" ref="S459:S460" si="1353">+R459*$X$1</f>
        <v>2472.5</v>
      </c>
      <c r="T459" s="427">
        <f>F459+90</f>
        <v>2452.5</v>
      </c>
      <c r="U459" s="271">
        <f t="shared" si="1350"/>
        <v>2452.5</v>
      </c>
      <c r="V459" s="427">
        <f>F459+70</f>
        <v>2432.5</v>
      </c>
      <c r="W459" s="271">
        <f t="shared" si="1351"/>
        <v>2432.5</v>
      </c>
      <c r="X459" s="642"/>
      <c r="Y459" s="642"/>
      <c r="Z459" s="642"/>
      <c r="AA459" s="642"/>
      <c r="AB459" s="372" t="s">
        <v>853</v>
      </c>
      <c r="AC459" s="64"/>
    </row>
    <row r="460" spans="1:35" ht="12.6" customHeight="1" x14ac:dyDescent="0.2">
      <c r="A460" s="98"/>
      <c r="B460" s="703" t="s">
        <v>624</v>
      </c>
      <c r="C460" s="704"/>
      <c r="D460" s="704"/>
      <c r="E460" s="704"/>
      <c r="F460" s="351">
        <f>4.14*X2</f>
        <v>5175</v>
      </c>
      <c r="G460" s="270">
        <f>+F460*$X$1</f>
        <v>5175</v>
      </c>
      <c r="H460" s="569">
        <f>F460+650</f>
        <v>5825</v>
      </c>
      <c r="I460" s="270">
        <f t="shared" si="1345"/>
        <v>5825</v>
      </c>
      <c r="J460" s="569">
        <f>F460+230</f>
        <v>5405</v>
      </c>
      <c r="K460" s="270">
        <f t="shared" si="1347"/>
        <v>5405</v>
      </c>
      <c r="L460" s="569">
        <f>F460+190</f>
        <v>5365</v>
      </c>
      <c r="M460" s="270">
        <f t="shared" si="1348"/>
        <v>5365</v>
      </c>
      <c r="N460" s="569">
        <f>F460+150</f>
        <v>5325</v>
      </c>
      <c r="O460" s="270">
        <f t="shared" si="1352"/>
        <v>5325</v>
      </c>
      <c r="P460" s="569">
        <f>F460+130</f>
        <v>5305</v>
      </c>
      <c r="Q460" s="270">
        <f t="shared" si="1349"/>
        <v>5305</v>
      </c>
      <c r="R460" s="569">
        <f>F460+110</f>
        <v>5285</v>
      </c>
      <c r="S460" s="270">
        <f t="shared" si="1353"/>
        <v>5285</v>
      </c>
      <c r="T460" s="569">
        <f>F460+90</f>
        <v>5265</v>
      </c>
      <c r="U460" s="270">
        <f t="shared" si="1350"/>
        <v>5265</v>
      </c>
      <c r="V460" s="569">
        <f>F460+70</f>
        <v>5245</v>
      </c>
      <c r="W460" s="270">
        <f t="shared" si="1351"/>
        <v>5245</v>
      </c>
      <c r="X460" s="642"/>
      <c r="Y460" s="642"/>
      <c r="Z460" s="642"/>
      <c r="AA460" s="642"/>
      <c r="AB460" s="372" t="s">
        <v>623</v>
      </c>
      <c r="AC460" s="64"/>
    </row>
    <row r="461" spans="1:35" ht="12.6" customHeight="1" x14ac:dyDescent="0.2">
      <c r="A461" s="98"/>
      <c r="B461" s="741" t="s">
        <v>616</v>
      </c>
      <c r="C461" s="755"/>
      <c r="D461" s="755"/>
      <c r="E461" s="755"/>
      <c r="F461" s="352">
        <f>4.86*X2</f>
        <v>6075</v>
      </c>
      <c r="G461" s="271">
        <f t="shared" ref="G461:G463" si="1354">+F461*$X$1</f>
        <v>6075</v>
      </c>
      <c r="H461" s="427">
        <f>F461+650</f>
        <v>6725</v>
      </c>
      <c r="I461" s="271">
        <f t="shared" ref="I461:I463" si="1355">+H461*$X$1</f>
        <v>6725</v>
      </c>
      <c r="J461" s="427">
        <f>F461+230</f>
        <v>6305</v>
      </c>
      <c r="K461" s="271">
        <f t="shared" ref="K461:K463" si="1356">+J461*$X$1</f>
        <v>6305</v>
      </c>
      <c r="L461" s="427">
        <f>F461+190</f>
        <v>6265</v>
      </c>
      <c r="M461" s="271">
        <f t="shared" ref="M461:M463" si="1357">+L461*$X$1</f>
        <v>6265</v>
      </c>
      <c r="N461" s="427">
        <f>F461+150</f>
        <v>6225</v>
      </c>
      <c r="O461" s="271">
        <f t="shared" ref="O461" si="1358">+N461*$X$1</f>
        <v>6225</v>
      </c>
      <c r="P461" s="427"/>
      <c r="Q461" s="271"/>
      <c r="R461" s="427"/>
      <c r="S461" s="271"/>
      <c r="T461" s="427"/>
      <c r="U461" s="271"/>
      <c r="V461" s="427"/>
      <c r="W461" s="271"/>
      <c r="X461" s="642"/>
      <c r="Y461" s="642"/>
      <c r="Z461" s="642"/>
      <c r="AA461" s="642"/>
      <c r="AB461" s="372" t="s">
        <v>615</v>
      </c>
      <c r="AC461" s="64"/>
    </row>
    <row r="462" spans="1:35" ht="12.6" customHeight="1" x14ac:dyDescent="0.2">
      <c r="A462" s="98"/>
      <c r="B462" s="703" t="s">
        <v>619</v>
      </c>
      <c r="C462" s="704"/>
      <c r="D462" s="704"/>
      <c r="E462" s="704"/>
      <c r="F462" s="351">
        <f>4.07*X2</f>
        <v>5087.5</v>
      </c>
      <c r="G462" s="270">
        <f t="shared" si="1354"/>
        <v>5087.5</v>
      </c>
      <c r="H462" s="569">
        <f t="shared" ref="H462" si="1359">F462+600</f>
        <v>5687.5</v>
      </c>
      <c r="I462" s="270">
        <f t="shared" ref="I462" si="1360">+H462*$X$1</f>
        <v>5687.5</v>
      </c>
      <c r="J462" s="569">
        <f t="shared" ref="J462" si="1361">F462+200</f>
        <v>5287.5</v>
      </c>
      <c r="K462" s="270">
        <f t="shared" ref="K462" si="1362">+J462*$X$1</f>
        <v>5287.5</v>
      </c>
      <c r="L462" s="569">
        <f>F462+150</f>
        <v>5237.5</v>
      </c>
      <c r="M462" s="270">
        <f t="shared" ref="M462" si="1363">+L462*$X$1</f>
        <v>5237.5</v>
      </c>
      <c r="N462" s="569">
        <f>F462+110</f>
        <v>5197.5</v>
      </c>
      <c r="O462" s="270">
        <f>+N462*$X$1</f>
        <v>5197.5</v>
      </c>
      <c r="P462" s="569">
        <f>F462+90</f>
        <v>5177.5</v>
      </c>
      <c r="Q462" s="270">
        <f t="shared" ref="Q462" si="1364">+P462*$X$1</f>
        <v>5177.5</v>
      </c>
      <c r="R462" s="569">
        <f>F462+70</f>
        <v>5157.5</v>
      </c>
      <c r="S462" s="270">
        <f>+R462*$X$1</f>
        <v>5157.5</v>
      </c>
      <c r="T462" s="569">
        <f>F462+56</f>
        <v>5143.5</v>
      </c>
      <c r="U462" s="270">
        <f t="shared" ref="U462" si="1365">+T462*$X$1</f>
        <v>5143.5</v>
      </c>
      <c r="V462" s="569">
        <f>F462+49</f>
        <v>5136.5</v>
      </c>
      <c r="W462" s="270">
        <f t="shared" ref="W462" si="1366">+V462*$X$1</f>
        <v>5136.5</v>
      </c>
      <c r="X462" s="642"/>
      <c r="Y462" s="642"/>
      <c r="Z462" s="642"/>
      <c r="AA462" s="642"/>
      <c r="AB462" s="372" t="s">
        <v>617</v>
      </c>
      <c r="AC462" s="64"/>
    </row>
    <row r="463" spans="1:35" ht="12.6" customHeight="1" x14ac:dyDescent="0.2">
      <c r="A463" s="98"/>
      <c r="B463" s="741" t="s">
        <v>620</v>
      </c>
      <c r="C463" s="755"/>
      <c r="D463" s="755"/>
      <c r="E463" s="755"/>
      <c r="F463" s="352">
        <f>4.07*X2</f>
        <v>5087.5</v>
      </c>
      <c r="G463" s="271">
        <f t="shared" si="1354"/>
        <v>5087.5</v>
      </c>
      <c r="H463" s="427">
        <f t="shared" ref="H463" si="1367">F463+600</f>
        <v>5687.5</v>
      </c>
      <c r="I463" s="271">
        <f t="shared" si="1355"/>
        <v>5687.5</v>
      </c>
      <c r="J463" s="427">
        <f t="shared" ref="J463" si="1368">F463+200</f>
        <v>5287.5</v>
      </c>
      <c r="K463" s="271">
        <f t="shared" si="1356"/>
        <v>5287.5</v>
      </c>
      <c r="L463" s="427">
        <f>F463+150</f>
        <v>5237.5</v>
      </c>
      <c r="M463" s="271">
        <f t="shared" si="1357"/>
        <v>5237.5</v>
      </c>
      <c r="N463" s="427">
        <f>F463+110</f>
        <v>5197.5</v>
      </c>
      <c r="O463" s="271">
        <f>+N463*$X$1</f>
        <v>5197.5</v>
      </c>
      <c r="P463" s="427"/>
      <c r="Q463" s="271"/>
      <c r="R463" s="427"/>
      <c r="S463" s="271"/>
      <c r="T463" s="427"/>
      <c r="U463" s="271"/>
      <c r="V463" s="427"/>
      <c r="W463" s="271"/>
      <c r="X463" s="642"/>
      <c r="Y463" s="642"/>
      <c r="Z463" s="642"/>
      <c r="AA463" s="642"/>
      <c r="AB463" s="372" t="s">
        <v>618</v>
      </c>
      <c r="AC463" s="64"/>
    </row>
    <row r="464" spans="1:35" ht="12.6" customHeight="1" x14ac:dyDescent="0.2">
      <c r="A464" s="98"/>
      <c r="B464" s="693" t="s">
        <v>929</v>
      </c>
      <c r="C464" s="759"/>
      <c r="D464" s="759"/>
      <c r="E464" s="759"/>
      <c r="F464" s="351">
        <v>1190</v>
      </c>
      <c r="G464" s="270">
        <f t="shared" ref="G464" si="1369">+F464*$X$1</f>
        <v>1190</v>
      </c>
      <c r="H464" s="569"/>
      <c r="I464" s="270"/>
      <c r="J464" s="569"/>
      <c r="K464" s="270"/>
      <c r="L464" s="569">
        <f>F464+190</f>
        <v>1380</v>
      </c>
      <c r="M464" s="270">
        <f t="shared" ref="M464:M467" si="1370">+L464*$X$1</f>
        <v>1380</v>
      </c>
      <c r="N464" s="569">
        <f>F464+150</f>
        <v>1340</v>
      </c>
      <c r="O464" s="270">
        <f t="shared" ref="O464:O467" si="1371">+N464*$X$1</f>
        <v>1340</v>
      </c>
      <c r="P464" s="569">
        <f>F464+130</f>
        <v>1320</v>
      </c>
      <c r="Q464" s="270">
        <f t="shared" ref="Q464:Q467" si="1372">+P464*$X$1</f>
        <v>1320</v>
      </c>
      <c r="R464" s="569">
        <f>F464+110</f>
        <v>1300</v>
      </c>
      <c r="S464" s="270">
        <f t="shared" ref="S464:S467" si="1373">+R464*$X$1</f>
        <v>1300</v>
      </c>
      <c r="T464" s="569">
        <f>F464+90</f>
        <v>1280</v>
      </c>
      <c r="U464" s="270">
        <f t="shared" ref="U464:U467" si="1374">+T464*$X$1</f>
        <v>1280</v>
      </c>
      <c r="V464" s="569">
        <f>F464+70</f>
        <v>1260</v>
      </c>
      <c r="W464" s="270">
        <f t="shared" ref="W464:W467" si="1375">+V464*$X$1</f>
        <v>1260</v>
      </c>
      <c r="X464" s="642"/>
      <c r="Y464" s="642"/>
      <c r="Z464" s="642"/>
      <c r="AA464" s="642"/>
      <c r="AB464" s="372" t="s">
        <v>940</v>
      </c>
      <c r="AC464" s="64"/>
    </row>
    <row r="465" spans="1:34" ht="12.6" customHeight="1" x14ac:dyDescent="0.2">
      <c r="A465" s="98"/>
      <c r="B465" s="693" t="s">
        <v>930</v>
      </c>
      <c r="C465" s="759"/>
      <c r="D465" s="759"/>
      <c r="E465" s="759"/>
      <c r="F465" s="352">
        <v>1420</v>
      </c>
      <c r="G465" s="271">
        <f t="shared" ref="G465" si="1376">+F465*$X$1</f>
        <v>1420</v>
      </c>
      <c r="H465" s="427"/>
      <c r="I465" s="271"/>
      <c r="J465" s="427"/>
      <c r="K465" s="271"/>
      <c r="L465" s="427">
        <f>F465+190</f>
        <v>1610</v>
      </c>
      <c r="M465" s="271">
        <f t="shared" si="1370"/>
        <v>1610</v>
      </c>
      <c r="N465" s="427">
        <f>F465+150</f>
        <v>1570</v>
      </c>
      <c r="O465" s="271">
        <f t="shared" si="1371"/>
        <v>1570</v>
      </c>
      <c r="P465" s="427">
        <f>F465+130</f>
        <v>1550</v>
      </c>
      <c r="Q465" s="271">
        <f t="shared" si="1372"/>
        <v>1550</v>
      </c>
      <c r="R465" s="427">
        <f>F465+110</f>
        <v>1530</v>
      </c>
      <c r="S465" s="271">
        <f t="shared" si="1373"/>
        <v>1530</v>
      </c>
      <c r="T465" s="427">
        <f>F465+90</f>
        <v>1510</v>
      </c>
      <c r="U465" s="271">
        <f t="shared" si="1374"/>
        <v>1510</v>
      </c>
      <c r="V465" s="427">
        <f>F465+70</f>
        <v>1490</v>
      </c>
      <c r="W465" s="271">
        <f t="shared" si="1375"/>
        <v>1490</v>
      </c>
      <c r="X465" s="642"/>
      <c r="Y465" s="642"/>
      <c r="Z465" s="642"/>
      <c r="AA465" s="642"/>
      <c r="AB465" s="372" t="s">
        <v>941</v>
      </c>
      <c r="AC465" s="64"/>
    </row>
    <row r="466" spans="1:34" ht="12.6" customHeight="1" x14ac:dyDescent="0.2">
      <c r="A466" s="98"/>
      <c r="B466" s="693" t="s">
        <v>931</v>
      </c>
      <c r="C466" s="759"/>
      <c r="D466" s="759"/>
      <c r="E466" s="759"/>
      <c r="F466" s="351">
        <v>1420</v>
      </c>
      <c r="G466" s="270">
        <f t="shared" ref="G466" si="1377">+F466*$X$1</f>
        <v>1420</v>
      </c>
      <c r="H466" s="569"/>
      <c r="I466" s="270"/>
      <c r="J466" s="569"/>
      <c r="K466" s="270"/>
      <c r="L466" s="569">
        <f>F466+190</f>
        <v>1610</v>
      </c>
      <c r="M466" s="270">
        <f t="shared" si="1370"/>
        <v>1610</v>
      </c>
      <c r="N466" s="569">
        <f>F466+150</f>
        <v>1570</v>
      </c>
      <c r="O466" s="270">
        <f t="shared" si="1371"/>
        <v>1570</v>
      </c>
      <c r="P466" s="569">
        <f>F466+130</f>
        <v>1550</v>
      </c>
      <c r="Q466" s="270">
        <f t="shared" si="1372"/>
        <v>1550</v>
      </c>
      <c r="R466" s="569">
        <f>F466+110</f>
        <v>1530</v>
      </c>
      <c r="S466" s="270">
        <f t="shared" si="1373"/>
        <v>1530</v>
      </c>
      <c r="T466" s="569">
        <f>F466+90</f>
        <v>1510</v>
      </c>
      <c r="U466" s="270">
        <f t="shared" si="1374"/>
        <v>1510</v>
      </c>
      <c r="V466" s="569">
        <f>F466+70</f>
        <v>1490</v>
      </c>
      <c r="W466" s="270">
        <f t="shared" si="1375"/>
        <v>1490</v>
      </c>
      <c r="X466" s="642"/>
      <c r="Y466" s="642"/>
      <c r="Z466" s="642"/>
      <c r="AA466" s="642"/>
      <c r="AB466" s="372" t="s">
        <v>942</v>
      </c>
      <c r="AC466" s="64"/>
    </row>
    <row r="467" spans="1:34" ht="12.6" customHeight="1" x14ac:dyDescent="0.2">
      <c r="A467" s="98"/>
      <c r="B467" s="693" t="s">
        <v>932</v>
      </c>
      <c r="C467" s="759"/>
      <c r="D467" s="759"/>
      <c r="E467" s="759"/>
      <c r="F467" s="352">
        <v>1420</v>
      </c>
      <c r="G467" s="271">
        <f t="shared" ref="G467" si="1378">+F467*$X$1</f>
        <v>1420</v>
      </c>
      <c r="H467" s="427"/>
      <c r="I467" s="271"/>
      <c r="J467" s="427"/>
      <c r="K467" s="271"/>
      <c r="L467" s="427">
        <f>F467+190</f>
        <v>1610</v>
      </c>
      <c r="M467" s="271">
        <f t="shared" si="1370"/>
        <v>1610</v>
      </c>
      <c r="N467" s="427">
        <f>F467+150</f>
        <v>1570</v>
      </c>
      <c r="O467" s="271">
        <f t="shared" si="1371"/>
        <v>1570</v>
      </c>
      <c r="P467" s="427">
        <f>F467+130</f>
        <v>1550</v>
      </c>
      <c r="Q467" s="271">
        <f t="shared" si="1372"/>
        <v>1550</v>
      </c>
      <c r="R467" s="427">
        <f>F467+110</f>
        <v>1530</v>
      </c>
      <c r="S467" s="271">
        <f t="shared" si="1373"/>
        <v>1530</v>
      </c>
      <c r="T467" s="427">
        <f>F467+90</f>
        <v>1510</v>
      </c>
      <c r="U467" s="271">
        <f t="shared" si="1374"/>
        <v>1510</v>
      </c>
      <c r="V467" s="427">
        <f>F467+70</f>
        <v>1490</v>
      </c>
      <c r="W467" s="271">
        <f t="shared" si="1375"/>
        <v>1490</v>
      </c>
      <c r="X467" s="642"/>
      <c r="Y467" s="642"/>
      <c r="Z467" s="642"/>
      <c r="AA467" s="642"/>
      <c r="AB467" s="372"/>
      <c r="AC467" s="64"/>
    </row>
    <row r="468" spans="1:34" ht="12.6" customHeight="1" x14ac:dyDescent="0.2">
      <c r="A468" s="98"/>
      <c r="B468" s="703" t="s">
        <v>850</v>
      </c>
      <c r="C468" s="704"/>
      <c r="D468" s="704"/>
      <c r="E468" s="704"/>
      <c r="F468" s="351">
        <f>3.7*X2</f>
        <v>4625</v>
      </c>
      <c r="G468" s="270">
        <f t="shared" ref="G468" si="1379">+F468*$X$1</f>
        <v>4625</v>
      </c>
      <c r="H468" s="569"/>
      <c r="I468" s="270"/>
      <c r="J468" s="569">
        <f>F468+300</f>
        <v>4925</v>
      </c>
      <c r="K468" s="270">
        <f t="shared" ref="K468" si="1380">+J468*$X$1</f>
        <v>4925</v>
      </c>
      <c r="L468" s="569">
        <f>F468+240</f>
        <v>4865</v>
      </c>
      <c r="M468" s="270">
        <f t="shared" ref="M468" si="1381">+L468*$X$1</f>
        <v>4865</v>
      </c>
      <c r="N468" s="569">
        <f>F468+200</f>
        <v>4825</v>
      </c>
      <c r="O468" s="270">
        <f t="shared" ref="O468" si="1382">+N468*$X$1</f>
        <v>4825</v>
      </c>
      <c r="P468" s="569">
        <f>F468+160</f>
        <v>4785</v>
      </c>
      <c r="Q468" s="270">
        <f t="shared" ref="Q468" si="1383">+P468*$X$1</f>
        <v>4785</v>
      </c>
      <c r="R468" s="569">
        <f>F468+140</f>
        <v>4765</v>
      </c>
      <c r="S468" s="270">
        <f t="shared" ref="S468" si="1384">+R468*$X$1</f>
        <v>4765</v>
      </c>
      <c r="T468" s="569">
        <f>F468+110</f>
        <v>4735</v>
      </c>
      <c r="U468" s="270">
        <f t="shared" ref="U468" si="1385">+T468*$X$1</f>
        <v>4735</v>
      </c>
      <c r="V468" s="569">
        <f>F468+90</f>
        <v>4715</v>
      </c>
      <c r="W468" s="270">
        <f t="shared" ref="W468" si="1386">+V468*$X$1</f>
        <v>4715</v>
      </c>
      <c r="X468" s="642"/>
      <c r="Y468" s="642"/>
      <c r="Z468" s="642"/>
      <c r="AA468" s="642"/>
      <c r="AB468" s="372" t="s">
        <v>851</v>
      </c>
      <c r="AC468" s="64"/>
    </row>
    <row r="469" spans="1:34" ht="12.6" customHeight="1" x14ac:dyDescent="0.2">
      <c r="A469" s="98"/>
      <c r="B469" s="693" t="s">
        <v>868</v>
      </c>
      <c r="C469" s="759"/>
      <c r="D469" s="759"/>
      <c r="E469" s="759"/>
      <c r="F469" s="352">
        <v>22</v>
      </c>
      <c r="G469" s="271">
        <f t="shared" ref="G469" si="1387">+F469*$X$1</f>
        <v>22</v>
      </c>
      <c r="H469" s="427"/>
      <c r="I469" s="271"/>
      <c r="J469" s="427"/>
      <c r="K469" s="271"/>
      <c r="L469" s="427"/>
      <c r="M469" s="271"/>
      <c r="N469" s="427"/>
      <c r="O469" s="271"/>
      <c r="P469" s="427"/>
      <c r="Q469" s="271"/>
      <c r="R469" s="427"/>
      <c r="S469" s="271"/>
      <c r="T469" s="427"/>
      <c r="U469" s="271"/>
      <c r="V469" s="427"/>
      <c r="W469" s="271"/>
      <c r="X469" s="642"/>
      <c r="Y469" s="642"/>
      <c r="Z469" s="642"/>
      <c r="AA469" s="642"/>
      <c r="AB469" s="372" t="s">
        <v>869</v>
      </c>
      <c r="AC469" s="64"/>
    </row>
    <row r="470" spans="1:34" ht="12.6" customHeight="1" x14ac:dyDescent="0.2">
      <c r="A470" s="98"/>
      <c r="B470" s="693" t="s">
        <v>867</v>
      </c>
      <c r="C470" s="759"/>
      <c r="D470" s="759"/>
      <c r="E470" s="759"/>
      <c r="F470" s="351">
        <v>49</v>
      </c>
      <c r="G470" s="270">
        <f t="shared" ref="G470" si="1388">+F470*$X$1</f>
        <v>49</v>
      </c>
      <c r="H470" s="569"/>
      <c r="I470" s="270"/>
      <c r="J470" s="569"/>
      <c r="K470" s="270"/>
      <c r="L470" s="569"/>
      <c r="M470" s="270"/>
      <c r="N470" s="569"/>
      <c r="O470" s="270"/>
      <c r="P470" s="569"/>
      <c r="Q470" s="270"/>
      <c r="R470" s="569"/>
      <c r="S470" s="270"/>
      <c r="T470" s="569"/>
      <c r="U470" s="270"/>
      <c r="V470" s="569"/>
      <c r="W470" s="270"/>
      <c r="X470" s="642"/>
      <c r="Y470" s="642"/>
      <c r="Z470" s="642"/>
      <c r="AA470" s="642"/>
      <c r="AB470" s="372" t="s">
        <v>870</v>
      </c>
      <c r="AC470" s="64"/>
    </row>
    <row r="471" spans="1:34" ht="12.6" customHeight="1" x14ac:dyDescent="0.2">
      <c r="A471" s="18"/>
      <c r="B471" s="708" t="s">
        <v>326</v>
      </c>
      <c r="C471" s="709"/>
      <c r="D471" s="709"/>
      <c r="E471" s="710"/>
      <c r="F471" s="271">
        <v>1225</v>
      </c>
      <c r="G471" s="271">
        <f t="shared" ref="G471:G473" si="1389">+F471*$X$1</f>
        <v>1225</v>
      </c>
      <c r="H471" s="250"/>
      <c r="I471" s="990" t="s">
        <v>475</v>
      </c>
      <c r="J471" s="1064"/>
      <c r="K471" s="1064"/>
      <c r="L471" s="1064"/>
      <c r="M471" s="1065"/>
      <c r="N471" s="427">
        <v>1750</v>
      </c>
      <c r="O471" s="271">
        <f>+N471*$X$1</f>
        <v>1750</v>
      </c>
      <c r="P471" s="99">
        <v>1745</v>
      </c>
      <c r="Q471" s="271">
        <f t="shared" ref="Q471" si="1390">+P471*$X$1</f>
        <v>1745</v>
      </c>
      <c r="R471" s="427">
        <v>1571</v>
      </c>
      <c r="S471" s="271">
        <f>+R471*$X$1</f>
        <v>1571</v>
      </c>
      <c r="T471" s="427">
        <v>1462</v>
      </c>
      <c r="U471" s="271">
        <f>+T471*$X$1</f>
        <v>1462</v>
      </c>
      <c r="V471" s="427">
        <v>1419</v>
      </c>
      <c r="W471" s="271">
        <f t="shared" ref="W471" si="1391">+V471*$X$1</f>
        <v>1419</v>
      </c>
      <c r="X471" s="126"/>
      <c r="Y471" s="126"/>
      <c r="Z471" s="126"/>
      <c r="AA471" s="129"/>
      <c r="AB471" s="29"/>
    </row>
    <row r="472" spans="1:34" ht="12.6" customHeight="1" x14ac:dyDescent="0.2">
      <c r="A472" s="18"/>
      <c r="B472" s="633" t="s">
        <v>327</v>
      </c>
      <c r="C472" s="634"/>
      <c r="D472" s="634"/>
      <c r="E472" s="635"/>
      <c r="F472" s="270">
        <v>1225</v>
      </c>
      <c r="G472" s="270">
        <f t="shared" si="1389"/>
        <v>1225</v>
      </c>
      <c r="H472" s="250"/>
      <c r="I472" s="1066"/>
      <c r="J472" s="1067"/>
      <c r="K472" s="1067"/>
      <c r="L472" s="1067"/>
      <c r="M472" s="1068"/>
      <c r="N472" s="488">
        <v>1750</v>
      </c>
      <c r="O472" s="270">
        <f>+N472*$X$1</f>
        <v>1750</v>
      </c>
      <c r="P472" s="95">
        <v>1745</v>
      </c>
      <c r="Q472" s="270">
        <f t="shared" ref="Q472:Q473" si="1392">+P472*$X$1</f>
        <v>1745</v>
      </c>
      <c r="R472" s="488">
        <v>1571</v>
      </c>
      <c r="S472" s="270">
        <f>+R472*$X$1</f>
        <v>1571</v>
      </c>
      <c r="T472" s="488">
        <v>1462</v>
      </c>
      <c r="U472" s="270">
        <f>+T472*$X$1</f>
        <v>1462</v>
      </c>
      <c r="V472" s="488">
        <v>1419</v>
      </c>
      <c r="W472" s="270">
        <f t="shared" ref="W472:W473" si="1393">+V472*$X$1</f>
        <v>1419</v>
      </c>
      <c r="X472" s="126"/>
      <c r="Y472" s="126"/>
      <c r="Z472" s="126"/>
      <c r="AA472" s="129"/>
      <c r="AB472" s="184"/>
    </row>
    <row r="473" spans="1:34" ht="12.6" customHeight="1" x14ac:dyDescent="0.2">
      <c r="A473" s="18"/>
      <c r="B473" s="708" t="s">
        <v>328</v>
      </c>
      <c r="C473" s="709"/>
      <c r="D473" s="709"/>
      <c r="E473" s="710"/>
      <c r="F473" s="271">
        <v>1225</v>
      </c>
      <c r="G473" s="271">
        <f t="shared" si="1389"/>
        <v>1225</v>
      </c>
      <c r="H473" s="17"/>
      <c r="I473" s="1069"/>
      <c r="J473" s="1070"/>
      <c r="K473" s="1070"/>
      <c r="L473" s="1070"/>
      <c r="M473" s="1071"/>
      <c r="N473" s="427">
        <v>1750</v>
      </c>
      <c r="O473" s="271">
        <f>+N473*$X$1</f>
        <v>1750</v>
      </c>
      <c r="P473" s="99">
        <v>1745</v>
      </c>
      <c r="Q473" s="271">
        <f t="shared" si="1392"/>
        <v>1745</v>
      </c>
      <c r="R473" s="427">
        <v>1571</v>
      </c>
      <c r="S473" s="271">
        <f>+R473*$X$1</f>
        <v>1571</v>
      </c>
      <c r="T473" s="427">
        <v>1462</v>
      </c>
      <c r="U473" s="271">
        <f>+T473*$X$1</f>
        <v>1462</v>
      </c>
      <c r="V473" s="427">
        <v>1419</v>
      </c>
      <c r="W473" s="271">
        <f t="shared" si="1393"/>
        <v>1419</v>
      </c>
      <c r="X473" s="126"/>
      <c r="Y473" s="126"/>
      <c r="Z473" s="126"/>
      <c r="AA473" s="129"/>
      <c r="AB473" s="184"/>
      <c r="AG473" s="219"/>
    </row>
    <row r="474" spans="1:34" ht="12.6" customHeight="1" x14ac:dyDescent="0.2">
      <c r="A474" s="18"/>
      <c r="B474" s="691" t="s">
        <v>247</v>
      </c>
      <c r="C474" s="692"/>
      <c r="D474" s="692"/>
      <c r="E474" s="692"/>
      <c r="F474" s="351">
        <f>3.11*X2</f>
        <v>3887.5</v>
      </c>
      <c r="G474" s="270">
        <f>+F474*$X$1</f>
        <v>3887.5</v>
      </c>
      <c r="H474" s="265"/>
      <c r="I474" s="265"/>
      <c r="J474" s="70">
        <f t="shared" ref="J474" si="1394">F474+220</f>
        <v>4107.5</v>
      </c>
      <c r="K474" s="270">
        <f t="shared" ref="K474" si="1395">+J474*$X$1</f>
        <v>4107.5</v>
      </c>
      <c r="L474" s="605">
        <f t="shared" ref="L474" si="1396">F474+150</f>
        <v>4037.5</v>
      </c>
      <c r="M474" s="270">
        <f t="shared" ref="M474" si="1397">+L474*$X$1</f>
        <v>4037.5</v>
      </c>
      <c r="N474" s="605">
        <f t="shared" ref="N474" si="1398">F474+110</f>
        <v>3997.5</v>
      </c>
      <c r="O474" s="270">
        <f t="shared" ref="O474" si="1399">+N474*$X$1</f>
        <v>3997.5</v>
      </c>
      <c r="P474" s="605">
        <f t="shared" ref="P474" si="1400">F474+100</f>
        <v>3987.5</v>
      </c>
      <c r="Q474" s="270">
        <f>+P474*$X$1</f>
        <v>3987.5</v>
      </c>
      <c r="R474" s="605">
        <f t="shared" ref="R474" si="1401">F474+80</f>
        <v>3967.5</v>
      </c>
      <c r="S474" s="270">
        <f t="shared" ref="S474" si="1402">+R474*$X$1</f>
        <v>3967.5</v>
      </c>
      <c r="T474" s="605">
        <f t="shared" ref="T474" si="1403">F474+65</f>
        <v>3952.5</v>
      </c>
      <c r="U474" s="270">
        <f t="shared" ref="U474" si="1404">+T474*$X$1</f>
        <v>3952.5</v>
      </c>
      <c r="V474" s="605">
        <f t="shared" ref="V474" si="1405">F474+56</f>
        <v>3943.5</v>
      </c>
      <c r="W474" s="270">
        <f>+V474*$X$1</f>
        <v>3943.5</v>
      </c>
      <c r="X474" s="686"/>
      <c r="Y474" s="686"/>
      <c r="Z474" s="686"/>
      <c r="AA474" s="687"/>
      <c r="AB474" s="184" t="s">
        <v>248</v>
      </c>
    </row>
    <row r="475" spans="1:34" ht="12.6" customHeight="1" x14ac:dyDescent="0.2">
      <c r="A475" s="18"/>
      <c r="B475" s="629" t="s">
        <v>949</v>
      </c>
      <c r="C475" s="638"/>
      <c r="D475" s="638"/>
      <c r="E475" s="638"/>
      <c r="F475" s="352">
        <f>0.8*X2</f>
        <v>1000</v>
      </c>
      <c r="G475" s="271">
        <f>+F475*$X$1</f>
        <v>1000</v>
      </c>
      <c r="H475" s="264"/>
      <c r="I475" s="264"/>
      <c r="J475" s="85">
        <f t="shared" ref="J475" si="1406">F475+220</f>
        <v>1220</v>
      </c>
      <c r="K475" s="271">
        <f t="shared" ref="K475" si="1407">+J475*$X$1</f>
        <v>1220</v>
      </c>
      <c r="L475" s="626">
        <f t="shared" ref="L475" si="1408">F475+150</f>
        <v>1150</v>
      </c>
      <c r="M475" s="271">
        <f t="shared" ref="M475" si="1409">+L475*$X$1</f>
        <v>1150</v>
      </c>
      <c r="N475" s="626">
        <f t="shared" ref="N475" si="1410">F475+110</f>
        <v>1110</v>
      </c>
      <c r="O475" s="271">
        <f t="shared" ref="O475" si="1411">+N475*$X$1</f>
        <v>1110</v>
      </c>
      <c r="P475" s="626">
        <f t="shared" ref="P475" si="1412">F475+100</f>
        <v>1100</v>
      </c>
      <c r="Q475" s="271">
        <f t="shared" ref="Q475" si="1413">+P475*$X$1</f>
        <v>1100</v>
      </c>
      <c r="R475" s="626">
        <f t="shared" ref="R475" si="1414">F475+80</f>
        <v>1080</v>
      </c>
      <c r="S475" s="271">
        <f t="shared" ref="S475" si="1415">+R475*$X$1</f>
        <v>1080</v>
      </c>
      <c r="T475" s="626">
        <f t="shared" ref="T475" si="1416">F475+65</f>
        <v>1065</v>
      </c>
      <c r="U475" s="271">
        <f t="shared" ref="U475" si="1417">+T475*$X$1</f>
        <v>1065</v>
      </c>
      <c r="V475" s="626">
        <f t="shared" ref="V475" si="1418">F475+56</f>
        <v>1056</v>
      </c>
      <c r="W475" s="271">
        <f t="shared" ref="W475" si="1419">+V475*$X$1</f>
        <v>1056</v>
      </c>
      <c r="X475" s="686"/>
      <c r="Y475" s="686"/>
      <c r="Z475" s="686"/>
      <c r="AA475" s="687"/>
      <c r="AB475" s="184" t="s">
        <v>950</v>
      </c>
    </row>
    <row r="476" spans="1:34" ht="12.6" customHeight="1" x14ac:dyDescent="0.2">
      <c r="A476" s="18"/>
      <c r="B476" s="520"/>
      <c r="C476" s="521"/>
      <c r="D476" s="521"/>
      <c r="E476" s="521"/>
      <c r="F476" s="396"/>
      <c r="G476" s="313"/>
      <c r="H476" s="110"/>
      <c r="I476" s="313"/>
      <c r="J476" s="110"/>
      <c r="K476" s="313"/>
      <c r="L476" s="110"/>
      <c r="M476" s="313"/>
      <c r="N476" s="110"/>
      <c r="O476" s="313"/>
      <c r="P476" s="110"/>
      <c r="Q476" s="313"/>
      <c r="R476" s="110"/>
      <c r="S476" s="313"/>
      <c r="T476" s="110"/>
      <c r="U476" s="313"/>
      <c r="V476" s="110"/>
      <c r="W476" s="313"/>
      <c r="X476" s="536"/>
      <c r="Y476" s="74"/>
      <c r="Z476" s="74"/>
      <c r="AA476" s="74"/>
      <c r="AB476" s="535"/>
    </row>
    <row r="477" spans="1:34" ht="12.6" customHeight="1" x14ac:dyDescent="0.2">
      <c r="A477" s="18"/>
      <c r="B477" s="520"/>
      <c r="C477" s="521"/>
      <c r="D477" s="521"/>
      <c r="E477" s="521"/>
      <c r="F477" s="396"/>
      <c r="G477" s="313"/>
      <c r="H477" s="110"/>
      <c r="I477" s="313"/>
      <c r="J477" s="110"/>
      <c r="K477" s="313"/>
      <c r="L477" s="110"/>
      <c r="M477" s="313"/>
      <c r="N477" s="110"/>
      <c r="O477" s="313"/>
      <c r="P477" s="110"/>
      <c r="Q477" s="313"/>
      <c r="R477" s="110"/>
      <c r="S477" s="313"/>
      <c r="T477" s="110"/>
      <c r="U477" s="313"/>
      <c r="V477" s="110"/>
      <c r="W477" s="313"/>
      <c r="X477" s="536"/>
      <c r="Y477" s="74"/>
      <c r="Z477" s="74"/>
      <c r="AA477" s="74"/>
      <c r="AB477" s="535"/>
    </row>
    <row r="478" spans="1:34" ht="12.6" customHeight="1" x14ac:dyDescent="0.2">
      <c r="A478" s="18"/>
      <c r="B478" s="520"/>
      <c r="C478" s="521"/>
      <c r="D478" s="521"/>
      <c r="E478" s="521"/>
      <c r="F478" s="396"/>
      <c r="G478" s="313"/>
      <c r="H478" s="110"/>
      <c r="I478" s="313"/>
      <c r="J478" s="110"/>
      <c r="K478" s="313"/>
      <c r="L478" s="110"/>
      <c r="M478" s="313"/>
      <c r="N478" s="110"/>
      <c r="O478" s="313"/>
      <c r="P478" s="110"/>
      <c r="Q478" s="313"/>
      <c r="R478" s="110"/>
      <c r="S478" s="313"/>
      <c r="T478" s="110"/>
      <c r="U478" s="313"/>
      <c r="V478" s="110"/>
      <c r="W478" s="313"/>
      <c r="X478" s="536"/>
      <c r="Y478" s="74"/>
      <c r="Z478" s="74"/>
      <c r="AA478" s="74"/>
      <c r="AB478" s="535"/>
    </row>
    <row r="479" spans="1:34" ht="15.75" customHeight="1" x14ac:dyDescent="0.2">
      <c r="A479" s="18"/>
      <c r="B479" s="660" t="s">
        <v>11</v>
      </c>
      <c r="C479" s="935" t="s">
        <v>12</v>
      </c>
      <c r="D479" s="936"/>
      <c r="E479" s="936"/>
      <c r="F479" s="763" t="s">
        <v>13</v>
      </c>
      <c r="G479" s="763" t="s">
        <v>13</v>
      </c>
      <c r="H479" s="661" t="s">
        <v>770</v>
      </c>
      <c r="I479" s="661"/>
      <c r="J479" s="662"/>
      <c r="K479" s="662"/>
      <c r="L479" s="662"/>
      <c r="M479" s="662"/>
      <c r="N479" s="662"/>
      <c r="O479" s="662"/>
      <c r="P479" s="662"/>
      <c r="Q479" s="662"/>
      <c r="R479" s="662"/>
      <c r="S479" s="662"/>
      <c r="T479" s="662"/>
      <c r="U479" s="662"/>
      <c r="V479" s="662"/>
      <c r="W479" s="662"/>
      <c r="X479" s="731" t="s">
        <v>14</v>
      </c>
      <c r="Y479" s="731"/>
      <c r="Z479" s="731"/>
      <c r="AA479" s="731"/>
      <c r="AB479" s="702" t="s">
        <v>15</v>
      </c>
      <c r="AE479" s="63"/>
      <c r="AF479" s="675" t="s">
        <v>3</v>
      </c>
      <c r="AG479" s="676"/>
      <c r="AH479" s="676"/>
    </row>
    <row r="480" spans="1:34" ht="12" customHeight="1" x14ac:dyDescent="0.2">
      <c r="A480" s="18"/>
      <c r="B480" s="660"/>
      <c r="C480" s="936"/>
      <c r="D480" s="936"/>
      <c r="E480" s="936"/>
      <c r="F480" s="764"/>
      <c r="G480" s="764"/>
      <c r="H480" s="442"/>
      <c r="I480" s="434" t="s">
        <v>279</v>
      </c>
      <c r="J480" s="436"/>
      <c r="K480" s="434" t="s">
        <v>17</v>
      </c>
      <c r="L480" s="437"/>
      <c r="M480" s="437" t="s">
        <v>18</v>
      </c>
      <c r="N480" s="437"/>
      <c r="O480" s="434" t="s">
        <v>19</v>
      </c>
      <c r="P480" s="437"/>
      <c r="Q480" s="437" t="s">
        <v>280</v>
      </c>
      <c r="R480" s="437"/>
      <c r="S480" s="437" t="s">
        <v>20</v>
      </c>
      <c r="T480" s="437"/>
      <c r="U480" s="437" t="s">
        <v>21</v>
      </c>
      <c r="V480" s="437"/>
      <c r="W480" s="437" t="s">
        <v>22</v>
      </c>
      <c r="X480" s="731"/>
      <c r="Y480" s="731"/>
      <c r="Z480" s="731"/>
      <c r="AA480" s="731"/>
      <c r="AB480" s="702"/>
    </row>
    <row r="481" spans="1:31" ht="12.6" customHeight="1" x14ac:dyDescent="0.2">
      <c r="A481" s="18"/>
      <c r="B481" s="629" t="s">
        <v>375</v>
      </c>
      <c r="C481" s="638"/>
      <c r="D481" s="638"/>
      <c r="E481" s="638"/>
      <c r="F481" s="352">
        <f>0.98*X2</f>
        <v>1225</v>
      </c>
      <c r="G481" s="271">
        <f t="shared" ref="G481" si="1420">+F481*$X$1</f>
        <v>1225</v>
      </c>
      <c r="H481" s="264"/>
      <c r="I481" s="264"/>
      <c r="J481" s="85">
        <f t="shared" ref="J481" si="1421">F481+220</f>
        <v>1445</v>
      </c>
      <c r="K481" s="271">
        <f t="shared" ref="K481" si="1422">+J481*$X$1</f>
        <v>1445</v>
      </c>
      <c r="L481" s="427">
        <f t="shared" ref="L481" si="1423">F481+150</f>
        <v>1375</v>
      </c>
      <c r="M481" s="271">
        <f t="shared" ref="M481" si="1424">+L481*$X$1</f>
        <v>1375</v>
      </c>
      <c r="N481" s="427">
        <f t="shared" ref="N481" si="1425">F481+110</f>
        <v>1335</v>
      </c>
      <c r="O481" s="271">
        <f t="shared" ref="O481" si="1426">+N481*$X$1</f>
        <v>1335</v>
      </c>
      <c r="P481" s="427">
        <f t="shared" ref="P481" si="1427">F481+100</f>
        <v>1325</v>
      </c>
      <c r="Q481" s="271">
        <f t="shared" ref="Q481" si="1428">+P481*$X$1</f>
        <v>1325</v>
      </c>
      <c r="R481" s="427">
        <f t="shared" ref="R481" si="1429">F481+80</f>
        <v>1305</v>
      </c>
      <c r="S481" s="271">
        <f t="shared" ref="S481" si="1430">+R481*$X$1</f>
        <v>1305</v>
      </c>
      <c r="T481" s="427">
        <f t="shared" ref="T481" si="1431">F481+65</f>
        <v>1290</v>
      </c>
      <c r="U481" s="271">
        <f t="shared" ref="U481" si="1432">+T481*$X$1</f>
        <v>1290</v>
      </c>
      <c r="V481" s="427">
        <f t="shared" ref="V481" si="1433">F481+56</f>
        <v>1281</v>
      </c>
      <c r="W481" s="271">
        <f t="shared" ref="W481" si="1434">+V481*$X$1</f>
        <v>1281</v>
      </c>
      <c r="X481" s="686"/>
      <c r="Y481" s="686"/>
      <c r="Z481" s="686"/>
      <c r="AA481" s="687"/>
      <c r="AB481" s="184" t="s">
        <v>405</v>
      </c>
    </row>
    <row r="482" spans="1:31" s="64" customFormat="1" ht="12.6" customHeight="1" x14ac:dyDescent="0.25">
      <c r="A482" s="92"/>
      <c r="B482" s="639" t="s">
        <v>324</v>
      </c>
      <c r="C482" s="1007"/>
      <c r="D482" s="1007"/>
      <c r="E482" s="1007"/>
      <c r="F482" s="270">
        <v>635</v>
      </c>
      <c r="G482" s="270">
        <f t="shared" ref="G482:G487" si="1435">+F482*$X$1</f>
        <v>635</v>
      </c>
      <c r="H482" s="263"/>
      <c r="I482" s="990" t="s">
        <v>471</v>
      </c>
      <c r="J482" s="991"/>
      <c r="K482" s="991"/>
      <c r="L482" s="992"/>
      <c r="M482" s="993"/>
      <c r="N482" s="488">
        <v>1243</v>
      </c>
      <c r="O482" s="270">
        <f t="shared" ref="O482:O487" si="1436">+N482*$X$1</f>
        <v>1243</v>
      </c>
      <c r="P482" s="277">
        <v>1238</v>
      </c>
      <c r="Q482" s="270">
        <f t="shared" ref="Q482:Q487" si="1437">+P482*$X$1</f>
        <v>1238</v>
      </c>
      <c r="R482" s="488">
        <v>1143</v>
      </c>
      <c r="S482" s="270">
        <f t="shared" ref="S482:S487" si="1438">+R482*$X$1</f>
        <v>1143</v>
      </c>
      <c r="T482" s="488">
        <v>1039</v>
      </c>
      <c r="U482" s="270">
        <f t="shared" ref="U482:U487" si="1439">+T482*$X$1</f>
        <v>1039</v>
      </c>
      <c r="V482" s="488">
        <v>989</v>
      </c>
      <c r="W482" s="270">
        <f t="shared" ref="W482:W487" si="1440">+V482*$X$1</f>
        <v>989</v>
      </c>
      <c r="X482" s="140"/>
      <c r="Y482" s="140"/>
      <c r="Z482" s="140"/>
      <c r="AA482" s="141"/>
      <c r="AB482" s="389" t="s">
        <v>249</v>
      </c>
    </row>
    <row r="483" spans="1:31" s="64" customFormat="1" ht="12.6" customHeight="1" x14ac:dyDescent="0.25">
      <c r="A483" s="92"/>
      <c r="B483" s="629" t="s">
        <v>325</v>
      </c>
      <c r="C483" s="638"/>
      <c r="D483" s="638"/>
      <c r="E483" s="638"/>
      <c r="F483" s="271">
        <v>635</v>
      </c>
      <c r="G483" s="271">
        <f t="shared" si="1435"/>
        <v>635</v>
      </c>
      <c r="H483" s="267"/>
      <c r="I483" s="994"/>
      <c r="J483" s="995"/>
      <c r="K483" s="995"/>
      <c r="L483" s="996"/>
      <c r="M483" s="997"/>
      <c r="N483" s="427">
        <v>1562</v>
      </c>
      <c r="O483" s="271">
        <f t="shared" si="1436"/>
        <v>1562</v>
      </c>
      <c r="P483" s="276">
        <v>1557</v>
      </c>
      <c r="Q483" s="271">
        <f t="shared" si="1437"/>
        <v>1557</v>
      </c>
      <c r="R483" s="427">
        <v>1471</v>
      </c>
      <c r="S483" s="271">
        <f t="shared" si="1438"/>
        <v>1471</v>
      </c>
      <c r="T483" s="427">
        <v>1416</v>
      </c>
      <c r="U483" s="271">
        <f t="shared" si="1439"/>
        <v>1416</v>
      </c>
      <c r="V483" s="427">
        <v>1347</v>
      </c>
      <c r="W483" s="271">
        <f t="shared" si="1440"/>
        <v>1347</v>
      </c>
      <c r="X483" s="162"/>
      <c r="Y483" s="126"/>
      <c r="Z483" s="126"/>
      <c r="AA483" s="129"/>
      <c r="AB483" s="390"/>
    </row>
    <row r="484" spans="1:31" s="64" customFormat="1" ht="12.6" customHeight="1" x14ac:dyDescent="0.25">
      <c r="A484" s="92"/>
      <c r="B484" s="691" t="s">
        <v>337</v>
      </c>
      <c r="C484" s="692"/>
      <c r="D484" s="692"/>
      <c r="E484" s="692"/>
      <c r="F484" s="270">
        <v>635</v>
      </c>
      <c r="G484" s="270">
        <f t="shared" si="1435"/>
        <v>635</v>
      </c>
      <c r="H484" s="262"/>
      <c r="I484" s="994"/>
      <c r="J484" s="995"/>
      <c r="K484" s="995"/>
      <c r="L484" s="996"/>
      <c r="M484" s="997"/>
      <c r="N484" s="488">
        <v>1243</v>
      </c>
      <c r="O484" s="270">
        <f t="shared" ref="O484:O485" si="1441">+N484*$X$1</f>
        <v>1243</v>
      </c>
      <c r="P484" s="277">
        <v>1238</v>
      </c>
      <c r="Q484" s="270">
        <f t="shared" ref="Q484:Q485" si="1442">+P484*$X$1</f>
        <v>1238</v>
      </c>
      <c r="R484" s="488">
        <v>1143</v>
      </c>
      <c r="S484" s="270">
        <f t="shared" ref="S484:S485" si="1443">+R484*$X$1</f>
        <v>1143</v>
      </c>
      <c r="T484" s="488">
        <v>1039</v>
      </c>
      <c r="U484" s="270">
        <f t="shared" ref="U484:U485" si="1444">+T484*$X$1</f>
        <v>1039</v>
      </c>
      <c r="V484" s="488">
        <v>989</v>
      </c>
      <c r="W484" s="270">
        <f t="shared" ref="W484:W485" si="1445">+V484*$X$1</f>
        <v>989</v>
      </c>
      <c r="X484" s="126"/>
      <c r="Y484" s="126"/>
      <c r="Z484" s="126"/>
      <c r="AA484" s="129"/>
      <c r="AB484" s="389" t="s">
        <v>250</v>
      </c>
    </row>
    <row r="485" spans="1:31" s="64" customFormat="1" ht="12" customHeight="1" x14ac:dyDescent="0.25">
      <c r="A485" s="92"/>
      <c r="B485" s="629" t="s">
        <v>338</v>
      </c>
      <c r="C485" s="638"/>
      <c r="D485" s="638"/>
      <c r="E485" s="638"/>
      <c r="F485" s="271">
        <v>635</v>
      </c>
      <c r="G485" s="271">
        <f t="shared" si="1435"/>
        <v>635</v>
      </c>
      <c r="H485" s="267"/>
      <c r="I485" s="994"/>
      <c r="J485" s="995"/>
      <c r="K485" s="995"/>
      <c r="L485" s="996"/>
      <c r="M485" s="997"/>
      <c r="N485" s="427">
        <v>1562</v>
      </c>
      <c r="O485" s="271">
        <f t="shared" si="1441"/>
        <v>1562</v>
      </c>
      <c r="P485" s="276">
        <v>1557</v>
      </c>
      <c r="Q485" s="271">
        <f t="shared" si="1442"/>
        <v>1557</v>
      </c>
      <c r="R485" s="427">
        <v>1471</v>
      </c>
      <c r="S485" s="271">
        <f t="shared" si="1443"/>
        <v>1471</v>
      </c>
      <c r="T485" s="427">
        <v>1416</v>
      </c>
      <c r="U485" s="271">
        <f t="shared" si="1444"/>
        <v>1416</v>
      </c>
      <c r="V485" s="427">
        <v>1347</v>
      </c>
      <c r="W485" s="271">
        <f t="shared" si="1445"/>
        <v>1347</v>
      </c>
      <c r="X485" s="140"/>
      <c r="Y485" s="140"/>
      <c r="Z485" s="126"/>
      <c r="AA485" s="129"/>
      <c r="AB485" s="390"/>
    </row>
    <row r="486" spans="1:31" s="64" customFormat="1" ht="12.6" customHeight="1" x14ac:dyDescent="0.25">
      <c r="A486" s="92"/>
      <c r="B486" s="691" t="s">
        <v>251</v>
      </c>
      <c r="C486" s="692"/>
      <c r="D486" s="692"/>
      <c r="E486" s="692"/>
      <c r="F486" s="270">
        <v>635</v>
      </c>
      <c r="G486" s="270">
        <f t="shared" si="1435"/>
        <v>635</v>
      </c>
      <c r="H486" s="262"/>
      <c r="I486" s="998"/>
      <c r="J486" s="999"/>
      <c r="K486" s="999"/>
      <c r="L486" s="996"/>
      <c r="M486" s="997"/>
      <c r="N486" s="488">
        <v>1407</v>
      </c>
      <c r="O486" s="270">
        <f t="shared" ref="O486" si="1446">+N486*$X$1</f>
        <v>1407</v>
      </c>
      <c r="P486" s="277">
        <v>1403</v>
      </c>
      <c r="Q486" s="270">
        <f t="shared" ref="Q486" si="1447">+P486*$X$1</f>
        <v>1403</v>
      </c>
      <c r="R486" s="488">
        <v>1254</v>
      </c>
      <c r="S486" s="270">
        <f t="shared" ref="S486" si="1448">+R486*$X$1</f>
        <v>1254</v>
      </c>
      <c r="T486" s="488">
        <v>1159</v>
      </c>
      <c r="U486" s="270">
        <f t="shared" ref="U486" si="1449">+T486*$X$1</f>
        <v>1159</v>
      </c>
      <c r="V486" s="488">
        <v>1095</v>
      </c>
      <c r="W486" s="270">
        <f t="shared" ref="W486" si="1450">+V486*$X$1</f>
        <v>1095</v>
      </c>
      <c r="X486" s="126"/>
      <c r="Y486" s="126"/>
      <c r="Z486" s="126"/>
      <c r="AA486" s="129"/>
      <c r="AB486" s="389" t="s">
        <v>252</v>
      </c>
      <c r="AE486" s="231"/>
    </row>
    <row r="487" spans="1:31" s="64" customFormat="1" ht="12.6" customHeight="1" x14ac:dyDescent="0.25">
      <c r="A487" s="92"/>
      <c r="B487" s="629" t="s">
        <v>253</v>
      </c>
      <c r="C487" s="638"/>
      <c r="D487" s="638"/>
      <c r="E487" s="638"/>
      <c r="F487" s="271">
        <v>635</v>
      </c>
      <c r="G487" s="271">
        <f t="shared" si="1435"/>
        <v>635</v>
      </c>
      <c r="H487" s="267"/>
      <c r="I487" s="1000"/>
      <c r="J487" s="1001"/>
      <c r="K487" s="1001"/>
      <c r="L487" s="1001"/>
      <c r="M487" s="1002"/>
      <c r="N487" s="427">
        <v>1710</v>
      </c>
      <c r="O487" s="271">
        <f t="shared" si="1436"/>
        <v>1710</v>
      </c>
      <c r="P487" s="276">
        <v>1706</v>
      </c>
      <c r="Q487" s="271">
        <f t="shared" si="1437"/>
        <v>1706</v>
      </c>
      <c r="R487" s="427">
        <v>1616</v>
      </c>
      <c r="S487" s="271">
        <f t="shared" si="1438"/>
        <v>1616</v>
      </c>
      <c r="T487" s="427">
        <v>1568</v>
      </c>
      <c r="U487" s="271">
        <f t="shared" si="1439"/>
        <v>1568</v>
      </c>
      <c r="V487" s="427">
        <v>1501</v>
      </c>
      <c r="W487" s="271">
        <f t="shared" si="1440"/>
        <v>1501</v>
      </c>
      <c r="X487" s="126"/>
      <c r="Y487" s="126"/>
      <c r="Z487" s="126"/>
      <c r="AA487" s="129"/>
      <c r="AB487" s="389" t="s">
        <v>254</v>
      </c>
    </row>
    <row r="488" spans="1:31" ht="12.6" customHeight="1" x14ac:dyDescent="0.2">
      <c r="A488" s="18"/>
      <c r="B488" s="633" t="s">
        <v>255</v>
      </c>
      <c r="C488" s="634"/>
      <c r="D488" s="634"/>
      <c r="E488" s="635"/>
      <c r="F488" s="351">
        <f>2.98*X2</f>
        <v>3725</v>
      </c>
      <c r="G488" s="270">
        <f t="shared" ref="G488" si="1451">+F488*$X$1</f>
        <v>3725</v>
      </c>
      <c r="H488" s="569">
        <f t="shared" ref="H488:H489" si="1452">F488+600</f>
        <v>4325</v>
      </c>
      <c r="I488" s="270">
        <f t="shared" ref="I488:I489" si="1453">+H488*$X$1</f>
        <v>4325</v>
      </c>
      <c r="J488" s="569">
        <f t="shared" ref="J488:J489" si="1454">F488+200</f>
        <v>3925</v>
      </c>
      <c r="K488" s="270">
        <f t="shared" ref="K488:K489" si="1455">+J488*$X$1</f>
        <v>3925</v>
      </c>
      <c r="L488" s="569">
        <f>F488+150</f>
        <v>3875</v>
      </c>
      <c r="M488" s="270">
        <f t="shared" ref="M488:M489" si="1456">+L488*$X$1</f>
        <v>3875</v>
      </c>
      <c r="N488" s="569">
        <f>F488+110</f>
        <v>3835</v>
      </c>
      <c r="O488" s="270">
        <f>+N488*$X$1</f>
        <v>3835</v>
      </c>
      <c r="P488" s="569">
        <f>F488+90</f>
        <v>3815</v>
      </c>
      <c r="Q488" s="270">
        <f t="shared" ref="Q488" si="1457">+P488*$X$1</f>
        <v>3815</v>
      </c>
      <c r="R488" s="569">
        <f>F488+70</f>
        <v>3795</v>
      </c>
      <c r="S488" s="270">
        <f>+R488*$X$1</f>
        <v>3795</v>
      </c>
      <c r="T488" s="569">
        <f>F488+56</f>
        <v>3781</v>
      </c>
      <c r="U488" s="270">
        <f t="shared" ref="U488" si="1458">+T488*$X$1</f>
        <v>3781</v>
      </c>
      <c r="V488" s="569">
        <f>F488+49</f>
        <v>3774</v>
      </c>
      <c r="W488" s="270">
        <f t="shared" ref="W488" si="1459">+V488*$X$1</f>
        <v>3774</v>
      </c>
      <c r="X488" s="642"/>
      <c r="Y488" s="642"/>
      <c r="Z488" s="642"/>
      <c r="AA488" s="643"/>
      <c r="AB488" s="184" t="s">
        <v>256</v>
      </c>
    </row>
    <row r="489" spans="1:31" ht="12.6" customHeight="1" x14ac:dyDescent="0.2">
      <c r="A489" s="18"/>
      <c r="B489" s="708" t="s">
        <v>257</v>
      </c>
      <c r="C489" s="709"/>
      <c r="D489" s="709"/>
      <c r="E489" s="710"/>
      <c r="F489" s="352">
        <f>2.26*X2</f>
        <v>2824.9999999999995</v>
      </c>
      <c r="G489" s="271">
        <f>+F489*$X$1</f>
        <v>2824.9999999999995</v>
      </c>
      <c r="H489" s="427">
        <f t="shared" si="1452"/>
        <v>3424.9999999999995</v>
      </c>
      <c r="I489" s="271">
        <f t="shared" si="1453"/>
        <v>3424.9999999999995</v>
      </c>
      <c r="J489" s="427">
        <f t="shared" si="1454"/>
        <v>3024.9999999999995</v>
      </c>
      <c r="K489" s="271">
        <f t="shared" si="1455"/>
        <v>3024.9999999999995</v>
      </c>
      <c r="L489" s="427">
        <f>F489+150</f>
        <v>2974.9999999999995</v>
      </c>
      <c r="M489" s="271">
        <f t="shared" si="1456"/>
        <v>2974.9999999999995</v>
      </c>
      <c r="N489" s="427"/>
      <c r="O489" s="271"/>
      <c r="P489" s="427"/>
      <c r="Q489" s="271"/>
      <c r="R489" s="427"/>
      <c r="S489" s="271"/>
      <c r="T489" s="427"/>
      <c r="U489" s="271"/>
      <c r="V489" s="427"/>
      <c r="W489" s="271"/>
      <c r="X489" s="642"/>
      <c r="Y489" s="642"/>
      <c r="Z489" s="642"/>
      <c r="AA489" s="643"/>
      <c r="AB489" s="184" t="s">
        <v>398</v>
      </c>
    </row>
    <row r="490" spans="1:31" ht="12.6" customHeight="1" x14ac:dyDescent="0.2">
      <c r="A490" s="18"/>
      <c r="B490" s="633" t="s">
        <v>745</v>
      </c>
      <c r="C490" s="634"/>
      <c r="D490" s="634"/>
      <c r="E490" s="635"/>
      <c r="F490" s="309">
        <v>3240</v>
      </c>
      <c r="G490" s="270">
        <f t="shared" ref="G490" si="1460">+F490*$X$1</f>
        <v>3240</v>
      </c>
      <c r="H490" s="569"/>
      <c r="I490" s="270"/>
      <c r="J490" s="569">
        <f t="shared" ref="J490" si="1461">F490+200</f>
        <v>3440</v>
      </c>
      <c r="K490" s="270">
        <f t="shared" ref="K490" si="1462">+J490*$X$1</f>
        <v>3440</v>
      </c>
      <c r="L490" s="569">
        <f>F490+150</f>
        <v>3390</v>
      </c>
      <c r="M490" s="270">
        <f t="shared" ref="M490" si="1463">+L490*$X$1</f>
        <v>3390</v>
      </c>
      <c r="N490" s="569">
        <f>F490+110</f>
        <v>3350</v>
      </c>
      <c r="O490" s="270">
        <f t="shared" ref="O490:O499" si="1464">+N490*$X$1</f>
        <v>3350</v>
      </c>
      <c r="P490" s="569">
        <f>F490+90</f>
        <v>3330</v>
      </c>
      <c r="Q490" s="270">
        <f t="shared" ref="Q490" si="1465">+P490*$X$1</f>
        <v>3330</v>
      </c>
      <c r="R490" s="569">
        <f>F490+70</f>
        <v>3310</v>
      </c>
      <c r="S490" s="270">
        <f t="shared" ref="S490:S499" si="1466">+R490*$X$1</f>
        <v>3310</v>
      </c>
      <c r="T490" s="569">
        <f>F490+56</f>
        <v>3296</v>
      </c>
      <c r="U490" s="270">
        <f t="shared" ref="U490" si="1467">+T490*$X$1</f>
        <v>3296</v>
      </c>
      <c r="V490" s="569">
        <f>F490+49</f>
        <v>3289</v>
      </c>
      <c r="W490" s="270">
        <f t="shared" ref="W490" si="1468">+V490*$X$1</f>
        <v>3289</v>
      </c>
      <c r="X490" s="642"/>
      <c r="Y490" s="642"/>
      <c r="Z490" s="642"/>
      <c r="AA490" s="643"/>
      <c r="AB490" s="184" t="s">
        <v>744</v>
      </c>
    </row>
    <row r="491" spans="1:31" ht="12.6" customHeight="1" x14ac:dyDescent="0.2">
      <c r="A491" s="18"/>
      <c r="B491" s="708" t="s">
        <v>363</v>
      </c>
      <c r="C491" s="709"/>
      <c r="D491" s="709"/>
      <c r="E491" s="710"/>
      <c r="F491" s="352">
        <f>1.2*X2</f>
        <v>1500</v>
      </c>
      <c r="G491" s="271">
        <f t="shared" ref="G491:G492" si="1469">+F491*$X$1</f>
        <v>1500</v>
      </c>
      <c r="H491" s="427">
        <f t="shared" ref="H491:H492" si="1470">F491+600</f>
        <v>2100</v>
      </c>
      <c r="I491" s="271">
        <f t="shared" ref="I491:I492" si="1471">+H491*$X$1</f>
        <v>2100</v>
      </c>
      <c r="J491" s="427">
        <f t="shared" ref="J491:J492" si="1472">F491+200</f>
        <v>1700</v>
      </c>
      <c r="K491" s="271">
        <f t="shared" ref="K491:K492" si="1473">+J491*$X$1</f>
        <v>1700</v>
      </c>
      <c r="L491" s="427">
        <f>F491+150</f>
        <v>1650</v>
      </c>
      <c r="M491" s="271">
        <f t="shared" ref="M491:M492" si="1474">+L491*$X$1</f>
        <v>1650</v>
      </c>
      <c r="N491" s="427">
        <f>F491+110</f>
        <v>1610</v>
      </c>
      <c r="O491" s="271">
        <f t="shared" si="1464"/>
        <v>1610</v>
      </c>
      <c r="P491" s="427">
        <f>F491+90</f>
        <v>1590</v>
      </c>
      <c r="Q491" s="271">
        <f t="shared" ref="Q491:Q492" si="1475">+P491*$X$1</f>
        <v>1590</v>
      </c>
      <c r="R491" s="427">
        <f>F491+70</f>
        <v>1570</v>
      </c>
      <c r="S491" s="271">
        <f t="shared" si="1466"/>
        <v>1570</v>
      </c>
      <c r="T491" s="427">
        <f>F491+56</f>
        <v>1556</v>
      </c>
      <c r="U491" s="271">
        <f t="shared" ref="U491:U492" si="1476">+T491*$X$1</f>
        <v>1556</v>
      </c>
      <c r="V491" s="427">
        <f>F491+49</f>
        <v>1549</v>
      </c>
      <c r="W491" s="271">
        <f t="shared" ref="W491:W492" si="1477">+V491*$X$1</f>
        <v>1549</v>
      </c>
      <c r="X491" s="642"/>
      <c r="Y491" s="707"/>
      <c r="Z491" s="707"/>
      <c r="AA491" s="643"/>
      <c r="AB491" s="184" t="s">
        <v>399</v>
      </c>
    </row>
    <row r="492" spans="1:31" ht="12.6" customHeight="1" x14ac:dyDescent="0.2">
      <c r="A492" s="18"/>
      <c r="B492" s="633" t="s">
        <v>849</v>
      </c>
      <c r="C492" s="634"/>
      <c r="D492" s="634"/>
      <c r="E492" s="635"/>
      <c r="F492" s="351">
        <f>3.99*X2</f>
        <v>4987.5</v>
      </c>
      <c r="G492" s="270">
        <f t="shared" si="1469"/>
        <v>4987.5</v>
      </c>
      <c r="H492" s="569">
        <f t="shared" si="1470"/>
        <v>5587.5</v>
      </c>
      <c r="I492" s="270">
        <f t="shared" si="1471"/>
        <v>5587.5</v>
      </c>
      <c r="J492" s="569">
        <f t="shared" si="1472"/>
        <v>5187.5</v>
      </c>
      <c r="K492" s="270">
        <f t="shared" si="1473"/>
        <v>5187.5</v>
      </c>
      <c r="L492" s="569">
        <f>F492+150</f>
        <v>5137.5</v>
      </c>
      <c r="M492" s="270">
        <f t="shared" si="1474"/>
        <v>5137.5</v>
      </c>
      <c r="N492" s="569">
        <f>F492+110</f>
        <v>5097.5</v>
      </c>
      <c r="O492" s="270">
        <f t="shared" si="1464"/>
        <v>5097.5</v>
      </c>
      <c r="P492" s="569">
        <f>F492+90</f>
        <v>5077.5</v>
      </c>
      <c r="Q492" s="270">
        <f t="shared" si="1475"/>
        <v>5077.5</v>
      </c>
      <c r="R492" s="569">
        <f>F492+70</f>
        <v>5057.5</v>
      </c>
      <c r="S492" s="270">
        <f t="shared" si="1466"/>
        <v>5057.5</v>
      </c>
      <c r="T492" s="569">
        <f>F492+56</f>
        <v>5043.5</v>
      </c>
      <c r="U492" s="270">
        <f t="shared" si="1476"/>
        <v>5043.5</v>
      </c>
      <c r="V492" s="569">
        <f>F492+49</f>
        <v>5036.5</v>
      </c>
      <c r="W492" s="270">
        <f t="shared" si="1477"/>
        <v>5036.5</v>
      </c>
      <c r="X492" s="642"/>
      <c r="Y492" s="642"/>
      <c r="Z492" s="642"/>
      <c r="AA492" s="643"/>
      <c r="AB492" s="184" t="s">
        <v>772</v>
      </c>
    </row>
    <row r="493" spans="1:31" ht="12.6" customHeight="1" x14ac:dyDescent="0.2">
      <c r="A493" s="18"/>
      <c r="B493" s="663" t="s">
        <v>258</v>
      </c>
      <c r="C493" s="664"/>
      <c r="D493" s="664"/>
      <c r="E493" s="664"/>
      <c r="F493" s="298">
        <v>3820</v>
      </c>
      <c r="G493" s="271">
        <f t="shared" ref="G493:G496" si="1478">+F493*$X$1</f>
        <v>3820</v>
      </c>
      <c r="H493" s="264"/>
      <c r="I493" s="321"/>
      <c r="J493" s="427">
        <f>F493+66</f>
        <v>3886</v>
      </c>
      <c r="K493" s="271"/>
      <c r="L493" s="427">
        <f t="shared" ref="L493:L499" si="1479">F493+400</f>
        <v>4220</v>
      </c>
      <c r="M493" s="271">
        <f t="shared" ref="M493:M514" si="1480">+L493*$X$1</f>
        <v>4220</v>
      </c>
      <c r="N493" s="427">
        <f t="shared" ref="N493:N499" si="1481">F493+350</f>
        <v>4170</v>
      </c>
      <c r="O493" s="271">
        <f t="shared" si="1464"/>
        <v>4170</v>
      </c>
      <c r="P493" s="427">
        <f t="shared" ref="P493:P499" si="1482">F493+310</f>
        <v>4130</v>
      </c>
      <c r="Q493" s="271">
        <f t="shared" ref="Q493:Q499" si="1483">+P493*$X$1</f>
        <v>4130</v>
      </c>
      <c r="R493" s="427">
        <f t="shared" ref="R493:R499" si="1484">F493+280</f>
        <v>4100</v>
      </c>
      <c r="S493" s="271">
        <f t="shared" si="1466"/>
        <v>4100</v>
      </c>
      <c r="T493" s="427">
        <f t="shared" ref="T493:T499" si="1485">F493+240</f>
        <v>4060</v>
      </c>
      <c r="U493" s="271">
        <f t="shared" ref="U493:U499" si="1486">+T493*$X$1</f>
        <v>4060</v>
      </c>
      <c r="V493" s="427">
        <f t="shared" ref="V493:V499" si="1487">F493+220</f>
        <v>4040</v>
      </c>
      <c r="W493" s="271">
        <f t="shared" ref="W493:W499" si="1488">+V493*$X$1</f>
        <v>4040</v>
      </c>
      <c r="X493" s="137"/>
      <c r="Y493" s="123"/>
      <c r="Z493" s="123"/>
      <c r="AA493" s="123"/>
      <c r="AB493" s="184" t="s">
        <v>259</v>
      </c>
    </row>
    <row r="494" spans="1:31" ht="12.6" customHeight="1" x14ac:dyDescent="0.2">
      <c r="A494" s="18"/>
      <c r="B494" s="691" t="s">
        <v>260</v>
      </c>
      <c r="C494" s="692"/>
      <c r="D494" s="692"/>
      <c r="E494" s="692"/>
      <c r="F494" s="270">
        <v>5325</v>
      </c>
      <c r="G494" s="270">
        <f t="shared" si="1478"/>
        <v>5325</v>
      </c>
      <c r="H494" s="265"/>
      <c r="I494" s="320"/>
      <c r="J494" s="569">
        <f>F494+66</f>
        <v>5391</v>
      </c>
      <c r="K494" s="270"/>
      <c r="L494" s="569">
        <f t="shared" si="1479"/>
        <v>5725</v>
      </c>
      <c r="M494" s="270">
        <f t="shared" si="1480"/>
        <v>5725</v>
      </c>
      <c r="N494" s="569">
        <f t="shared" si="1481"/>
        <v>5675</v>
      </c>
      <c r="O494" s="270">
        <f t="shared" si="1464"/>
        <v>5675</v>
      </c>
      <c r="P494" s="569">
        <f t="shared" si="1482"/>
        <v>5635</v>
      </c>
      <c r="Q494" s="270">
        <f t="shared" si="1483"/>
        <v>5635</v>
      </c>
      <c r="R494" s="569">
        <f t="shared" si="1484"/>
        <v>5605</v>
      </c>
      <c r="S494" s="270">
        <f t="shared" si="1466"/>
        <v>5605</v>
      </c>
      <c r="T494" s="569">
        <f t="shared" si="1485"/>
        <v>5565</v>
      </c>
      <c r="U494" s="270">
        <f t="shared" si="1486"/>
        <v>5565</v>
      </c>
      <c r="V494" s="569">
        <f t="shared" si="1487"/>
        <v>5545</v>
      </c>
      <c r="W494" s="270">
        <f t="shared" si="1488"/>
        <v>5545</v>
      </c>
      <c r="X494" s="137"/>
      <c r="Y494" s="123"/>
      <c r="Z494" s="123"/>
      <c r="AA494" s="123"/>
      <c r="AB494" s="388"/>
    </row>
    <row r="495" spans="1:31" ht="12.6" customHeight="1" x14ac:dyDescent="0.2">
      <c r="A495" s="18"/>
      <c r="B495" s="629" t="s">
        <v>261</v>
      </c>
      <c r="C495" s="638"/>
      <c r="D495" s="638"/>
      <c r="E495" s="638"/>
      <c r="F495" s="271">
        <v>4154</v>
      </c>
      <c r="G495" s="271">
        <f t="shared" si="1478"/>
        <v>4154</v>
      </c>
      <c r="H495" s="264"/>
      <c r="I495" s="321"/>
      <c r="J495" s="427">
        <f>F495+80</f>
        <v>4234</v>
      </c>
      <c r="K495" s="271"/>
      <c r="L495" s="427">
        <f t="shared" si="1479"/>
        <v>4554</v>
      </c>
      <c r="M495" s="271">
        <f t="shared" si="1480"/>
        <v>4554</v>
      </c>
      <c r="N495" s="427">
        <f t="shared" si="1481"/>
        <v>4504</v>
      </c>
      <c r="O495" s="271">
        <f t="shared" si="1464"/>
        <v>4504</v>
      </c>
      <c r="P495" s="427">
        <f t="shared" si="1482"/>
        <v>4464</v>
      </c>
      <c r="Q495" s="271">
        <f t="shared" si="1483"/>
        <v>4464</v>
      </c>
      <c r="R495" s="427">
        <f t="shared" si="1484"/>
        <v>4434</v>
      </c>
      <c r="S495" s="271">
        <f t="shared" si="1466"/>
        <v>4434</v>
      </c>
      <c r="T495" s="427">
        <f t="shared" si="1485"/>
        <v>4394</v>
      </c>
      <c r="U495" s="271">
        <f t="shared" si="1486"/>
        <v>4394</v>
      </c>
      <c r="V495" s="427">
        <f t="shared" si="1487"/>
        <v>4374</v>
      </c>
      <c r="W495" s="271">
        <f t="shared" si="1488"/>
        <v>4374</v>
      </c>
      <c r="X495" s="137"/>
      <c r="Y495" s="123"/>
      <c r="Z495" s="123"/>
      <c r="AA495" s="123"/>
      <c r="AB495" s="184" t="s">
        <v>262</v>
      </c>
    </row>
    <row r="496" spans="1:31" ht="12.6" customHeight="1" x14ac:dyDescent="0.2">
      <c r="A496" s="18"/>
      <c r="B496" s="691" t="s">
        <v>263</v>
      </c>
      <c r="C496" s="692"/>
      <c r="D496" s="692"/>
      <c r="E496" s="692"/>
      <c r="F496" s="270">
        <v>5860</v>
      </c>
      <c r="G496" s="270">
        <f t="shared" si="1478"/>
        <v>5860</v>
      </c>
      <c r="H496" s="265"/>
      <c r="I496" s="320"/>
      <c r="J496" s="569">
        <f>F496+80</f>
        <v>5940</v>
      </c>
      <c r="K496" s="270"/>
      <c r="L496" s="569">
        <f t="shared" si="1479"/>
        <v>6260</v>
      </c>
      <c r="M496" s="270">
        <f t="shared" si="1480"/>
        <v>6260</v>
      </c>
      <c r="N496" s="569">
        <f t="shared" si="1481"/>
        <v>6210</v>
      </c>
      <c r="O496" s="270">
        <f t="shared" si="1464"/>
        <v>6210</v>
      </c>
      <c r="P496" s="569">
        <f t="shared" si="1482"/>
        <v>6170</v>
      </c>
      <c r="Q496" s="270">
        <f t="shared" si="1483"/>
        <v>6170</v>
      </c>
      <c r="R496" s="569">
        <f t="shared" si="1484"/>
        <v>6140</v>
      </c>
      <c r="S496" s="270">
        <f t="shared" si="1466"/>
        <v>6140</v>
      </c>
      <c r="T496" s="569">
        <f t="shared" si="1485"/>
        <v>6100</v>
      </c>
      <c r="U496" s="270">
        <f t="shared" si="1486"/>
        <v>6100</v>
      </c>
      <c r="V496" s="569">
        <f t="shared" si="1487"/>
        <v>6080</v>
      </c>
      <c r="W496" s="270">
        <f t="shared" si="1488"/>
        <v>6080</v>
      </c>
      <c r="X496" s="137"/>
      <c r="Y496" s="123"/>
      <c r="Z496" s="123"/>
      <c r="AA496" s="123"/>
      <c r="AB496" s="388"/>
    </row>
    <row r="497" spans="1:28" ht="12.6" customHeight="1" x14ac:dyDescent="0.2">
      <c r="A497" s="18"/>
      <c r="B497" s="631" t="s">
        <v>855</v>
      </c>
      <c r="C497" s="632"/>
      <c r="D497" s="632"/>
      <c r="E497" s="632"/>
      <c r="F497" s="271">
        <v>10590</v>
      </c>
      <c r="G497" s="271">
        <f t="shared" ref="G497" si="1489">+F497*$X$1</f>
        <v>10590</v>
      </c>
      <c r="H497" s="264"/>
      <c r="I497" s="321"/>
      <c r="J497" s="427">
        <f>F497+430</f>
        <v>11020</v>
      </c>
      <c r="K497" s="271">
        <f t="shared" ref="K497" si="1490">+J497*$X$1</f>
        <v>11020</v>
      </c>
      <c r="L497" s="427">
        <f t="shared" si="1479"/>
        <v>10990</v>
      </c>
      <c r="M497" s="271">
        <f t="shared" si="1480"/>
        <v>10990</v>
      </c>
      <c r="N497" s="427">
        <f t="shared" si="1481"/>
        <v>10940</v>
      </c>
      <c r="O497" s="271">
        <f t="shared" si="1464"/>
        <v>10940</v>
      </c>
      <c r="P497" s="427">
        <f t="shared" si="1482"/>
        <v>10900</v>
      </c>
      <c r="Q497" s="271">
        <f t="shared" si="1483"/>
        <v>10900</v>
      </c>
      <c r="R497" s="427">
        <f t="shared" si="1484"/>
        <v>10870</v>
      </c>
      <c r="S497" s="271">
        <f t="shared" si="1466"/>
        <v>10870</v>
      </c>
      <c r="T497" s="427">
        <f t="shared" si="1485"/>
        <v>10830</v>
      </c>
      <c r="U497" s="271">
        <f t="shared" si="1486"/>
        <v>10830</v>
      </c>
      <c r="V497" s="427">
        <f t="shared" si="1487"/>
        <v>10810</v>
      </c>
      <c r="W497" s="271">
        <f t="shared" si="1488"/>
        <v>10810</v>
      </c>
      <c r="X497" s="137"/>
      <c r="Y497" s="123"/>
      <c r="Z497" s="123"/>
      <c r="AA497" s="123"/>
      <c r="AB497" s="184" t="s">
        <v>856</v>
      </c>
    </row>
    <row r="498" spans="1:28" ht="12.6" customHeight="1" x14ac:dyDescent="0.2">
      <c r="A498" s="18"/>
      <c r="B498" s="691" t="s">
        <v>602</v>
      </c>
      <c r="C498" s="692"/>
      <c r="D498" s="692"/>
      <c r="E498" s="692"/>
      <c r="F498" s="270">
        <v>5430</v>
      </c>
      <c r="G498" s="270">
        <f>+F498*$X$1</f>
        <v>5430</v>
      </c>
      <c r="H498" s="265"/>
      <c r="I498" s="320"/>
      <c r="J498" s="569">
        <f>F498+66</f>
        <v>5496</v>
      </c>
      <c r="K498" s="270"/>
      <c r="L498" s="569">
        <f t="shared" si="1479"/>
        <v>5830</v>
      </c>
      <c r="M498" s="270">
        <f t="shared" si="1480"/>
        <v>5830</v>
      </c>
      <c r="N498" s="569">
        <f t="shared" si="1481"/>
        <v>5780</v>
      </c>
      <c r="O498" s="270">
        <f t="shared" si="1464"/>
        <v>5780</v>
      </c>
      <c r="P498" s="569">
        <f t="shared" si="1482"/>
        <v>5740</v>
      </c>
      <c r="Q498" s="270">
        <f t="shared" si="1483"/>
        <v>5740</v>
      </c>
      <c r="R498" s="569">
        <f t="shared" si="1484"/>
        <v>5710</v>
      </c>
      <c r="S498" s="270">
        <f t="shared" si="1466"/>
        <v>5710</v>
      </c>
      <c r="T498" s="569">
        <f t="shared" si="1485"/>
        <v>5670</v>
      </c>
      <c r="U498" s="270">
        <f t="shared" si="1486"/>
        <v>5670</v>
      </c>
      <c r="V498" s="569">
        <f t="shared" si="1487"/>
        <v>5650</v>
      </c>
      <c r="W498" s="270">
        <f t="shared" si="1488"/>
        <v>5650</v>
      </c>
      <c r="X498" s="137"/>
      <c r="Y498" s="123"/>
      <c r="Z498" s="123"/>
      <c r="AA498" s="123"/>
      <c r="AB498" s="184" t="s">
        <v>264</v>
      </c>
    </row>
    <row r="499" spans="1:28" ht="12.6" customHeight="1" x14ac:dyDescent="0.2">
      <c r="A499" s="18"/>
      <c r="B499" s="629" t="s">
        <v>603</v>
      </c>
      <c r="C499" s="638"/>
      <c r="D499" s="638"/>
      <c r="E499" s="638"/>
      <c r="F499" s="271">
        <v>5990</v>
      </c>
      <c r="G499" s="271">
        <f>+F499*$X$1</f>
        <v>5990</v>
      </c>
      <c r="H499" s="264"/>
      <c r="I499" s="321"/>
      <c r="J499" s="427">
        <f>F499+80</f>
        <v>6070</v>
      </c>
      <c r="K499" s="271"/>
      <c r="L499" s="427">
        <f t="shared" si="1479"/>
        <v>6390</v>
      </c>
      <c r="M499" s="271">
        <f t="shared" si="1480"/>
        <v>6390</v>
      </c>
      <c r="N499" s="427">
        <f t="shared" si="1481"/>
        <v>6340</v>
      </c>
      <c r="O499" s="271">
        <f t="shared" si="1464"/>
        <v>6340</v>
      </c>
      <c r="P499" s="427">
        <f t="shared" si="1482"/>
        <v>6300</v>
      </c>
      <c r="Q499" s="271">
        <f t="shared" si="1483"/>
        <v>6300</v>
      </c>
      <c r="R499" s="427">
        <f t="shared" si="1484"/>
        <v>6270</v>
      </c>
      <c r="S499" s="271">
        <f t="shared" si="1466"/>
        <v>6270</v>
      </c>
      <c r="T499" s="427">
        <f t="shared" si="1485"/>
        <v>6230</v>
      </c>
      <c r="U499" s="271">
        <f t="shared" si="1486"/>
        <v>6230</v>
      </c>
      <c r="V499" s="427">
        <f t="shared" si="1487"/>
        <v>6210</v>
      </c>
      <c r="W499" s="271">
        <f t="shared" si="1488"/>
        <v>6210</v>
      </c>
      <c r="X499" s="137"/>
      <c r="Y499" s="123"/>
      <c r="Z499" s="123"/>
      <c r="AA499" s="123"/>
      <c r="AB499" s="184" t="s">
        <v>265</v>
      </c>
    </row>
    <row r="500" spans="1:28" ht="12.6" customHeight="1" x14ac:dyDescent="0.25">
      <c r="A500" s="18"/>
      <c r="B500" s="691" t="s">
        <v>312</v>
      </c>
      <c r="C500" s="692"/>
      <c r="D500" s="692"/>
      <c r="E500" s="692"/>
      <c r="F500" s="270">
        <v>7290</v>
      </c>
      <c r="G500" s="270">
        <f>+F500*$X$1</f>
        <v>7290</v>
      </c>
      <c r="H500" s="569">
        <f t="shared" ref="H500:H505" si="1491">F500+600</f>
        <v>7890</v>
      </c>
      <c r="I500" s="270">
        <f t="shared" ref="I500:I506" si="1492">+H500*$X$1</f>
        <v>7890</v>
      </c>
      <c r="J500" s="569">
        <f t="shared" ref="J500:J505" si="1493">F500+410</f>
        <v>7700</v>
      </c>
      <c r="K500" s="270">
        <f t="shared" ref="K500" si="1494">+J500*$X$1</f>
        <v>7700</v>
      </c>
      <c r="L500" s="569">
        <f t="shared" ref="L500:L505" si="1495">F500+360</f>
        <v>7650</v>
      </c>
      <c r="M500" s="270">
        <f t="shared" si="1480"/>
        <v>7650</v>
      </c>
      <c r="N500" s="569">
        <f t="shared" ref="N500:N505" si="1496">F500+320</f>
        <v>7610</v>
      </c>
      <c r="O500" s="270">
        <f t="shared" ref="O500" si="1497">+N500*$X$1</f>
        <v>7610</v>
      </c>
      <c r="P500" s="569">
        <f t="shared" ref="P500:P505" si="1498">F500+290</f>
        <v>7580</v>
      </c>
      <c r="Q500" s="270">
        <f t="shared" ref="Q500" si="1499">+P500*$X$1</f>
        <v>7580</v>
      </c>
      <c r="R500" s="569">
        <f t="shared" ref="R500:R505" si="1500">F500+270</f>
        <v>7560</v>
      </c>
      <c r="S500" s="270">
        <f t="shared" ref="S500" si="1501">+R500*$X$1</f>
        <v>7560</v>
      </c>
      <c r="T500" s="569">
        <f t="shared" ref="T500:T505" si="1502">F500+230</f>
        <v>7520</v>
      </c>
      <c r="U500" s="270">
        <f t="shared" ref="U500" si="1503">+T500*$X$1</f>
        <v>7520</v>
      </c>
      <c r="V500" s="569">
        <f t="shared" ref="V500:V505" si="1504">F500+210</f>
        <v>7500</v>
      </c>
      <c r="W500" s="270">
        <f t="shared" ref="W500" si="1505">+V500*$X$1</f>
        <v>7500</v>
      </c>
      <c r="X500" s="799"/>
      <c r="Y500" s="983"/>
      <c r="Z500" s="983"/>
      <c r="AA500" s="983"/>
      <c r="AB500" s="184" t="s">
        <v>266</v>
      </c>
    </row>
    <row r="501" spans="1:28" ht="12.6" customHeight="1" x14ac:dyDescent="0.25">
      <c r="A501" s="18"/>
      <c r="B501" s="982" t="s">
        <v>479</v>
      </c>
      <c r="C501" s="709"/>
      <c r="D501" s="709"/>
      <c r="E501" s="710"/>
      <c r="F501" s="271">
        <v>3510</v>
      </c>
      <c r="G501" s="271">
        <f t="shared" ref="G501" si="1506">+F501*$X$1</f>
        <v>3510</v>
      </c>
      <c r="H501" s="427">
        <f t="shared" si="1491"/>
        <v>4110</v>
      </c>
      <c r="I501" s="271">
        <f t="shared" ref="I501:I505" si="1507">+H501*$X$1</f>
        <v>4110</v>
      </c>
      <c r="J501" s="427">
        <f t="shared" si="1493"/>
        <v>3920</v>
      </c>
      <c r="K501" s="271">
        <f t="shared" ref="K501:K512" si="1508">+J501*$X$1</f>
        <v>3920</v>
      </c>
      <c r="L501" s="427">
        <f t="shared" si="1495"/>
        <v>3870</v>
      </c>
      <c r="M501" s="271">
        <f t="shared" si="1480"/>
        <v>3870</v>
      </c>
      <c r="N501" s="427">
        <f t="shared" si="1496"/>
        <v>3830</v>
      </c>
      <c r="O501" s="271">
        <f t="shared" ref="O501:O505" si="1509">+N501*$X$1</f>
        <v>3830</v>
      </c>
      <c r="P501" s="427">
        <f t="shared" si="1498"/>
        <v>3800</v>
      </c>
      <c r="Q501" s="271">
        <f t="shared" ref="Q501:Q505" si="1510">+P501*$X$1</f>
        <v>3800</v>
      </c>
      <c r="R501" s="427">
        <f t="shared" si="1500"/>
        <v>3780</v>
      </c>
      <c r="S501" s="271">
        <f t="shared" ref="S501:S505" si="1511">+R501*$X$1</f>
        <v>3780</v>
      </c>
      <c r="T501" s="427">
        <f t="shared" si="1502"/>
        <v>3740</v>
      </c>
      <c r="U501" s="271">
        <f t="shared" ref="U501:U505" si="1512">+T501*$X$1</f>
        <v>3740</v>
      </c>
      <c r="V501" s="427">
        <f t="shared" si="1504"/>
        <v>3720</v>
      </c>
      <c r="W501" s="271">
        <f t="shared" ref="W501:W505" si="1513">+V501*$X$1</f>
        <v>3720</v>
      </c>
      <c r="X501" s="799"/>
      <c r="Y501" s="983"/>
      <c r="Z501" s="983"/>
      <c r="AA501" s="983"/>
      <c r="AB501" s="184" t="s">
        <v>413</v>
      </c>
    </row>
    <row r="502" spans="1:28" ht="12.6" customHeight="1" x14ac:dyDescent="0.2">
      <c r="A502" s="18"/>
      <c r="B502" s="691" t="s">
        <v>360</v>
      </c>
      <c r="C502" s="692"/>
      <c r="D502" s="692"/>
      <c r="E502" s="692"/>
      <c r="F502" s="270">
        <v>3980</v>
      </c>
      <c r="G502" s="270">
        <f>+F502*$X$1</f>
        <v>3980</v>
      </c>
      <c r="H502" s="569">
        <f t="shared" si="1491"/>
        <v>4580</v>
      </c>
      <c r="I502" s="270">
        <f t="shared" si="1507"/>
        <v>4580</v>
      </c>
      <c r="J502" s="569">
        <f t="shared" si="1493"/>
        <v>4390</v>
      </c>
      <c r="K502" s="270">
        <f t="shared" si="1508"/>
        <v>4390</v>
      </c>
      <c r="L502" s="569">
        <f t="shared" si="1495"/>
        <v>4340</v>
      </c>
      <c r="M502" s="270">
        <f t="shared" si="1480"/>
        <v>4340</v>
      </c>
      <c r="N502" s="569">
        <f t="shared" si="1496"/>
        <v>4300</v>
      </c>
      <c r="O502" s="270">
        <f t="shared" si="1509"/>
        <v>4300</v>
      </c>
      <c r="P502" s="569">
        <f t="shared" si="1498"/>
        <v>4270</v>
      </c>
      <c r="Q502" s="270">
        <f t="shared" si="1510"/>
        <v>4270</v>
      </c>
      <c r="R502" s="569">
        <f t="shared" si="1500"/>
        <v>4250</v>
      </c>
      <c r="S502" s="270">
        <f t="shared" si="1511"/>
        <v>4250</v>
      </c>
      <c r="T502" s="569">
        <f t="shared" si="1502"/>
        <v>4210</v>
      </c>
      <c r="U502" s="270">
        <f t="shared" si="1512"/>
        <v>4210</v>
      </c>
      <c r="V502" s="569">
        <f t="shared" si="1504"/>
        <v>4190</v>
      </c>
      <c r="W502" s="270">
        <f t="shared" si="1513"/>
        <v>4190</v>
      </c>
      <c r="X502" s="743"/>
      <c r="Y502" s="744"/>
      <c r="Z502" s="744"/>
      <c r="AA502" s="745"/>
      <c r="AB502" s="184" t="s">
        <v>267</v>
      </c>
    </row>
    <row r="503" spans="1:28" ht="12.6" customHeight="1" x14ac:dyDescent="0.25">
      <c r="A503" s="18"/>
      <c r="B503" s="949" t="s">
        <v>790</v>
      </c>
      <c r="C503" s="1159"/>
      <c r="D503" s="1159"/>
      <c r="E503" s="1159"/>
      <c r="F503" s="271">
        <v>3980</v>
      </c>
      <c r="G503" s="271">
        <f t="shared" ref="G503:G505" si="1514">+F503*$X$1</f>
        <v>3980</v>
      </c>
      <c r="H503" s="427">
        <f t="shared" si="1491"/>
        <v>4580</v>
      </c>
      <c r="I503" s="271">
        <f t="shared" si="1507"/>
        <v>4580</v>
      </c>
      <c r="J503" s="427">
        <f t="shared" si="1493"/>
        <v>4390</v>
      </c>
      <c r="K503" s="271">
        <f t="shared" si="1508"/>
        <v>4390</v>
      </c>
      <c r="L503" s="427">
        <f t="shared" si="1495"/>
        <v>4340</v>
      </c>
      <c r="M503" s="271">
        <f t="shared" si="1480"/>
        <v>4340</v>
      </c>
      <c r="N503" s="427">
        <f t="shared" si="1496"/>
        <v>4300</v>
      </c>
      <c r="O503" s="271">
        <f t="shared" si="1509"/>
        <v>4300</v>
      </c>
      <c r="P503" s="427">
        <f t="shared" si="1498"/>
        <v>4270</v>
      </c>
      <c r="Q503" s="271">
        <f t="shared" si="1510"/>
        <v>4270</v>
      </c>
      <c r="R503" s="427">
        <f t="shared" si="1500"/>
        <v>4250</v>
      </c>
      <c r="S503" s="271">
        <f t="shared" si="1511"/>
        <v>4250</v>
      </c>
      <c r="T503" s="427">
        <f t="shared" si="1502"/>
        <v>4210</v>
      </c>
      <c r="U503" s="271">
        <f t="shared" si="1512"/>
        <v>4210</v>
      </c>
      <c r="V503" s="427">
        <f t="shared" si="1504"/>
        <v>4190</v>
      </c>
      <c r="W503" s="271">
        <f t="shared" si="1513"/>
        <v>4190</v>
      </c>
      <c r="X503" s="799"/>
      <c r="Y503" s="983"/>
      <c r="Z503" s="983"/>
      <c r="AA503" s="983"/>
      <c r="AB503" s="184" t="s">
        <v>268</v>
      </c>
    </row>
    <row r="504" spans="1:28" ht="12.6" customHeight="1" x14ac:dyDescent="0.25">
      <c r="A504" s="18"/>
      <c r="B504" s="987" t="s">
        <v>510</v>
      </c>
      <c r="C504" s="634"/>
      <c r="D504" s="634"/>
      <c r="E504" s="635"/>
      <c r="F504" s="272">
        <v>3510</v>
      </c>
      <c r="G504" s="270">
        <f>+F504*$X$1</f>
        <v>3510</v>
      </c>
      <c r="H504" s="569">
        <f t="shared" si="1491"/>
        <v>4110</v>
      </c>
      <c r="I504" s="270">
        <f t="shared" si="1507"/>
        <v>4110</v>
      </c>
      <c r="J504" s="569">
        <f t="shared" si="1493"/>
        <v>3920</v>
      </c>
      <c r="K504" s="270">
        <f t="shared" si="1508"/>
        <v>3920</v>
      </c>
      <c r="L504" s="569">
        <f t="shared" si="1495"/>
        <v>3870</v>
      </c>
      <c r="M504" s="270">
        <f t="shared" si="1480"/>
        <v>3870</v>
      </c>
      <c r="N504" s="569">
        <f t="shared" si="1496"/>
        <v>3830</v>
      </c>
      <c r="O504" s="270">
        <f t="shared" si="1509"/>
        <v>3830</v>
      </c>
      <c r="P504" s="569">
        <f t="shared" si="1498"/>
        <v>3800</v>
      </c>
      <c r="Q504" s="270">
        <f t="shared" si="1510"/>
        <v>3800</v>
      </c>
      <c r="R504" s="569">
        <f t="shared" si="1500"/>
        <v>3780</v>
      </c>
      <c r="S504" s="270">
        <f t="shared" si="1511"/>
        <v>3780</v>
      </c>
      <c r="T504" s="569">
        <f t="shared" si="1502"/>
        <v>3740</v>
      </c>
      <c r="U504" s="270">
        <f t="shared" si="1512"/>
        <v>3740</v>
      </c>
      <c r="V504" s="569">
        <f t="shared" si="1504"/>
        <v>3720</v>
      </c>
      <c r="W504" s="270">
        <f t="shared" si="1513"/>
        <v>3720</v>
      </c>
      <c r="X504" s="799"/>
      <c r="Y504" s="983"/>
      <c r="Z504" s="983"/>
      <c r="AA504" s="983"/>
      <c r="AB504" s="29"/>
    </row>
    <row r="505" spans="1:28" ht="12.6" customHeight="1" x14ac:dyDescent="0.25">
      <c r="A505" s="18"/>
      <c r="B505" s="629" t="s">
        <v>311</v>
      </c>
      <c r="C505" s="638"/>
      <c r="D505" s="638"/>
      <c r="E505" s="638"/>
      <c r="F505" s="271">
        <v>6390</v>
      </c>
      <c r="G505" s="271">
        <f t="shared" si="1514"/>
        <v>6390</v>
      </c>
      <c r="H505" s="427">
        <f t="shared" si="1491"/>
        <v>6990</v>
      </c>
      <c r="I505" s="271">
        <f t="shared" si="1507"/>
        <v>6990</v>
      </c>
      <c r="J505" s="427">
        <f t="shared" si="1493"/>
        <v>6800</v>
      </c>
      <c r="K505" s="271">
        <f t="shared" si="1508"/>
        <v>6800</v>
      </c>
      <c r="L505" s="427">
        <f t="shared" si="1495"/>
        <v>6750</v>
      </c>
      <c r="M505" s="271">
        <f t="shared" si="1480"/>
        <v>6750</v>
      </c>
      <c r="N505" s="427">
        <f t="shared" si="1496"/>
        <v>6710</v>
      </c>
      <c r="O505" s="271">
        <f t="shared" si="1509"/>
        <v>6710</v>
      </c>
      <c r="P505" s="427">
        <f t="shared" si="1498"/>
        <v>6680</v>
      </c>
      <c r="Q505" s="271">
        <f t="shared" si="1510"/>
        <v>6680</v>
      </c>
      <c r="R505" s="427">
        <f t="shared" si="1500"/>
        <v>6660</v>
      </c>
      <c r="S505" s="271">
        <f t="shared" si="1511"/>
        <v>6660</v>
      </c>
      <c r="T505" s="427">
        <f t="shared" si="1502"/>
        <v>6620</v>
      </c>
      <c r="U505" s="271">
        <f t="shared" si="1512"/>
        <v>6620</v>
      </c>
      <c r="V505" s="427">
        <f t="shared" si="1504"/>
        <v>6600</v>
      </c>
      <c r="W505" s="271">
        <f t="shared" si="1513"/>
        <v>6600</v>
      </c>
      <c r="X505" s="799"/>
      <c r="Y505" s="983"/>
      <c r="Z505" s="983"/>
      <c r="AA505" s="983"/>
      <c r="AB505" s="184" t="s">
        <v>269</v>
      </c>
    </row>
    <row r="506" spans="1:28" ht="12.6" customHeight="1" x14ac:dyDescent="0.2">
      <c r="A506" s="18"/>
      <c r="B506" s="691" t="s">
        <v>726</v>
      </c>
      <c r="C506" s="1158"/>
      <c r="D506" s="1158"/>
      <c r="E506" s="1158"/>
      <c r="F506" s="270">
        <v>12023</v>
      </c>
      <c r="G506" s="270">
        <f>+F506*$X$1</f>
        <v>12023</v>
      </c>
      <c r="H506" s="569">
        <f>F506+700</f>
        <v>12723</v>
      </c>
      <c r="I506" s="270">
        <f t="shared" si="1492"/>
        <v>12723</v>
      </c>
      <c r="J506" s="569">
        <f t="shared" ref="J506:J512" si="1515">F506+430</f>
        <v>12453</v>
      </c>
      <c r="K506" s="270">
        <f t="shared" si="1508"/>
        <v>12453</v>
      </c>
      <c r="L506" s="569">
        <f t="shared" ref="L506:L512" si="1516">F506+400</f>
        <v>12423</v>
      </c>
      <c r="M506" s="270">
        <f t="shared" si="1480"/>
        <v>12423</v>
      </c>
      <c r="N506" s="569">
        <f t="shared" ref="N506:N512" si="1517">F506+350</f>
        <v>12373</v>
      </c>
      <c r="O506" s="270">
        <f t="shared" ref="O506:O512" si="1518">+N506*$X$1</f>
        <v>12373</v>
      </c>
      <c r="P506" s="569">
        <f t="shared" ref="P506:P512" si="1519">F506+310</f>
        <v>12333</v>
      </c>
      <c r="Q506" s="270">
        <f t="shared" ref="Q506:Q512" si="1520">+P506*$X$1</f>
        <v>12333</v>
      </c>
      <c r="R506" s="569">
        <f t="shared" ref="R506:R512" si="1521">F506+280</f>
        <v>12303</v>
      </c>
      <c r="S506" s="270">
        <f t="shared" ref="S506:S512" si="1522">+R506*$X$1</f>
        <v>12303</v>
      </c>
      <c r="T506" s="569">
        <f t="shared" ref="T506:T512" si="1523">F506+240</f>
        <v>12263</v>
      </c>
      <c r="U506" s="270">
        <f t="shared" ref="U506:U512" si="1524">+T506*$X$1</f>
        <v>12263</v>
      </c>
      <c r="V506" s="569">
        <f t="shared" ref="V506:V512" si="1525">F506+220</f>
        <v>12243</v>
      </c>
      <c r="W506" s="270">
        <f t="shared" ref="W506:W512" si="1526">+V506*$X$1</f>
        <v>12243</v>
      </c>
      <c r="X506" s="138"/>
      <c r="Y506" s="126"/>
      <c r="Z506" s="126"/>
      <c r="AA506" s="129"/>
      <c r="AB506" s="184" t="s">
        <v>270</v>
      </c>
    </row>
    <row r="507" spans="1:28" ht="12.6" customHeight="1" x14ac:dyDescent="0.2">
      <c r="A507" s="18"/>
      <c r="B507" s="629" t="s">
        <v>727</v>
      </c>
      <c r="C507" s="719"/>
      <c r="D507" s="719"/>
      <c r="E507" s="719"/>
      <c r="F507" s="271">
        <v>12076</v>
      </c>
      <c r="G507" s="271">
        <f t="shared" ref="G507" si="1527">+F507*$X$1</f>
        <v>12076</v>
      </c>
      <c r="H507" s="427">
        <f>F507+700</f>
        <v>12776</v>
      </c>
      <c r="I507" s="271">
        <f>+H507*$X$1</f>
        <v>12776</v>
      </c>
      <c r="J507" s="427">
        <f t="shared" si="1515"/>
        <v>12506</v>
      </c>
      <c r="K507" s="271">
        <f t="shared" si="1508"/>
        <v>12506</v>
      </c>
      <c r="L507" s="427">
        <f t="shared" si="1516"/>
        <v>12476</v>
      </c>
      <c r="M507" s="271">
        <f t="shared" si="1480"/>
        <v>12476</v>
      </c>
      <c r="N507" s="427">
        <f t="shared" si="1517"/>
        <v>12426</v>
      </c>
      <c r="O507" s="271">
        <f t="shared" si="1518"/>
        <v>12426</v>
      </c>
      <c r="P507" s="427">
        <f t="shared" si="1519"/>
        <v>12386</v>
      </c>
      <c r="Q507" s="271">
        <f t="shared" si="1520"/>
        <v>12386</v>
      </c>
      <c r="R507" s="427">
        <f t="shared" si="1521"/>
        <v>12356</v>
      </c>
      <c r="S507" s="271">
        <f t="shared" si="1522"/>
        <v>12356</v>
      </c>
      <c r="T507" s="427">
        <f t="shared" si="1523"/>
        <v>12316</v>
      </c>
      <c r="U507" s="271">
        <f t="shared" si="1524"/>
        <v>12316</v>
      </c>
      <c r="V507" s="427">
        <f t="shared" si="1525"/>
        <v>12296</v>
      </c>
      <c r="W507" s="271">
        <f t="shared" si="1526"/>
        <v>12296</v>
      </c>
      <c r="X507" s="138"/>
      <c r="Y507" s="126"/>
      <c r="Z507" s="126"/>
      <c r="AA507" s="129"/>
      <c r="AB507" s="184" t="s">
        <v>271</v>
      </c>
    </row>
    <row r="508" spans="1:28" ht="12.6" customHeight="1" x14ac:dyDescent="0.2">
      <c r="A508" s="18"/>
      <c r="B508" s="631" t="s">
        <v>875</v>
      </c>
      <c r="C508" s="720"/>
      <c r="D508" s="720"/>
      <c r="E508" s="720"/>
      <c r="F508" s="351">
        <f>9.22*X2</f>
        <v>11525</v>
      </c>
      <c r="G508" s="270">
        <f t="shared" ref="G508" si="1528">+F508*$X$1</f>
        <v>11525</v>
      </c>
      <c r="H508" s="569">
        <f>F508+700</f>
        <v>12225</v>
      </c>
      <c r="I508" s="270">
        <f>+H508*$X$1</f>
        <v>12225</v>
      </c>
      <c r="J508" s="569">
        <f t="shared" si="1515"/>
        <v>11955</v>
      </c>
      <c r="K508" s="270">
        <f t="shared" si="1508"/>
        <v>11955</v>
      </c>
      <c r="L508" s="569">
        <f t="shared" si="1516"/>
        <v>11925</v>
      </c>
      <c r="M508" s="270">
        <f t="shared" si="1480"/>
        <v>11925</v>
      </c>
      <c r="N508" s="569">
        <f t="shared" si="1517"/>
        <v>11875</v>
      </c>
      <c r="O508" s="270">
        <f t="shared" si="1518"/>
        <v>11875</v>
      </c>
      <c r="P508" s="569">
        <f t="shared" si="1519"/>
        <v>11835</v>
      </c>
      <c r="Q508" s="270">
        <f t="shared" si="1520"/>
        <v>11835</v>
      </c>
      <c r="R508" s="569">
        <f t="shared" si="1521"/>
        <v>11805</v>
      </c>
      <c r="S508" s="270">
        <f t="shared" si="1522"/>
        <v>11805</v>
      </c>
      <c r="T508" s="569">
        <f t="shared" si="1523"/>
        <v>11765</v>
      </c>
      <c r="U508" s="270">
        <f t="shared" si="1524"/>
        <v>11765</v>
      </c>
      <c r="V508" s="569">
        <f t="shared" si="1525"/>
        <v>11745</v>
      </c>
      <c r="W508" s="270">
        <f t="shared" si="1526"/>
        <v>11745</v>
      </c>
      <c r="X508" s="138"/>
      <c r="Y508" s="126"/>
      <c r="Z508" s="126"/>
      <c r="AA508" s="129"/>
      <c r="AB508" s="184" t="s">
        <v>876</v>
      </c>
    </row>
    <row r="509" spans="1:28" ht="12.6" customHeight="1" x14ac:dyDescent="0.2">
      <c r="A509" s="18"/>
      <c r="B509" s="631" t="s">
        <v>877</v>
      </c>
      <c r="C509" s="720"/>
      <c r="D509" s="720"/>
      <c r="E509" s="720"/>
      <c r="F509" s="352">
        <f>9.4*X2</f>
        <v>11750</v>
      </c>
      <c r="G509" s="271">
        <f t="shared" ref="G509" si="1529">+F509*$X$1</f>
        <v>11750</v>
      </c>
      <c r="H509" s="427">
        <f>F509+700</f>
        <v>12450</v>
      </c>
      <c r="I509" s="271">
        <f t="shared" ref="I509" si="1530">+H509*$X$1</f>
        <v>12450</v>
      </c>
      <c r="J509" s="427">
        <f t="shared" si="1515"/>
        <v>12180</v>
      </c>
      <c r="K509" s="271">
        <f t="shared" si="1508"/>
        <v>12180</v>
      </c>
      <c r="L509" s="427">
        <f t="shared" si="1516"/>
        <v>12150</v>
      </c>
      <c r="M509" s="271">
        <f t="shared" si="1480"/>
        <v>12150</v>
      </c>
      <c r="N509" s="427">
        <f t="shared" si="1517"/>
        <v>12100</v>
      </c>
      <c r="O509" s="271">
        <f t="shared" si="1518"/>
        <v>12100</v>
      </c>
      <c r="P509" s="427">
        <f t="shared" si="1519"/>
        <v>12060</v>
      </c>
      <c r="Q509" s="271">
        <f t="shared" si="1520"/>
        <v>12060</v>
      </c>
      <c r="R509" s="427">
        <f t="shared" si="1521"/>
        <v>12030</v>
      </c>
      <c r="S509" s="271">
        <f t="shared" si="1522"/>
        <v>12030</v>
      </c>
      <c r="T509" s="427">
        <f t="shared" si="1523"/>
        <v>11990</v>
      </c>
      <c r="U509" s="271">
        <f t="shared" si="1524"/>
        <v>11990</v>
      </c>
      <c r="V509" s="427">
        <f t="shared" si="1525"/>
        <v>11970</v>
      </c>
      <c r="W509" s="271">
        <f t="shared" si="1526"/>
        <v>11970</v>
      </c>
      <c r="X509" s="138"/>
      <c r="Y509" s="126"/>
      <c r="Z509" s="126"/>
      <c r="AA509" s="129"/>
      <c r="AB509" s="184" t="s">
        <v>878</v>
      </c>
    </row>
    <row r="510" spans="1:28" ht="12.6" customHeight="1" x14ac:dyDescent="0.2">
      <c r="A510" s="18"/>
      <c r="B510" s="691" t="s">
        <v>272</v>
      </c>
      <c r="C510" s="692"/>
      <c r="D510" s="692"/>
      <c r="E510" s="692"/>
      <c r="F510" s="270">
        <v>8316</v>
      </c>
      <c r="G510" s="270">
        <f>+F510*$X$1</f>
        <v>8316</v>
      </c>
      <c r="H510" s="569"/>
      <c r="I510" s="270"/>
      <c r="J510" s="569">
        <f t="shared" si="1515"/>
        <v>8746</v>
      </c>
      <c r="K510" s="270">
        <f t="shared" si="1508"/>
        <v>8746</v>
      </c>
      <c r="L510" s="569">
        <f t="shared" si="1516"/>
        <v>8716</v>
      </c>
      <c r="M510" s="270">
        <f t="shared" si="1480"/>
        <v>8716</v>
      </c>
      <c r="N510" s="569">
        <f t="shared" si="1517"/>
        <v>8666</v>
      </c>
      <c r="O510" s="270">
        <f t="shared" si="1518"/>
        <v>8666</v>
      </c>
      <c r="P510" s="569">
        <f t="shared" si="1519"/>
        <v>8626</v>
      </c>
      <c r="Q510" s="270">
        <f t="shared" si="1520"/>
        <v>8626</v>
      </c>
      <c r="R510" s="569">
        <f t="shared" si="1521"/>
        <v>8596</v>
      </c>
      <c r="S510" s="270">
        <f t="shared" si="1522"/>
        <v>8596</v>
      </c>
      <c r="T510" s="569">
        <f t="shared" si="1523"/>
        <v>8556</v>
      </c>
      <c r="U510" s="270">
        <f t="shared" si="1524"/>
        <v>8556</v>
      </c>
      <c r="V510" s="569">
        <f t="shared" si="1525"/>
        <v>8536</v>
      </c>
      <c r="W510" s="270">
        <f t="shared" si="1526"/>
        <v>8536</v>
      </c>
      <c r="X510" s="138"/>
      <c r="Y510" s="126"/>
      <c r="Z510" s="126"/>
      <c r="AA510" s="129"/>
      <c r="AB510" s="184" t="s">
        <v>273</v>
      </c>
    </row>
    <row r="511" spans="1:28" ht="12.6" customHeight="1" x14ac:dyDescent="0.2">
      <c r="A511" s="18"/>
      <c r="B511" s="629" t="s">
        <v>274</v>
      </c>
      <c r="C511" s="638"/>
      <c r="D511" s="638"/>
      <c r="E511" s="638"/>
      <c r="F511" s="271">
        <v>9240</v>
      </c>
      <c r="G511" s="271">
        <f>+F511*$X$1</f>
        <v>9240</v>
      </c>
      <c r="H511" s="427"/>
      <c r="I511" s="271"/>
      <c r="J511" s="427">
        <f t="shared" si="1515"/>
        <v>9670</v>
      </c>
      <c r="K511" s="271">
        <f t="shared" si="1508"/>
        <v>9670</v>
      </c>
      <c r="L511" s="427">
        <f t="shared" si="1516"/>
        <v>9640</v>
      </c>
      <c r="M511" s="271">
        <f t="shared" si="1480"/>
        <v>9640</v>
      </c>
      <c r="N511" s="427">
        <f t="shared" si="1517"/>
        <v>9590</v>
      </c>
      <c r="O511" s="271">
        <f t="shared" si="1518"/>
        <v>9590</v>
      </c>
      <c r="P511" s="427">
        <f t="shared" si="1519"/>
        <v>9550</v>
      </c>
      <c r="Q511" s="271">
        <f t="shared" si="1520"/>
        <v>9550</v>
      </c>
      <c r="R511" s="427">
        <f t="shared" si="1521"/>
        <v>9520</v>
      </c>
      <c r="S511" s="271">
        <f t="shared" si="1522"/>
        <v>9520</v>
      </c>
      <c r="T511" s="427">
        <f t="shared" si="1523"/>
        <v>9480</v>
      </c>
      <c r="U511" s="271">
        <f t="shared" si="1524"/>
        <v>9480</v>
      </c>
      <c r="V511" s="427">
        <f t="shared" si="1525"/>
        <v>9460</v>
      </c>
      <c r="W511" s="271">
        <f t="shared" si="1526"/>
        <v>9460</v>
      </c>
      <c r="X511" s="138"/>
      <c r="Y511" s="126"/>
      <c r="Z511" s="126"/>
      <c r="AA511" s="129"/>
      <c r="AB511" s="184" t="s">
        <v>275</v>
      </c>
    </row>
    <row r="512" spans="1:28" ht="12.6" customHeight="1" x14ac:dyDescent="0.2">
      <c r="A512" s="18"/>
      <c r="B512" s="631" t="s">
        <v>880</v>
      </c>
      <c r="C512" s="720"/>
      <c r="D512" s="720"/>
      <c r="E512" s="720"/>
      <c r="F512" s="270">
        <v>10500</v>
      </c>
      <c r="G512" s="270">
        <f t="shared" ref="G512:G514" si="1531">+F512*$X$1</f>
        <v>10500</v>
      </c>
      <c r="H512" s="569"/>
      <c r="I512" s="270"/>
      <c r="J512" s="569">
        <f t="shared" si="1515"/>
        <v>10930</v>
      </c>
      <c r="K512" s="270">
        <f t="shared" si="1508"/>
        <v>10930</v>
      </c>
      <c r="L512" s="569">
        <f t="shared" si="1516"/>
        <v>10900</v>
      </c>
      <c r="M512" s="270">
        <f t="shared" si="1480"/>
        <v>10900</v>
      </c>
      <c r="N512" s="569">
        <f t="shared" si="1517"/>
        <v>10850</v>
      </c>
      <c r="O512" s="270">
        <f t="shared" si="1518"/>
        <v>10850</v>
      </c>
      <c r="P512" s="569">
        <f t="shared" si="1519"/>
        <v>10810</v>
      </c>
      <c r="Q512" s="270">
        <f t="shared" si="1520"/>
        <v>10810</v>
      </c>
      <c r="R512" s="569">
        <f t="shared" si="1521"/>
        <v>10780</v>
      </c>
      <c r="S512" s="270">
        <f t="shared" si="1522"/>
        <v>10780</v>
      </c>
      <c r="T512" s="569">
        <f t="shared" si="1523"/>
        <v>10740</v>
      </c>
      <c r="U512" s="270">
        <f t="shared" si="1524"/>
        <v>10740</v>
      </c>
      <c r="V512" s="569">
        <f t="shared" si="1525"/>
        <v>10720</v>
      </c>
      <c r="W512" s="270">
        <f t="shared" si="1526"/>
        <v>10720</v>
      </c>
      <c r="X512" s="138"/>
      <c r="Y512" s="126"/>
      <c r="Z512" s="126"/>
      <c r="AA512" s="129"/>
      <c r="AB512" s="184" t="s">
        <v>879</v>
      </c>
    </row>
    <row r="513" spans="1:34" ht="12.6" customHeight="1" x14ac:dyDescent="0.2">
      <c r="A513" s="18"/>
      <c r="B513" s="631" t="s">
        <v>952</v>
      </c>
      <c r="C513" s="632"/>
      <c r="D513" s="632"/>
      <c r="E513" s="632"/>
      <c r="F513" s="352">
        <f>4.65*X2</f>
        <v>5812.5</v>
      </c>
      <c r="G513" s="271">
        <f t="shared" si="1531"/>
        <v>5812.5</v>
      </c>
      <c r="H513" s="427">
        <f t="shared" ref="H513:H518" si="1532">F513+600</f>
        <v>6412.5</v>
      </c>
      <c r="I513" s="271">
        <f t="shared" ref="I513:I514" si="1533">+H513*$X$1</f>
        <v>6412.5</v>
      </c>
      <c r="J513" s="427">
        <f>F513+410</f>
        <v>6222.5</v>
      </c>
      <c r="K513" s="271">
        <f t="shared" ref="K513:K514" si="1534">+J513*$X$1</f>
        <v>6222.5</v>
      </c>
      <c r="L513" s="427">
        <f>F513+360</f>
        <v>6172.5</v>
      </c>
      <c r="M513" s="271">
        <f t="shared" si="1480"/>
        <v>6172.5</v>
      </c>
      <c r="N513" s="427">
        <f>F513+320</f>
        <v>6132.5</v>
      </c>
      <c r="O513" s="271">
        <f t="shared" ref="O513:O514" si="1535">+N513*$X$1</f>
        <v>6132.5</v>
      </c>
      <c r="P513" s="427">
        <f>F513+290</f>
        <v>6102.5</v>
      </c>
      <c r="Q513" s="271">
        <f t="shared" ref="Q513:Q514" si="1536">+P513*$X$1</f>
        <v>6102.5</v>
      </c>
      <c r="R513" s="427">
        <f>F513+270</f>
        <v>6082.5</v>
      </c>
      <c r="S513" s="271">
        <f t="shared" ref="S513:S514" si="1537">+R513*$X$1</f>
        <v>6082.5</v>
      </c>
      <c r="T513" s="427">
        <f>F513+230</f>
        <v>6042.5</v>
      </c>
      <c r="U513" s="271">
        <f t="shared" ref="U513:U514" si="1538">+T513*$X$1</f>
        <v>6042.5</v>
      </c>
      <c r="V513" s="427">
        <f>F513+210</f>
        <v>6022.5</v>
      </c>
      <c r="W513" s="271">
        <f t="shared" ref="W513:W514" si="1539">+V513*$X$1</f>
        <v>6022.5</v>
      </c>
      <c r="X513" s="743"/>
      <c r="Y513" s="744"/>
      <c r="Z513" s="744"/>
      <c r="AA513" s="745"/>
      <c r="AB513" s="184" t="s">
        <v>921</v>
      </c>
    </row>
    <row r="514" spans="1:34" ht="12.6" customHeight="1" x14ac:dyDescent="0.2">
      <c r="A514" s="18"/>
      <c r="B514" s="631" t="s">
        <v>922</v>
      </c>
      <c r="C514" s="632"/>
      <c r="D514" s="632"/>
      <c r="E514" s="632"/>
      <c r="F514" s="351">
        <f>3.61*X2</f>
        <v>4512.5</v>
      </c>
      <c r="G514" s="270">
        <f t="shared" si="1531"/>
        <v>4512.5</v>
      </c>
      <c r="H514" s="569">
        <f t="shared" si="1532"/>
        <v>5112.5</v>
      </c>
      <c r="I514" s="270">
        <f t="shared" si="1533"/>
        <v>5112.5</v>
      </c>
      <c r="J514" s="569">
        <f>F514+410</f>
        <v>4922.5</v>
      </c>
      <c r="K514" s="270">
        <f t="shared" si="1534"/>
        <v>4922.5</v>
      </c>
      <c r="L514" s="569">
        <f>F514+360</f>
        <v>4872.5</v>
      </c>
      <c r="M514" s="270">
        <f t="shared" si="1480"/>
        <v>4872.5</v>
      </c>
      <c r="N514" s="569">
        <f>F514+320</f>
        <v>4832.5</v>
      </c>
      <c r="O514" s="270">
        <f t="shared" si="1535"/>
        <v>4832.5</v>
      </c>
      <c r="P514" s="569">
        <f>F514+290</f>
        <v>4802.5</v>
      </c>
      <c r="Q514" s="270">
        <f t="shared" si="1536"/>
        <v>4802.5</v>
      </c>
      <c r="R514" s="569">
        <f>F514+270</f>
        <v>4782.5</v>
      </c>
      <c r="S514" s="270">
        <f t="shared" si="1537"/>
        <v>4782.5</v>
      </c>
      <c r="T514" s="569">
        <f>F514+230</f>
        <v>4742.5</v>
      </c>
      <c r="U514" s="270">
        <f t="shared" si="1538"/>
        <v>4742.5</v>
      </c>
      <c r="V514" s="569">
        <f>F514+210</f>
        <v>4722.5</v>
      </c>
      <c r="W514" s="270">
        <f t="shared" si="1539"/>
        <v>4722.5</v>
      </c>
      <c r="X514" s="743"/>
      <c r="Y514" s="744"/>
      <c r="Z514" s="744"/>
      <c r="AA514" s="745"/>
      <c r="AB514" s="184" t="s">
        <v>923</v>
      </c>
    </row>
    <row r="515" spans="1:34" ht="12.6" customHeight="1" x14ac:dyDescent="0.2">
      <c r="A515" s="18"/>
      <c r="B515" s="629" t="s">
        <v>539</v>
      </c>
      <c r="C515" s="638"/>
      <c r="D515" s="638"/>
      <c r="E515" s="638"/>
      <c r="F515" s="352">
        <f>3.82*X2</f>
        <v>4775</v>
      </c>
      <c r="G515" s="271">
        <f t="shared" ref="G515" si="1540">+F515*$X$1</f>
        <v>4775</v>
      </c>
      <c r="H515" s="427">
        <f t="shared" si="1532"/>
        <v>5375</v>
      </c>
      <c r="I515" s="271">
        <f t="shared" ref="I515:I518" si="1541">+H515*$X$1</f>
        <v>5375</v>
      </c>
      <c r="J515" s="427">
        <f>F515+350</f>
        <v>5125</v>
      </c>
      <c r="K515" s="271">
        <f t="shared" ref="K515:K518" si="1542">+J515*$X$1</f>
        <v>5125</v>
      </c>
      <c r="L515" s="427">
        <f>F515+300</f>
        <v>5075</v>
      </c>
      <c r="M515" s="271">
        <f t="shared" ref="M515" si="1543">+L515*$X$1</f>
        <v>5075</v>
      </c>
      <c r="N515" s="427">
        <f>F515+270</f>
        <v>5045</v>
      </c>
      <c r="O515" s="271">
        <f>+N515*$X$1</f>
        <v>5045</v>
      </c>
      <c r="P515" s="427">
        <f>F515+240</f>
        <v>5015</v>
      </c>
      <c r="Q515" s="271">
        <f t="shared" ref="Q515:Q518" si="1544">+P515*$X$1</f>
        <v>5015</v>
      </c>
      <c r="R515" s="427">
        <f>F515+220</f>
        <v>4995</v>
      </c>
      <c r="S515" s="271">
        <f t="shared" ref="S515:S518" si="1545">+R515*$X$1</f>
        <v>4995</v>
      </c>
      <c r="T515" s="427">
        <f>F515+190</f>
        <v>4965</v>
      </c>
      <c r="U515" s="271">
        <f t="shared" ref="U515:U518" si="1546">+T515*$X$1</f>
        <v>4965</v>
      </c>
      <c r="V515" s="427">
        <f>F515+150</f>
        <v>4925</v>
      </c>
      <c r="W515" s="271">
        <f t="shared" ref="W515:W518" si="1547">+V515*$X$1</f>
        <v>4925</v>
      </c>
      <c r="X515" s="743"/>
      <c r="Y515" s="744"/>
      <c r="Z515" s="744"/>
      <c r="AA515" s="745"/>
      <c r="AB515" s="184" t="s">
        <v>276</v>
      </c>
    </row>
    <row r="516" spans="1:34" ht="12.6" customHeight="1" x14ac:dyDescent="0.2">
      <c r="A516" s="18"/>
      <c r="B516" s="691" t="s">
        <v>609</v>
      </c>
      <c r="C516" s="692"/>
      <c r="D516" s="692"/>
      <c r="E516" s="692"/>
      <c r="F516" s="351">
        <f>3.82*X2</f>
        <v>4775</v>
      </c>
      <c r="G516" s="270">
        <f t="shared" ref="G516" si="1548">+F516*$X$1</f>
        <v>4775</v>
      </c>
      <c r="H516" s="569">
        <f t="shared" si="1532"/>
        <v>5375</v>
      </c>
      <c r="I516" s="270">
        <f t="shared" si="1541"/>
        <v>5375</v>
      </c>
      <c r="J516" s="569">
        <f>F516+410</f>
        <v>5185</v>
      </c>
      <c r="K516" s="270">
        <f t="shared" si="1542"/>
        <v>5185</v>
      </c>
      <c r="L516" s="569">
        <f>F516+360</f>
        <v>5135</v>
      </c>
      <c r="M516" s="270">
        <f>+L516*$X$1</f>
        <v>5135</v>
      </c>
      <c r="N516" s="569">
        <f>F516+320</f>
        <v>5095</v>
      </c>
      <c r="O516" s="270">
        <f t="shared" ref="O516:O518" si="1549">+N516*$X$1</f>
        <v>5095</v>
      </c>
      <c r="P516" s="569">
        <f>F516+290</f>
        <v>5065</v>
      </c>
      <c r="Q516" s="270">
        <f t="shared" si="1544"/>
        <v>5065</v>
      </c>
      <c r="R516" s="569">
        <f>F516+270</f>
        <v>5045</v>
      </c>
      <c r="S516" s="270">
        <f t="shared" si="1545"/>
        <v>5045</v>
      </c>
      <c r="T516" s="569">
        <f>F516+230</f>
        <v>5005</v>
      </c>
      <c r="U516" s="270">
        <f t="shared" si="1546"/>
        <v>5005</v>
      </c>
      <c r="V516" s="569">
        <f>F516+210</f>
        <v>4985</v>
      </c>
      <c r="W516" s="270">
        <f t="shared" si="1547"/>
        <v>4985</v>
      </c>
      <c r="X516" s="743"/>
      <c r="Y516" s="744"/>
      <c r="Z516" s="744"/>
      <c r="AA516" s="745"/>
      <c r="AB516" s="184" t="s">
        <v>610</v>
      </c>
    </row>
    <row r="517" spans="1:34" ht="12.6" customHeight="1" x14ac:dyDescent="0.2">
      <c r="A517" s="18"/>
      <c r="B517" s="629" t="s">
        <v>373</v>
      </c>
      <c r="C517" s="701"/>
      <c r="D517" s="701"/>
      <c r="E517" s="701"/>
      <c r="F517" s="352">
        <f>3.116*X2</f>
        <v>3895</v>
      </c>
      <c r="G517" s="271">
        <f t="shared" ref="G517" si="1550">+F517*$X$1</f>
        <v>3895</v>
      </c>
      <c r="H517" s="427">
        <f t="shared" si="1532"/>
        <v>4495</v>
      </c>
      <c r="I517" s="271">
        <f t="shared" si="1541"/>
        <v>4495</v>
      </c>
      <c r="J517" s="427">
        <f>F517+410</f>
        <v>4305</v>
      </c>
      <c r="K517" s="271">
        <f t="shared" si="1542"/>
        <v>4305</v>
      </c>
      <c r="L517" s="427">
        <f>F517+360</f>
        <v>4255</v>
      </c>
      <c r="M517" s="271">
        <f>+L517*$X$1</f>
        <v>4255</v>
      </c>
      <c r="N517" s="427">
        <f>F517+320</f>
        <v>4215</v>
      </c>
      <c r="O517" s="271">
        <f t="shared" si="1549"/>
        <v>4215</v>
      </c>
      <c r="P517" s="427">
        <f>F517+290</f>
        <v>4185</v>
      </c>
      <c r="Q517" s="271">
        <f t="shared" si="1544"/>
        <v>4185</v>
      </c>
      <c r="R517" s="427">
        <f>F517+270</f>
        <v>4165</v>
      </c>
      <c r="S517" s="271">
        <f t="shared" si="1545"/>
        <v>4165</v>
      </c>
      <c r="T517" s="427">
        <f>F517+230</f>
        <v>4125</v>
      </c>
      <c r="U517" s="271">
        <f t="shared" si="1546"/>
        <v>4125</v>
      </c>
      <c r="V517" s="427">
        <f>F517+210</f>
        <v>4105</v>
      </c>
      <c r="W517" s="271">
        <f t="shared" si="1547"/>
        <v>4105</v>
      </c>
      <c r="X517" s="743"/>
      <c r="Y517" s="744"/>
      <c r="Z517" s="744"/>
      <c r="AA517" s="745"/>
      <c r="AB517" s="184" t="s">
        <v>438</v>
      </c>
    </row>
    <row r="518" spans="1:34" ht="12.6" customHeight="1" x14ac:dyDescent="0.2">
      <c r="A518" s="18"/>
      <c r="B518" s="691" t="s">
        <v>655</v>
      </c>
      <c r="C518" s="951"/>
      <c r="D518" s="951"/>
      <c r="E518" s="951"/>
      <c r="F518" s="351">
        <f>5*X2</f>
        <v>6250</v>
      </c>
      <c r="G518" s="270">
        <f t="shared" ref="G518" si="1551">+F518*$X$1</f>
        <v>6250</v>
      </c>
      <c r="H518" s="569">
        <f t="shared" si="1532"/>
        <v>6850</v>
      </c>
      <c r="I518" s="270">
        <f t="shared" si="1541"/>
        <v>6850</v>
      </c>
      <c r="J518" s="569">
        <f>F518+410</f>
        <v>6660</v>
      </c>
      <c r="K518" s="270">
        <f t="shared" si="1542"/>
        <v>6660</v>
      </c>
      <c r="L518" s="569">
        <f>F518+360</f>
        <v>6610</v>
      </c>
      <c r="M518" s="270">
        <f>+L518*$X$1</f>
        <v>6610</v>
      </c>
      <c r="N518" s="569">
        <f>F518+320</f>
        <v>6570</v>
      </c>
      <c r="O518" s="270">
        <f t="shared" si="1549"/>
        <v>6570</v>
      </c>
      <c r="P518" s="569">
        <f>F518+290</f>
        <v>6540</v>
      </c>
      <c r="Q518" s="270">
        <f t="shared" si="1544"/>
        <v>6540</v>
      </c>
      <c r="R518" s="569">
        <f>F518+270</f>
        <v>6520</v>
      </c>
      <c r="S518" s="270">
        <f t="shared" si="1545"/>
        <v>6520</v>
      </c>
      <c r="T518" s="569">
        <f>F518+230</f>
        <v>6480</v>
      </c>
      <c r="U518" s="270">
        <f t="shared" si="1546"/>
        <v>6480</v>
      </c>
      <c r="V518" s="569">
        <f>F518+210</f>
        <v>6460</v>
      </c>
      <c r="W518" s="270">
        <f t="shared" si="1547"/>
        <v>6460</v>
      </c>
      <c r="X518" s="743"/>
      <c r="Y518" s="744"/>
      <c r="Z518" s="744"/>
      <c r="AA518" s="745"/>
      <c r="AB518" s="184" t="s">
        <v>656</v>
      </c>
    </row>
    <row r="519" spans="1:34" ht="8.25" customHeight="1" x14ac:dyDescent="0.2">
      <c r="A519" s="98"/>
      <c r="B519" s="220"/>
      <c r="C519" s="61"/>
      <c r="D519" s="61"/>
      <c r="E519" s="61"/>
      <c r="F519" s="121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221"/>
      <c r="Y519" s="222"/>
      <c r="Z519" s="222"/>
      <c r="AA519" s="221"/>
      <c r="AB519" s="38"/>
      <c r="AC519" s="64"/>
    </row>
    <row r="520" spans="1:34" ht="13.5" customHeight="1" x14ac:dyDescent="0.2">
      <c r="B520" s="1008" t="s">
        <v>469</v>
      </c>
      <c r="C520" s="1009"/>
      <c r="D520" s="1009"/>
      <c r="E520" s="1009"/>
      <c r="F520" s="1009"/>
      <c r="G520" s="1009"/>
      <c r="H520" s="1009"/>
      <c r="I520" s="1009"/>
      <c r="J520" s="1009"/>
      <c r="K520" s="1009"/>
      <c r="L520" s="1009"/>
      <c r="M520" s="1009"/>
      <c r="N520" s="1009"/>
      <c r="O520" s="1009"/>
      <c r="P520" s="1009"/>
      <c r="Q520" s="1009"/>
      <c r="R520" s="1009"/>
      <c r="S520" s="1009"/>
      <c r="T520" s="1009"/>
      <c r="U520" s="1009"/>
      <c r="V520" s="1009"/>
      <c r="W520" s="1009"/>
      <c r="AB520" s="4"/>
      <c r="AF520" s="675"/>
      <c r="AG520" s="676"/>
      <c r="AH520" s="676"/>
    </row>
    <row r="521" spans="1:34" ht="10.5" customHeight="1" x14ac:dyDescent="0.2">
      <c r="B521" s="1091" t="s">
        <v>11</v>
      </c>
      <c r="C521" s="1091" t="s">
        <v>12</v>
      </c>
      <c r="D521" s="1092"/>
      <c r="E521" s="1092"/>
      <c r="F521" s="763" t="s">
        <v>277</v>
      </c>
      <c r="G521" s="763" t="s">
        <v>13</v>
      </c>
      <c r="H521" s="661" t="s">
        <v>997</v>
      </c>
      <c r="I521" s="661"/>
      <c r="J521" s="662"/>
      <c r="K521" s="662"/>
      <c r="L521" s="662"/>
      <c r="M521" s="662"/>
      <c r="N521" s="662"/>
      <c r="O521" s="662"/>
      <c r="P521" s="662"/>
      <c r="Q521" s="662"/>
      <c r="R521" s="662"/>
      <c r="S521" s="662"/>
      <c r="T521" s="662"/>
      <c r="U521" s="662"/>
      <c r="V521" s="662"/>
      <c r="W521" s="662"/>
      <c r="X521" s="679" t="s">
        <v>14</v>
      </c>
      <c r="Y521" s="680"/>
      <c r="Z521" s="680"/>
      <c r="AA521" s="681"/>
      <c r="AB521" s="677" t="s">
        <v>15</v>
      </c>
      <c r="AF521" s="675" t="s">
        <v>3</v>
      </c>
      <c r="AG521" s="676"/>
      <c r="AH521" s="676"/>
    </row>
    <row r="522" spans="1:34" ht="9.75" customHeight="1" x14ac:dyDescent="0.2">
      <c r="B522" s="1092"/>
      <c r="C522" s="1092"/>
      <c r="D522" s="1092"/>
      <c r="E522" s="1092"/>
      <c r="F522" s="764"/>
      <c r="G522" s="764"/>
      <c r="H522" s="435"/>
      <c r="I522" s="434" t="s">
        <v>534</v>
      </c>
      <c r="J522" s="435"/>
      <c r="K522" s="434" t="s">
        <v>278</v>
      </c>
      <c r="L522" s="435"/>
      <c r="M522" s="434" t="s">
        <v>279</v>
      </c>
      <c r="N522" s="435"/>
      <c r="O522" s="434" t="s">
        <v>536</v>
      </c>
      <c r="P522" s="435"/>
      <c r="Q522" s="434" t="s">
        <v>17</v>
      </c>
      <c r="R522" s="435"/>
      <c r="S522" s="434" t="s">
        <v>18</v>
      </c>
      <c r="T522" s="435"/>
      <c r="U522" s="434" t="s">
        <v>19</v>
      </c>
      <c r="V522" s="435"/>
      <c r="W522" s="434" t="s">
        <v>537</v>
      </c>
      <c r="X522" s="682"/>
      <c r="Y522" s="683"/>
      <c r="Z522" s="683"/>
      <c r="AA522" s="684"/>
      <c r="AB522" s="678"/>
    </row>
    <row r="523" spans="1:34" ht="12" customHeight="1" x14ac:dyDescent="0.2">
      <c r="A523" s="4"/>
      <c r="B523" s="809" t="s">
        <v>719</v>
      </c>
      <c r="C523" s="640"/>
      <c r="D523" s="640"/>
      <c r="E523" s="640"/>
      <c r="F523" s="356">
        <f>8*X2</f>
        <v>10000</v>
      </c>
      <c r="G523" s="287">
        <f t="shared" ref="G523" si="1552">+F523*$X$1</f>
        <v>10000</v>
      </c>
      <c r="H523" s="97">
        <f>F523+6000</f>
        <v>16000</v>
      </c>
      <c r="I523" s="287">
        <f t="shared" ref="I523" si="1553">+H523*$X$1</f>
        <v>16000</v>
      </c>
      <c r="J523" s="97">
        <f>F523+2000</f>
        <v>12000</v>
      </c>
      <c r="K523" s="287">
        <f t="shared" ref="K523" si="1554">+J523*$X$1</f>
        <v>12000</v>
      </c>
      <c r="L523" s="97">
        <f>F523+1700</f>
        <v>11700</v>
      </c>
      <c r="M523" s="287">
        <f t="shared" ref="M523" si="1555">+L523*$X$1</f>
        <v>11700</v>
      </c>
      <c r="N523" s="97">
        <f>F523+1550</f>
        <v>11550</v>
      </c>
      <c r="O523" s="287">
        <f t="shared" ref="O523" si="1556">+N523*$X$1</f>
        <v>11550</v>
      </c>
      <c r="P523" s="97">
        <f>F523+1350</f>
        <v>11350</v>
      </c>
      <c r="Q523" s="287">
        <f t="shared" ref="Q523" si="1557">+P523*$X$1</f>
        <v>11350</v>
      </c>
      <c r="R523" s="97">
        <f>F523+1200</f>
        <v>11200</v>
      </c>
      <c r="S523" s="287">
        <f t="shared" ref="S523" si="1558">+R523*$X$1</f>
        <v>11200</v>
      </c>
      <c r="T523" s="97">
        <f>F523+1050</f>
        <v>11050</v>
      </c>
      <c r="U523" s="287">
        <f t="shared" ref="U523" si="1559">+T523*$X$1</f>
        <v>11050</v>
      </c>
      <c r="V523" s="97">
        <f>F523+900</f>
        <v>10900</v>
      </c>
      <c r="W523" s="287">
        <f t="shared" ref="W523" si="1560">+V523*$X$1</f>
        <v>10900</v>
      </c>
      <c r="X523" s="131"/>
      <c r="Y523" s="126"/>
      <c r="Z523" s="132"/>
      <c r="AA523" s="133"/>
      <c r="AB523" s="386" t="s">
        <v>723</v>
      </c>
    </row>
    <row r="524" spans="1:34" ht="12" customHeight="1" x14ac:dyDescent="0.2">
      <c r="A524" s="4"/>
      <c r="B524" s="775" t="s">
        <v>718</v>
      </c>
      <c r="C524" s="664"/>
      <c r="D524" s="664"/>
      <c r="E524" s="664"/>
      <c r="F524" s="355">
        <f>8*X2</f>
        <v>10000</v>
      </c>
      <c r="G524" s="298">
        <f t="shared" ref="G524" si="1561">+F524*$X$1</f>
        <v>10000</v>
      </c>
      <c r="H524" s="96">
        <f>F524+5000</f>
        <v>15000</v>
      </c>
      <c r="I524" s="298">
        <f t="shared" ref="I524" si="1562">+H524*$X$1</f>
        <v>15000</v>
      </c>
      <c r="J524" s="96">
        <f>F524+1200</f>
        <v>11200</v>
      </c>
      <c r="K524" s="298">
        <f t="shared" ref="K524" si="1563">+J524*$X$1</f>
        <v>11200</v>
      </c>
      <c r="L524" s="96">
        <f>F524+1000</f>
        <v>11000</v>
      </c>
      <c r="M524" s="298">
        <f t="shared" ref="M524" si="1564">+L524*$X$1</f>
        <v>11000</v>
      </c>
      <c r="N524" s="96">
        <f>F524+850</f>
        <v>10850</v>
      </c>
      <c r="O524" s="298">
        <f t="shared" ref="O524" si="1565">+N524*$X$1</f>
        <v>10850</v>
      </c>
      <c r="P524" s="96">
        <f>F524+740</f>
        <v>10740</v>
      </c>
      <c r="Q524" s="298">
        <f t="shared" ref="Q524" si="1566">+P524*$X$1</f>
        <v>10740</v>
      </c>
      <c r="R524" s="96">
        <f>F524+650</f>
        <v>10650</v>
      </c>
      <c r="S524" s="298">
        <f t="shared" ref="S524" si="1567">+R524*$X$1</f>
        <v>10650</v>
      </c>
      <c r="T524" s="96">
        <f>F524+560</f>
        <v>10560</v>
      </c>
      <c r="U524" s="298">
        <f t="shared" ref="U524" si="1568">+T524*$X$1</f>
        <v>10560</v>
      </c>
      <c r="V524" s="96">
        <f>F524+450</f>
        <v>10450</v>
      </c>
      <c r="W524" s="298">
        <f t="shared" ref="W524" si="1569">+V524*$X$1</f>
        <v>10450</v>
      </c>
      <c r="X524" s="131"/>
      <c r="Y524" s="126"/>
      <c r="Z524" s="132"/>
      <c r="AA524" s="133"/>
      <c r="AB524" s="372">
        <v>873</v>
      </c>
    </row>
    <row r="525" spans="1:34" ht="12" customHeight="1" x14ac:dyDescent="0.2">
      <c r="A525" s="4"/>
      <c r="B525" s="809" t="s">
        <v>672</v>
      </c>
      <c r="C525" s="640"/>
      <c r="D525" s="640"/>
      <c r="E525" s="640"/>
      <c r="F525" s="356">
        <f>16.5*X2</f>
        <v>20625</v>
      </c>
      <c r="G525" s="287">
        <f t="shared" ref="G525" si="1570">+F525*$X$1</f>
        <v>20625</v>
      </c>
      <c r="H525" s="97">
        <f>F525+5000</f>
        <v>25625</v>
      </c>
      <c r="I525" s="287">
        <f t="shared" ref="I525:I526" si="1571">+H525*$X$1</f>
        <v>25625</v>
      </c>
      <c r="J525" s="97">
        <f>F525+1200</f>
        <v>21825</v>
      </c>
      <c r="K525" s="287">
        <f t="shared" ref="K525:K526" si="1572">+J525*$X$1</f>
        <v>21825</v>
      </c>
      <c r="L525" s="97">
        <f>F525+1000</f>
        <v>21625</v>
      </c>
      <c r="M525" s="287">
        <f t="shared" ref="M525:M526" si="1573">+L525*$X$1</f>
        <v>21625</v>
      </c>
      <c r="N525" s="97">
        <f>F525+850</f>
        <v>21475</v>
      </c>
      <c r="O525" s="287">
        <f t="shared" ref="O525:O526" si="1574">+N525*$X$1</f>
        <v>21475</v>
      </c>
      <c r="P525" s="97">
        <f>F525+740</f>
        <v>21365</v>
      </c>
      <c r="Q525" s="287">
        <f t="shared" ref="Q525:Q526" si="1575">+P525*$X$1</f>
        <v>21365</v>
      </c>
      <c r="R525" s="97">
        <f>F525+650</f>
        <v>21275</v>
      </c>
      <c r="S525" s="287">
        <f t="shared" ref="S525:S526" si="1576">+R525*$X$1</f>
        <v>21275</v>
      </c>
      <c r="T525" s="97">
        <f>F525+560</f>
        <v>21185</v>
      </c>
      <c r="U525" s="287">
        <f t="shared" ref="U525:U526" si="1577">+T525*$X$1</f>
        <v>21185</v>
      </c>
      <c r="V525" s="97">
        <f>F525+450</f>
        <v>21075</v>
      </c>
      <c r="W525" s="287">
        <f t="shared" ref="W525:W526" si="1578">+V525*$X$1</f>
        <v>21075</v>
      </c>
      <c r="X525" s="131"/>
      <c r="Y525" s="126"/>
      <c r="Z525" s="132"/>
      <c r="AA525" s="133"/>
      <c r="AB525" s="372">
        <v>874</v>
      </c>
    </row>
    <row r="526" spans="1:34" ht="12.6" customHeight="1" x14ac:dyDescent="0.2">
      <c r="A526" s="4"/>
      <c r="B526" s="775" t="s">
        <v>639</v>
      </c>
      <c r="C526" s="664"/>
      <c r="D526" s="664"/>
      <c r="E526" s="664"/>
      <c r="F526" s="355">
        <f>9.9*X2</f>
        <v>12375</v>
      </c>
      <c r="G526" s="298">
        <f t="shared" ref="G526:G527" si="1579">+F526*$X$1</f>
        <v>12375</v>
      </c>
      <c r="H526" s="96">
        <f>F526+6000</f>
        <v>18375</v>
      </c>
      <c r="I526" s="298">
        <f t="shared" si="1571"/>
        <v>18375</v>
      </c>
      <c r="J526" s="96">
        <f>F526+2000</f>
        <v>14375</v>
      </c>
      <c r="K526" s="298">
        <f t="shared" si="1572"/>
        <v>14375</v>
      </c>
      <c r="L526" s="96">
        <f>F526+1700</f>
        <v>14075</v>
      </c>
      <c r="M526" s="298">
        <f t="shared" si="1573"/>
        <v>14075</v>
      </c>
      <c r="N526" s="96">
        <f>F526+1550</f>
        <v>13925</v>
      </c>
      <c r="O526" s="298">
        <f t="shared" si="1574"/>
        <v>13925</v>
      </c>
      <c r="P526" s="96">
        <f>F526+1350</f>
        <v>13725</v>
      </c>
      <c r="Q526" s="298">
        <f t="shared" si="1575"/>
        <v>13725</v>
      </c>
      <c r="R526" s="96">
        <f>F526+1200</f>
        <v>13575</v>
      </c>
      <c r="S526" s="298">
        <f t="shared" si="1576"/>
        <v>13575</v>
      </c>
      <c r="T526" s="96">
        <f>F526+1050</f>
        <v>13425</v>
      </c>
      <c r="U526" s="298">
        <f t="shared" si="1577"/>
        <v>13425</v>
      </c>
      <c r="V526" s="96">
        <f>F526+900</f>
        <v>13275</v>
      </c>
      <c r="W526" s="298">
        <f t="shared" si="1578"/>
        <v>13275</v>
      </c>
      <c r="X526" s="131"/>
      <c r="Y526" s="126"/>
      <c r="Z526" s="132"/>
      <c r="AA526" s="133"/>
      <c r="AB526" s="372" t="s">
        <v>649</v>
      </c>
    </row>
    <row r="527" spans="1:34" ht="12" customHeight="1" x14ac:dyDescent="0.2">
      <c r="A527" s="4"/>
      <c r="B527" s="768" t="s">
        <v>640</v>
      </c>
      <c r="C527" s="692"/>
      <c r="D527" s="692"/>
      <c r="E527" s="692"/>
      <c r="F527" s="356">
        <f>9.9*X2</f>
        <v>12375</v>
      </c>
      <c r="G527" s="287">
        <f t="shared" si="1579"/>
        <v>12375</v>
      </c>
      <c r="H527" s="97">
        <f>F527+5000</f>
        <v>17375</v>
      </c>
      <c r="I527" s="287">
        <f t="shared" ref="I527:I529" si="1580">+H527*$X$1</f>
        <v>17375</v>
      </c>
      <c r="J527" s="97">
        <f>F527+1200</f>
        <v>13575</v>
      </c>
      <c r="K527" s="287">
        <f t="shared" ref="K527:K529" si="1581">+J527*$X$1</f>
        <v>13575</v>
      </c>
      <c r="L527" s="97">
        <f>F527+1000</f>
        <v>13375</v>
      </c>
      <c r="M527" s="287">
        <f t="shared" ref="M527:M529" si="1582">+L527*$X$1</f>
        <v>13375</v>
      </c>
      <c r="N527" s="97">
        <f>F527+850</f>
        <v>13225</v>
      </c>
      <c r="O527" s="287">
        <f t="shared" ref="O527:O529" si="1583">+N527*$X$1</f>
        <v>13225</v>
      </c>
      <c r="P527" s="97">
        <f>F527+740</f>
        <v>13115</v>
      </c>
      <c r="Q527" s="287">
        <f t="shared" ref="Q527:Q529" si="1584">+P527*$X$1</f>
        <v>13115</v>
      </c>
      <c r="R527" s="97">
        <f>F527+650</f>
        <v>13025</v>
      </c>
      <c r="S527" s="287">
        <f t="shared" ref="S527:S529" si="1585">+R527*$X$1</f>
        <v>13025</v>
      </c>
      <c r="T527" s="97">
        <f>F527+560</f>
        <v>12935</v>
      </c>
      <c r="U527" s="287">
        <f t="shared" ref="U527:U529" si="1586">+T527*$X$1</f>
        <v>12935</v>
      </c>
      <c r="V527" s="97">
        <f>F527+450</f>
        <v>12825</v>
      </c>
      <c r="W527" s="287">
        <f t="shared" ref="W527:W529" si="1587">+V527*$X$1</f>
        <v>12825</v>
      </c>
      <c r="X527" s="131"/>
      <c r="Y527" s="126"/>
      <c r="Z527" s="132"/>
      <c r="AA527" s="133"/>
      <c r="AB527" s="372">
        <v>875</v>
      </c>
    </row>
    <row r="528" spans="1:34" ht="12.6" customHeight="1" x14ac:dyDescent="0.2">
      <c r="A528" s="4"/>
      <c r="B528" s="775" t="s">
        <v>720</v>
      </c>
      <c r="C528" s="664"/>
      <c r="D528" s="664"/>
      <c r="E528" s="664"/>
      <c r="F528" s="355">
        <f>18.1*X2</f>
        <v>22625</v>
      </c>
      <c r="G528" s="298">
        <f t="shared" ref="G528" si="1588">+F528*$X$1</f>
        <v>22625</v>
      </c>
      <c r="H528" s="96">
        <f>F528+5000</f>
        <v>27625</v>
      </c>
      <c r="I528" s="298">
        <f t="shared" si="1580"/>
        <v>27625</v>
      </c>
      <c r="J528" s="96">
        <f>F528+1200</f>
        <v>23825</v>
      </c>
      <c r="K528" s="298">
        <f t="shared" si="1581"/>
        <v>23825</v>
      </c>
      <c r="L528" s="96">
        <f>F528+1000</f>
        <v>23625</v>
      </c>
      <c r="M528" s="298">
        <f t="shared" si="1582"/>
        <v>23625</v>
      </c>
      <c r="N528" s="96">
        <f>F528+850</f>
        <v>23475</v>
      </c>
      <c r="O528" s="298">
        <f t="shared" si="1583"/>
        <v>23475</v>
      </c>
      <c r="P528" s="96">
        <f>F528+740</f>
        <v>23365</v>
      </c>
      <c r="Q528" s="298">
        <f t="shared" si="1584"/>
        <v>23365</v>
      </c>
      <c r="R528" s="96">
        <f>F528+650</f>
        <v>23275</v>
      </c>
      <c r="S528" s="298">
        <f t="shared" si="1585"/>
        <v>23275</v>
      </c>
      <c r="T528" s="96">
        <f>F528+560</f>
        <v>23185</v>
      </c>
      <c r="U528" s="298">
        <f t="shared" si="1586"/>
        <v>23185</v>
      </c>
      <c r="V528" s="96">
        <f>F528+450</f>
        <v>23075</v>
      </c>
      <c r="W528" s="298">
        <f t="shared" si="1587"/>
        <v>23075</v>
      </c>
      <c r="X528" s="131"/>
      <c r="Y528" s="126"/>
      <c r="Z528" s="132"/>
      <c r="AA528" s="133"/>
      <c r="AB528" s="372">
        <v>876</v>
      </c>
    </row>
    <row r="529" spans="1:28" ht="12.6" customHeight="1" x14ac:dyDescent="0.2">
      <c r="A529" s="4"/>
      <c r="B529" s="809" t="s">
        <v>673</v>
      </c>
      <c r="C529" s="640"/>
      <c r="D529" s="640"/>
      <c r="E529" s="640"/>
      <c r="F529" s="356">
        <f>15.37*X2</f>
        <v>19212.5</v>
      </c>
      <c r="G529" s="287">
        <f t="shared" ref="G529" si="1589">+F529*$X$1</f>
        <v>19212.5</v>
      </c>
      <c r="H529" s="97">
        <f>F529+6000</f>
        <v>25212.5</v>
      </c>
      <c r="I529" s="287">
        <f t="shared" si="1580"/>
        <v>25212.5</v>
      </c>
      <c r="J529" s="97">
        <f>F529+2000</f>
        <v>21212.5</v>
      </c>
      <c r="K529" s="287">
        <f t="shared" si="1581"/>
        <v>21212.5</v>
      </c>
      <c r="L529" s="97">
        <f>F529+1700</f>
        <v>20912.5</v>
      </c>
      <c r="M529" s="287">
        <f t="shared" si="1582"/>
        <v>20912.5</v>
      </c>
      <c r="N529" s="97">
        <f>F529+1550</f>
        <v>20762.5</v>
      </c>
      <c r="O529" s="287">
        <f t="shared" si="1583"/>
        <v>20762.5</v>
      </c>
      <c r="P529" s="97">
        <f>F529+1350</f>
        <v>20562.5</v>
      </c>
      <c r="Q529" s="287">
        <f t="shared" si="1584"/>
        <v>20562.5</v>
      </c>
      <c r="R529" s="97">
        <f>F529+1200</f>
        <v>20412.5</v>
      </c>
      <c r="S529" s="287">
        <f t="shared" si="1585"/>
        <v>20412.5</v>
      </c>
      <c r="T529" s="97">
        <f>F529+1050</f>
        <v>20262.5</v>
      </c>
      <c r="U529" s="287">
        <f t="shared" si="1586"/>
        <v>20262.5</v>
      </c>
      <c r="V529" s="97">
        <f>F529+900</f>
        <v>20112.5</v>
      </c>
      <c r="W529" s="287">
        <f t="shared" si="1587"/>
        <v>20112.5</v>
      </c>
      <c r="X529" s="131"/>
      <c r="Y529" s="126"/>
      <c r="Z529" s="132"/>
      <c r="AA529" s="133"/>
      <c r="AB529" s="372" t="s">
        <v>596</v>
      </c>
    </row>
    <row r="530" spans="1:28" ht="12.6" customHeight="1" x14ac:dyDescent="0.2">
      <c r="A530" s="4"/>
      <c r="B530" s="775" t="s">
        <v>674</v>
      </c>
      <c r="C530" s="664"/>
      <c r="D530" s="664"/>
      <c r="E530" s="664"/>
      <c r="F530" s="355">
        <f>15.37*X2</f>
        <v>19212.5</v>
      </c>
      <c r="G530" s="298">
        <f t="shared" ref="G530" si="1590">+F530*$X$1</f>
        <v>19212.5</v>
      </c>
      <c r="H530" s="96">
        <f>F530+5000</f>
        <v>24212.5</v>
      </c>
      <c r="I530" s="298">
        <f t="shared" ref="I530:I531" si="1591">+H530*$X$1</f>
        <v>24212.5</v>
      </c>
      <c r="J530" s="96">
        <f>F530+1200</f>
        <v>20412.5</v>
      </c>
      <c r="K530" s="298">
        <f t="shared" ref="K530:K531" si="1592">+J530*$X$1</f>
        <v>20412.5</v>
      </c>
      <c r="L530" s="96">
        <f>F530+1000</f>
        <v>20212.5</v>
      </c>
      <c r="M530" s="298">
        <f t="shared" ref="M530:M531" si="1593">+L530*$X$1</f>
        <v>20212.5</v>
      </c>
      <c r="N530" s="96">
        <f>F530+850</f>
        <v>20062.5</v>
      </c>
      <c r="O530" s="298">
        <f t="shared" ref="O530:O531" si="1594">+N530*$X$1</f>
        <v>20062.5</v>
      </c>
      <c r="P530" s="96">
        <f>F530+740</f>
        <v>19952.5</v>
      </c>
      <c r="Q530" s="298">
        <f t="shared" ref="Q530:Q531" si="1595">+P530*$X$1</f>
        <v>19952.5</v>
      </c>
      <c r="R530" s="96">
        <f>F530+650</f>
        <v>19862.5</v>
      </c>
      <c r="S530" s="298">
        <f t="shared" ref="S530:S531" si="1596">+R530*$X$1</f>
        <v>19862.5</v>
      </c>
      <c r="T530" s="96">
        <f>F530+560</f>
        <v>19772.5</v>
      </c>
      <c r="U530" s="298">
        <f t="shared" ref="U530:U531" si="1597">+T530*$X$1</f>
        <v>19772.5</v>
      </c>
      <c r="V530" s="96">
        <f>F530+450</f>
        <v>19662.5</v>
      </c>
      <c r="W530" s="298">
        <f t="shared" ref="W530:W531" si="1598">+V530*$X$1</f>
        <v>19662.5</v>
      </c>
      <c r="X530" s="131"/>
      <c r="Y530" s="126"/>
      <c r="Z530" s="132"/>
      <c r="AA530" s="133"/>
      <c r="AB530" s="372">
        <v>878</v>
      </c>
    </row>
    <row r="531" spans="1:28" ht="12.6" customHeight="1" x14ac:dyDescent="0.2">
      <c r="A531" s="4"/>
      <c r="B531" s="809" t="s">
        <v>641</v>
      </c>
      <c r="C531" s="640"/>
      <c r="D531" s="640"/>
      <c r="E531" s="640"/>
      <c r="F531" s="356">
        <f>22.75*X2</f>
        <v>28437.5</v>
      </c>
      <c r="G531" s="287">
        <f t="shared" ref="G531" si="1599">+F531*$X$1</f>
        <v>28437.5</v>
      </c>
      <c r="H531" s="97">
        <f>F531+6000</f>
        <v>34437.5</v>
      </c>
      <c r="I531" s="287">
        <f t="shared" si="1591"/>
        <v>34437.5</v>
      </c>
      <c r="J531" s="97">
        <f>F531+2000</f>
        <v>30437.5</v>
      </c>
      <c r="K531" s="287">
        <f t="shared" si="1592"/>
        <v>30437.5</v>
      </c>
      <c r="L531" s="97">
        <f>F531+1700</f>
        <v>30137.5</v>
      </c>
      <c r="M531" s="287">
        <f t="shared" si="1593"/>
        <v>30137.5</v>
      </c>
      <c r="N531" s="97">
        <f>F531+1550</f>
        <v>29987.5</v>
      </c>
      <c r="O531" s="287">
        <f t="shared" si="1594"/>
        <v>29987.5</v>
      </c>
      <c r="P531" s="97">
        <f>F531+1350</f>
        <v>29787.5</v>
      </c>
      <c r="Q531" s="287">
        <f t="shared" si="1595"/>
        <v>29787.5</v>
      </c>
      <c r="R531" s="97">
        <f>F531+1200</f>
        <v>29637.5</v>
      </c>
      <c r="S531" s="287">
        <f t="shared" si="1596"/>
        <v>29637.5</v>
      </c>
      <c r="T531" s="97">
        <f>F531+1050</f>
        <v>29487.5</v>
      </c>
      <c r="U531" s="287">
        <f t="shared" si="1597"/>
        <v>29487.5</v>
      </c>
      <c r="V531" s="97">
        <f>F531+900</f>
        <v>29337.5</v>
      </c>
      <c r="W531" s="287">
        <f t="shared" si="1598"/>
        <v>29337.5</v>
      </c>
      <c r="X531" s="131"/>
      <c r="Y531" s="126"/>
      <c r="Z531" s="132"/>
      <c r="AA531" s="133"/>
      <c r="AB531" s="372" t="s">
        <v>564</v>
      </c>
    </row>
    <row r="532" spans="1:28" ht="12.6" customHeight="1" x14ac:dyDescent="0.2">
      <c r="A532" s="4"/>
      <c r="B532" s="700" t="s">
        <v>642</v>
      </c>
      <c r="C532" s="701"/>
      <c r="D532" s="701"/>
      <c r="E532" s="701"/>
      <c r="F532" s="355">
        <f>22.75*X2</f>
        <v>28437.5</v>
      </c>
      <c r="G532" s="298">
        <f t="shared" ref="G532:G533" si="1600">+F532*$X$1</f>
        <v>28437.5</v>
      </c>
      <c r="H532" s="96">
        <f>F532+5000</f>
        <v>33437.5</v>
      </c>
      <c r="I532" s="298">
        <f t="shared" ref="I532:I533" si="1601">+H532*$X$1</f>
        <v>33437.5</v>
      </c>
      <c r="J532" s="96">
        <f>F532+1200</f>
        <v>29637.5</v>
      </c>
      <c r="K532" s="298">
        <f t="shared" ref="K532:K533" si="1602">+J532*$X$1</f>
        <v>29637.5</v>
      </c>
      <c r="L532" s="96">
        <f>F532+1000</f>
        <v>29437.5</v>
      </c>
      <c r="M532" s="298">
        <f t="shared" ref="M532:M533" si="1603">+L532*$X$1</f>
        <v>29437.5</v>
      </c>
      <c r="N532" s="96">
        <f>F532+850</f>
        <v>29287.5</v>
      </c>
      <c r="O532" s="298">
        <f t="shared" ref="O532:O533" si="1604">+N532*$X$1</f>
        <v>29287.5</v>
      </c>
      <c r="P532" s="96">
        <f>F532+740</f>
        <v>29177.5</v>
      </c>
      <c r="Q532" s="298">
        <f t="shared" ref="Q532:Q533" si="1605">+P532*$X$1</f>
        <v>29177.5</v>
      </c>
      <c r="R532" s="96">
        <f>F532+650</f>
        <v>29087.5</v>
      </c>
      <c r="S532" s="298">
        <f t="shared" ref="S532:S533" si="1606">+R532*$X$1</f>
        <v>29087.5</v>
      </c>
      <c r="T532" s="96">
        <f>F532+560</f>
        <v>28997.5</v>
      </c>
      <c r="U532" s="298">
        <f t="shared" ref="U532:U533" si="1607">+T532*$X$1</f>
        <v>28997.5</v>
      </c>
      <c r="V532" s="96">
        <f>F532+450</f>
        <v>28887.5</v>
      </c>
      <c r="W532" s="298">
        <f t="shared" ref="W532:W533" si="1608">+V532*$X$1</f>
        <v>28887.5</v>
      </c>
      <c r="X532" s="131"/>
      <c r="Y532" s="126"/>
      <c r="Z532" s="132"/>
      <c r="AA532" s="133"/>
      <c r="AB532" s="372">
        <v>880</v>
      </c>
    </row>
    <row r="533" spans="1:28" ht="12.6" customHeight="1" x14ac:dyDescent="0.2">
      <c r="A533" s="4"/>
      <c r="B533" s="809" t="s">
        <v>643</v>
      </c>
      <c r="C533" s="640"/>
      <c r="D533" s="640"/>
      <c r="E533" s="640"/>
      <c r="F533" s="356">
        <f>31.386*X2</f>
        <v>39232.5</v>
      </c>
      <c r="G533" s="287">
        <f t="shared" si="1600"/>
        <v>39232.5</v>
      </c>
      <c r="H533" s="97">
        <f>F533+6000</f>
        <v>45232.5</v>
      </c>
      <c r="I533" s="287">
        <f t="shared" si="1601"/>
        <v>45232.5</v>
      </c>
      <c r="J533" s="97">
        <f>F533+2000</f>
        <v>41232.5</v>
      </c>
      <c r="K533" s="287">
        <f t="shared" si="1602"/>
        <v>41232.5</v>
      </c>
      <c r="L533" s="97">
        <f>F533+1700</f>
        <v>40932.5</v>
      </c>
      <c r="M533" s="287">
        <f t="shared" si="1603"/>
        <v>40932.5</v>
      </c>
      <c r="N533" s="97">
        <f>F533+1550</f>
        <v>40782.5</v>
      </c>
      <c r="O533" s="287">
        <f t="shared" si="1604"/>
        <v>40782.5</v>
      </c>
      <c r="P533" s="97">
        <f>F533+1350</f>
        <v>40582.5</v>
      </c>
      <c r="Q533" s="287">
        <f t="shared" si="1605"/>
        <v>40582.5</v>
      </c>
      <c r="R533" s="97">
        <f>F533+1200</f>
        <v>40432.5</v>
      </c>
      <c r="S533" s="287">
        <f t="shared" si="1606"/>
        <v>40432.5</v>
      </c>
      <c r="T533" s="97">
        <f>F533+1050</f>
        <v>40282.5</v>
      </c>
      <c r="U533" s="287">
        <f t="shared" si="1607"/>
        <v>40282.5</v>
      </c>
      <c r="V533" s="97">
        <f>F533+900</f>
        <v>40132.5</v>
      </c>
      <c r="W533" s="287">
        <f t="shared" si="1608"/>
        <v>40132.5</v>
      </c>
      <c r="X533" s="131"/>
      <c r="Y533" s="126"/>
      <c r="Z533" s="132"/>
      <c r="AA533" s="133"/>
      <c r="AB533" s="372" t="s">
        <v>565</v>
      </c>
    </row>
    <row r="534" spans="1:28" ht="12.6" customHeight="1" x14ac:dyDescent="0.2">
      <c r="A534" s="4"/>
      <c r="B534" s="700" t="s">
        <v>644</v>
      </c>
      <c r="C534" s="638"/>
      <c r="D534" s="638"/>
      <c r="E534" s="638"/>
      <c r="F534" s="355">
        <f>31.386*X2</f>
        <v>39232.5</v>
      </c>
      <c r="G534" s="298">
        <f t="shared" ref="G534:G535" si="1609">+F534*$X$1</f>
        <v>39232.5</v>
      </c>
      <c r="H534" s="96">
        <f>F534+5000</f>
        <v>44232.5</v>
      </c>
      <c r="I534" s="298">
        <f t="shared" ref="I534:I538" si="1610">+H534*$X$1</f>
        <v>44232.5</v>
      </c>
      <c r="J534" s="96">
        <f>F534+1200</f>
        <v>40432.5</v>
      </c>
      <c r="K534" s="298">
        <f t="shared" ref="K534:K538" si="1611">+J534*$X$1</f>
        <v>40432.5</v>
      </c>
      <c r="L534" s="96">
        <f>F534+1000</f>
        <v>40232.5</v>
      </c>
      <c r="M534" s="298">
        <f t="shared" ref="M534:M538" si="1612">+L534*$X$1</f>
        <v>40232.5</v>
      </c>
      <c r="N534" s="96">
        <f>F534+850</f>
        <v>40082.5</v>
      </c>
      <c r="O534" s="298">
        <f t="shared" ref="O534:O538" si="1613">+N534*$X$1</f>
        <v>40082.5</v>
      </c>
      <c r="P534" s="96">
        <f>F534+740</f>
        <v>39972.5</v>
      </c>
      <c r="Q534" s="298">
        <f t="shared" ref="Q534:Q538" si="1614">+P534*$X$1</f>
        <v>39972.5</v>
      </c>
      <c r="R534" s="96">
        <f>F534+650</f>
        <v>39882.5</v>
      </c>
      <c r="S534" s="298">
        <f t="shared" ref="S534:S538" si="1615">+R534*$X$1</f>
        <v>39882.5</v>
      </c>
      <c r="T534" s="96">
        <f>F534+560</f>
        <v>39792.5</v>
      </c>
      <c r="U534" s="298">
        <f t="shared" ref="U534:U538" si="1616">+T534*$X$1</f>
        <v>39792.5</v>
      </c>
      <c r="V534" s="96">
        <f>F534+450</f>
        <v>39682.5</v>
      </c>
      <c r="W534" s="298">
        <f t="shared" ref="W534:W538" si="1617">+V534*$X$1</f>
        <v>39682.5</v>
      </c>
      <c r="X534" s="131"/>
      <c r="Y534" s="126"/>
      <c r="Z534" s="132"/>
      <c r="AA534" s="133"/>
      <c r="AB534" s="372">
        <v>881</v>
      </c>
    </row>
    <row r="535" spans="1:28" ht="12.6" customHeight="1" x14ac:dyDescent="0.2">
      <c r="A535" s="4"/>
      <c r="B535" s="809" t="s">
        <v>645</v>
      </c>
      <c r="C535" s="640"/>
      <c r="D535" s="640"/>
      <c r="E535" s="640"/>
      <c r="F535" s="356">
        <f>19.4*X2</f>
        <v>24250</v>
      </c>
      <c r="G535" s="287">
        <f t="shared" si="1609"/>
        <v>24250</v>
      </c>
      <c r="H535" s="97">
        <f>F535+5000</f>
        <v>29250</v>
      </c>
      <c r="I535" s="287">
        <f t="shared" si="1610"/>
        <v>29250</v>
      </c>
      <c r="J535" s="97">
        <f>F535+1200</f>
        <v>25450</v>
      </c>
      <c r="K535" s="287">
        <f t="shared" si="1611"/>
        <v>25450</v>
      </c>
      <c r="L535" s="97">
        <f>F535+1000</f>
        <v>25250</v>
      </c>
      <c r="M535" s="287">
        <f t="shared" si="1612"/>
        <v>25250</v>
      </c>
      <c r="N535" s="97">
        <f>F535+850</f>
        <v>25100</v>
      </c>
      <c r="O535" s="287">
        <f t="shared" si="1613"/>
        <v>25100</v>
      </c>
      <c r="P535" s="97">
        <f>F535+740</f>
        <v>24990</v>
      </c>
      <c r="Q535" s="287">
        <f t="shared" si="1614"/>
        <v>24990</v>
      </c>
      <c r="R535" s="97">
        <f>F535+650</f>
        <v>24900</v>
      </c>
      <c r="S535" s="287">
        <f t="shared" si="1615"/>
        <v>24900</v>
      </c>
      <c r="T535" s="97">
        <f>F535+560</f>
        <v>24810</v>
      </c>
      <c r="U535" s="287">
        <f t="shared" si="1616"/>
        <v>24810</v>
      </c>
      <c r="V535" s="97">
        <f>F535+450</f>
        <v>24700</v>
      </c>
      <c r="W535" s="287">
        <f t="shared" si="1617"/>
        <v>24700</v>
      </c>
      <c r="X535" s="131"/>
      <c r="Y535" s="126"/>
      <c r="Z535" s="132"/>
      <c r="AA535" s="133"/>
      <c r="AB535" s="372">
        <v>882</v>
      </c>
    </row>
    <row r="536" spans="1:28" ht="12.6" customHeight="1" x14ac:dyDescent="0.2">
      <c r="A536" s="4"/>
      <c r="B536" s="775" t="s">
        <v>437</v>
      </c>
      <c r="C536" s="664"/>
      <c r="D536" s="664"/>
      <c r="E536" s="664"/>
      <c r="F536" s="355">
        <f>24*X2</f>
        <v>30000</v>
      </c>
      <c r="G536" s="298">
        <f t="shared" ref="G536:G539" si="1618">+F536*$X$1</f>
        <v>30000</v>
      </c>
      <c r="H536" s="96">
        <f>F536+5000</f>
        <v>35000</v>
      </c>
      <c r="I536" s="298">
        <f t="shared" si="1610"/>
        <v>35000</v>
      </c>
      <c r="J536" s="96">
        <f>F536+1200</f>
        <v>31200</v>
      </c>
      <c r="K536" s="298">
        <f t="shared" si="1611"/>
        <v>31200</v>
      </c>
      <c r="L536" s="96">
        <f>F536+1000</f>
        <v>31000</v>
      </c>
      <c r="M536" s="298">
        <f t="shared" si="1612"/>
        <v>31000</v>
      </c>
      <c r="N536" s="96">
        <f>F536+850</f>
        <v>30850</v>
      </c>
      <c r="O536" s="298">
        <f t="shared" si="1613"/>
        <v>30850</v>
      </c>
      <c r="P536" s="96">
        <f>F536+740</f>
        <v>30740</v>
      </c>
      <c r="Q536" s="298">
        <f t="shared" si="1614"/>
        <v>30740</v>
      </c>
      <c r="R536" s="96">
        <f>F536+650</f>
        <v>30650</v>
      </c>
      <c r="S536" s="298">
        <f t="shared" si="1615"/>
        <v>30650</v>
      </c>
      <c r="T536" s="96">
        <f>F536+560</f>
        <v>30560</v>
      </c>
      <c r="U536" s="298">
        <f t="shared" si="1616"/>
        <v>30560</v>
      </c>
      <c r="V536" s="96">
        <f>F536+450</f>
        <v>30450</v>
      </c>
      <c r="W536" s="298">
        <f t="shared" si="1617"/>
        <v>30450</v>
      </c>
      <c r="X536" s="131"/>
      <c r="Y536" s="126"/>
      <c r="Z536" s="132"/>
      <c r="AA536" s="133"/>
      <c r="AB536" s="372">
        <v>883</v>
      </c>
    </row>
    <row r="537" spans="1:28" ht="12.6" customHeight="1" x14ac:dyDescent="0.2">
      <c r="A537" s="4"/>
      <c r="B537" s="712" t="s">
        <v>955</v>
      </c>
      <c r="C537" s="713"/>
      <c r="D537" s="713"/>
      <c r="E537" s="713"/>
      <c r="F537" s="351">
        <f>36.5*X2</f>
        <v>45625</v>
      </c>
      <c r="G537" s="270">
        <f t="shared" si="1618"/>
        <v>45625</v>
      </c>
      <c r="H537" s="97">
        <f>F537+5000</f>
        <v>50625</v>
      </c>
      <c r="I537" s="287">
        <f t="shared" si="1610"/>
        <v>50625</v>
      </c>
      <c r="J537" s="97">
        <f>F537+1200</f>
        <v>46825</v>
      </c>
      <c r="K537" s="287">
        <f t="shared" si="1611"/>
        <v>46825</v>
      </c>
      <c r="L537" s="97">
        <f>F537+1000</f>
        <v>46625</v>
      </c>
      <c r="M537" s="287">
        <f t="shared" si="1612"/>
        <v>46625</v>
      </c>
      <c r="N537" s="97">
        <f>F537+850</f>
        <v>46475</v>
      </c>
      <c r="O537" s="287">
        <f t="shared" si="1613"/>
        <v>46475</v>
      </c>
      <c r="P537" s="97">
        <f>F537+740</f>
        <v>46365</v>
      </c>
      <c r="Q537" s="287">
        <f t="shared" si="1614"/>
        <v>46365</v>
      </c>
      <c r="R537" s="97">
        <f>F537+650</f>
        <v>46275</v>
      </c>
      <c r="S537" s="287">
        <f t="shared" si="1615"/>
        <v>46275</v>
      </c>
      <c r="T537" s="97">
        <f>F537+560</f>
        <v>46185</v>
      </c>
      <c r="U537" s="287">
        <f t="shared" si="1616"/>
        <v>46185</v>
      </c>
      <c r="V537" s="97">
        <f>F537+450</f>
        <v>46075</v>
      </c>
      <c r="W537" s="287">
        <f t="shared" si="1617"/>
        <v>46075</v>
      </c>
      <c r="X537" s="131"/>
      <c r="Y537" s="126"/>
      <c r="Z537" s="132"/>
      <c r="AA537" s="133"/>
      <c r="AB537" s="372">
        <v>884</v>
      </c>
    </row>
    <row r="538" spans="1:28" ht="12.6" customHeight="1" x14ac:dyDescent="0.2">
      <c r="A538" s="4"/>
      <c r="B538" s="851" t="s">
        <v>730</v>
      </c>
      <c r="C538" s="709"/>
      <c r="D538" s="709"/>
      <c r="E538" s="710"/>
      <c r="F538" s="355">
        <f>16.15*X2</f>
        <v>20187.5</v>
      </c>
      <c r="G538" s="298">
        <f t="shared" si="1618"/>
        <v>20187.5</v>
      </c>
      <c r="H538" s="96">
        <f>F538+6000</f>
        <v>26187.5</v>
      </c>
      <c r="I538" s="298">
        <f t="shared" si="1610"/>
        <v>26187.5</v>
      </c>
      <c r="J538" s="96">
        <f>F538+2000</f>
        <v>22187.5</v>
      </c>
      <c r="K538" s="298">
        <f t="shared" si="1611"/>
        <v>22187.5</v>
      </c>
      <c r="L538" s="96">
        <f>F538+1700</f>
        <v>21887.5</v>
      </c>
      <c r="M538" s="298">
        <f t="shared" si="1612"/>
        <v>21887.5</v>
      </c>
      <c r="N538" s="96">
        <f>F538+1550</f>
        <v>21737.5</v>
      </c>
      <c r="O538" s="298">
        <f t="shared" si="1613"/>
        <v>21737.5</v>
      </c>
      <c r="P538" s="96">
        <f>F538+1350</f>
        <v>21537.5</v>
      </c>
      <c r="Q538" s="298">
        <f t="shared" si="1614"/>
        <v>21537.5</v>
      </c>
      <c r="R538" s="96">
        <f>F538+1200</f>
        <v>21387.5</v>
      </c>
      <c r="S538" s="298">
        <f t="shared" si="1615"/>
        <v>21387.5</v>
      </c>
      <c r="T538" s="96">
        <f>F538+1050</f>
        <v>21237.5</v>
      </c>
      <c r="U538" s="298">
        <f t="shared" si="1616"/>
        <v>21237.5</v>
      </c>
      <c r="V538" s="96">
        <f>F538+900</f>
        <v>21087.5</v>
      </c>
      <c r="W538" s="298">
        <f t="shared" si="1617"/>
        <v>21087.5</v>
      </c>
      <c r="X538" s="131"/>
      <c r="Y538" s="126"/>
      <c r="Z538" s="132"/>
      <c r="AA538" s="133"/>
      <c r="AB538" s="372" t="s">
        <v>729</v>
      </c>
    </row>
    <row r="539" spans="1:28" ht="12.6" customHeight="1" x14ac:dyDescent="0.2">
      <c r="A539" s="4"/>
      <c r="B539" s="1010" t="s">
        <v>731</v>
      </c>
      <c r="C539" s="739"/>
      <c r="D539" s="739"/>
      <c r="E539" s="740"/>
      <c r="F539" s="356">
        <f>16.15*X2</f>
        <v>20187.5</v>
      </c>
      <c r="G539" s="287">
        <f t="shared" si="1618"/>
        <v>20187.5</v>
      </c>
      <c r="H539" s="97">
        <f>F539+5000</f>
        <v>25187.5</v>
      </c>
      <c r="I539" s="287">
        <f t="shared" ref="I539:I540" si="1619">+H539*$X$1</f>
        <v>25187.5</v>
      </c>
      <c r="J539" s="97">
        <f>F539+1200</f>
        <v>21387.5</v>
      </c>
      <c r="K539" s="287">
        <f t="shared" ref="K539:K540" si="1620">+J539*$X$1</f>
        <v>21387.5</v>
      </c>
      <c r="L539" s="97">
        <f>F539+1000</f>
        <v>21187.5</v>
      </c>
      <c r="M539" s="287">
        <f t="shared" ref="M539:M540" si="1621">+L539*$X$1</f>
        <v>21187.5</v>
      </c>
      <c r="N539" s="97">
        <f>F539+850</f>
        <v>21037.5</v>
      </c>
      <c r="O539" s="287">
        <f t="shared" ref="O539:O540" si="1622">+N539*$X$1</f>
        <v>21037.5</v>
      </c>
      <c r="P539" s="97">
        <f>F539+740</f>
        <v>20927.5</v>
      </c>
      <c r="Q539" s="287">
        <f t="shared" ref="Q539:Q540" si="1623">+P539*$X$1</f>
        <v>20927.5</v>
      </c>
      <c r="R539" s="97">
        <f>F539+650</f>
        <v>20837.5</v>
      </c>
      <c r="S539" s="287">
        <f t="shared" ref="S539:S540" si="1624">+R539*$X$1</f>
        <v>20837.5</v>
      </c>
      <c r="T539" s="97">
        <f>F539+560</f>
        <v>20747.5</v>
      </c>
      <c r="U539" s="287">
        <f t="shared" ref="U539:U540" si="1625">+T539*$X$1</f>
        <v>20747.5</v>
      </c>
      <c r="V539" s="97">
        <f>F539+450</f>
        <v>20637.5</v>
      </c>
      <c r="W539" s="287">
        <f t="shared" ref="W539:W540" si="1626">+V539*$X$1</f>
        <v>20637.5</v>
      </c>
      <c r="X539" s="131"/>
      <c r="Y539" s="126"/>
      <c r="Z539" s="132"/>
      <c r="AA539" s="133"/>
      <c r="AB539" s="372">
        <v>886</v>
      </c>
    </row>
    <row r="540" spans="1:28" ht="12.6" customHeight="1" x14ac:dyDescent="0.2">
      <c r="A540" s="4"/>
      <c r="B540" s="775" t="s">
        <v>676</v>
      </c>
      <c r="C540" s="664"/>
      <c r="D540" s="664"/>
      <c r="E540" s="664"/>
      <c r="F540" s="352">
        <f>22.33*X2</f>
        <v>27912.499999999996</v>
      </c>
      <c r="G540" s="271">
        <f t="shared" ref="G540" si="1627">+F540*$X$1</f>
        <v>27912.499999999996</v>
      </c>
      <c r="H540" s="96">
        <f>F540+6000</f>
        <v>33912.5</v>
      </c>
      <c r="I540" s="298">
        <f t="shared" si="1619"/>
        <v>33912.5</v>
      </c>
      <c r="J540" s="96">
        <f>F540+2000</f>
        <v>29912.499999999996</v>
      </c>
      <c r="K540" s="298">
        <f t="shared" si="1620"/>
        <v>29912.499999999996</v>
      </c>
      <c r="L540" s="96">
        <f>F540+1700</f>
        <v>29612.499999999996</v>
      </c>
      <c r="M540" s="298">
        <f t="shared" si="1621"/>
        <v>29612.499999999996</v>
      </c>
      <c r="N540" s="96">
        <f>F540+1550</f>
        <v>29462.499999999996</v>
      </c>
      <c r="O540" s="298">
        <f t="shared" si="1622"/>
        <v>29462.499999999996</v>
      </c>
      <c r="P540" s="96">
        <f>F540+1350</f>
        <v>29262.499999999996</v>
      </c>
      <c r="Q540" s="298">
        <f t="shared" si="1623"/>
        <v>29262.499999999996</v>
      </c>
      <c r="R540" s="96">
        <f>F540+1200</f>
        <v>29112.499999999996</v>
      </c>
      <c r="S540" s="298">
        <f t="shared" si="1624"/>
        <v>29112.499999999996</v>
      </c>
      <c r="T540" s="96">
        <f>F540+1050</f>
        <v>28962.499999999996</v>
      </c>
      <c r="U540" s="298">
        <f t="shared" si="1625"/>
        <v>28962.499999999996</v>
      </c>
      <c r="V540" s="96">
        <f>F540+900</f>
        <v>28812.499999999996</v>
      </c>
      <c r="W540" s="298">
        <f t="shared" si="1626"/>
        <v>28812.499999999996</v>
      </c>
      <c r="X540" s="131"/>
      <c r="Y540" s="126"/>
      <c r="Z540" s="132"/>
      <c r="AA540" s="133"/>
      <c r="AB540" s="372" t="s">
        <v>659</v>
      </c>
    </row>
    <row r="541" spans="1:28" ht="12.6" customHeight="1" x14ac:dyDescent="0.2">
      <c r="A541" s="4"/>
      <c r="B541" s="809" t="s">
        <v>675</v>
      </c>
      <c r="C541" s="640"/>
      <c r="D541" s="640"/>
      <c r="E541" s="640"/>
      <c r="F541" s="351">
        <f>22.33*X2</f>
        <v>27912.499999999996</v>
      </c>
      <c r="G541" s="270">
        <f t="shared" ref="G541" si="1628">+F541*$X$1</f>
        <v>27912.499999999996</v>
      </c>
      <c r="H541" s="97">
        <f>F541+5000</f>
        <v>32912.5</v>
      </c>
      <c r="I541" s="287">
        <f t="shared" ref="I541:I543" si="1629">+H541*$X$1</f>
        <v>32912.5</v>
      </c>
      <c r="J541" s="97">
        <f>F541+1200</f>
        <v>29112.499999999996</v>
      </c>
      <c r="K541" s="287">
        <f t="shared" ref="K541:K543" si="1630">+J541*$X$1</f>
        <v>29112.499999999996</v>
      </c>
      <c r="L541" s="97">
        <f>F541+1000</f>
        <v>28912.499999999996</v>
      </c>
      <c r="M541" s="287">
        <f t="shared" ref="M541:M543" si="1631">+L541*$X$1</f>
        <v>28912.499999999996</v>
      </c>
      <c r="N541" s="97">
        <f>F541+850</f>
        <v>28762.499999999996</v>
      </c>
      <c r="O541" s="287">
        <f t="shared" ref="O541:O543" si="1632">+N541*$X$1</f>
        <v>28762.499999999996</v>
      </c>
      <c r="P541" s="97">
        <f>F541+740</f>
        <v>28652.499999999996</v>
      </c>
      <c r="Q541" s="287">
        <f t="shared" ref="Q541:Q543" si="1633">+P541*$X$1</f>
        <v>28652.499999999996</v>
      </c>
      <c r="R541" s="97">
        <f>F541+650</f>
        <v>28562.499999999996</v>
      </c>
      <c r="S541" s="287">
        <f t="shared" ref="S541:S543" si="1634">+R541*$X$1</f>
        <v>28562.499999999996</v>
      </c>
      <c r="T541" s="97">
        <f>F541+560</f>
        <v>28472.499999999996</v>
      </c>
      <c r="U541" s="287">
        <f t="shared" ref="U541:U543" si="1635">+T541*$X$1</f>
        <v>28472.499999999996</v>
      </c>
      <c r="V541" s="97">
        <f>F541+450</f>
        <v>28362.499999999996</v>
      </c>
      <c r="W541" s="287">
        <f t="shared" ref="W541:W543" si="1636">+V541*$X$1</f>
        <v>28362.499999999996</v>
      </c>
      <c r="X541" s="131"/>
      <c r="Y541" s="126"/>
      <c r="Z541" s="132"/>
      <c r="AA541" s="133"/>
      <c r="AB541" s="372">
        <v>887</v>
      </c>
    </row>
    <row r="542" spans="1:28" ht="12.6" customHeight="1" x14ac:dyDescent="0.2">
      <c r="A542" s="4"/>
      <c r="B542" s="700" t="s">
        <v>595</v>
      </c>
      <c r="C542" s="638"/>
      <c r="D542" s="638"/>
      <c r="E542" s="638"/>
      <c r="F542" s="352">
        <f>14.7*X2</f>
        <v>18375</v>
      </c>
      <c r="G542" s="271">
        <f t="shared" ref="G542" si="1637">+F542*$X$1</f>
        <v>18375</v>
      </c>
      <c r="H542" s="96">
        <f>F542+5000</f>
        <v>23375</v>
      </c>
      <c r="I542" s="298">
        <f t="shared" si="1629"/>
        <v>23375</v>
      </c>
      <c r="J542" s="96">
        <f>F542+1200</f>
        <v>19575</v>
      </c>
      <c r="K542" s="298">
        <f t="shared" si="1630"/>
        <v>19575</v>
      </c>
      <c r="L542" s="96">
        <f>F542+1000</f>
        <v>19375</v>
      </c>
      <c r="M542" s="298">
        <f t="shared" si="1631"/>
        <v>19375</v>
      </c>
      <c r="N542" s="96">
        <f>F542+850</f>
        <v>19225</v>
      </c>
      <c r="O542" s="298">
        <f t="shared" si="1632"/>
        <v>19225</v>
      </c>
      <c r="P542" s="96">
        <f>F542+740</f>
        <v>19115</v>
      </c>
      <c r="Q542" s="298">
        <f t="shared" si="1633"/>
        <v>19115</v>
      </c>
      <c r="R542" s="96">
        <f>F542+650</f>
        <v>19025</v>
      </c>
      <c r="S542" s="298">
        <f t="shared" si="1634"/>
        <v>19025</v>
      </c>
      <c r="T542" s="96">
        <f>F542+560</f>
        <v>18935</v>
      </c>
      <c r="U542" s="298">
        <f t="shared" si="1635"/>
        <v>18935</v>
      </c>
      <c r="V542" s="96">
        <f>F542+450</f>
        <v>18825</v>
      </c>
      <c r="W542" s="298">
        <f t="shared" si="1636"/>
        <v>18825</v>
      </c>
      <c r="X542" s="131"/>
      <c r="Y542" s="126"/>
      <c r="Z542" s="132"/>
      <c r="AA542" s="133"/>
      <c r="AB542" s="372">
        <v>888</v>
      </c>
    </row>
    <row r="543" spans="1:28" ht="12.6" customHeight="1" x14ac:dyDescent="0.2">
      <c r="A543" s="4"/>
      <c r="B543" s="768" t="s">
        <v>637</v>
      </c>
      <c r="C543" s="692"/>
      <c r="D543" s="692"/>
      <c r="E543" s="692"/>
      <c r="F543" s="351">
        <f>15.8*X2</f>
        <v>19750</v>
      </c>
      <c r="G543" s="270">
        <f t="shared" ref="G543:G547" si="1638">+F543*$X$1</f>
        <v>19750</v>
      </c>
      <c r="H543" s="97">
        <f>F543+6000</f>
        <v>25750</v>
      </c>
      <c r="I543" s="287">
        <f t="shared" si="1629"/>
        <v>25750</v>
      </c>
      <c r="J543" s="97">
        <f>F543+2000</f>
        <v>21750</v>
      </c>
      <c r="K543" s="287">
        <f t="shared" si="1630"/>
        <v>21750</v>
      </c>
      <c r="L543" s="97">
        <f>F543+1700</f>
        <v>21450</v>
      </c>
      <c r="M543" s="287">
        <f t="shared" si="1631"/>
        <v>21450</v>
      </c>
      <c r="N543" s="97">
        <f>F543+1550</f>
        <v>21300</v>
      </c>
      <c r="O543" s="287">
        <f t="shared" si="1632"/>
        <v>21300</v>
      </c>
      <c r="P543" s="97">
        <f>F543+1350</f>
        <v>21100</v>
      </c>
      <c r="Q543" s="287">
        <f t="shared" si="1633"/>
        <v>21100</v>
      </c>
      <c r="R543" s="97">
        <f>F543+1200</f>
        <v>20950</v>
      </c>
      <c r="S543" s="287">
        <f t="shared" si="1634"/>
        <v>20950</v>
      </c>
      <c r="T543" s="97">
        <f>F543+1050</f>
        <v>20800</v>
      </c>
      <c r="U543" s="287">
        <f t="shared" si="1635"/>
        <v>20800</v>
      </c>
      <c r="V543" s="97">
        <f>F543+900</f>
        <v>20650</v>
      </c>
      <c r="W543" s="287">
        <f t="shared" si="1636"/>
        <v>20650</v>
      </c>
      <c r="X543" s="131"/>
      <c r="Y543" s="126"/>
      <c r="Z543" s="132"/>
      <c r="AA543" s="133"/>
      <c r="AB543" s="372">
        <v>896</v>
      </c>
    </row>
    <row r="544" spans="1:28" ht="12.6" customHeight="1" x14ac:dyDescent="0.2">
      <c r="A544" s="4"/>
      <c r="B544" s="700" t="s">
        <v>961</v>
      </c>
      <c r="C544" s="638"/>
      <c r="D544" s="638"/>
      <c r="E544" s="638"/>
      <c r="F544" s="352">
        <f>15.8*X2</f>
        <v>19750</v>
      </c>
      <c r="G544" s="271">
        <f t="shared" si="1638"/>
        <v>19750</v>
      </c>
      <c r="H544" s="96">
        <f>F544+5000</f>
        <v>24750</v>
      </c>
      <c r="I544" s="298">
        <f t="shared" ref="I544:I546" si="1639">+H544*$X$1</f>
        <v>24750</v>
      </c>
      <c r="J544" s="96">
        <f>F544+1200</f>
        <v>20950</v>
      </c>
      <c r="K544" s="298">
        <f t="shared" ref="K544:K546" si="1640">+J544*$X$1</f>
        <v>20950</v>
      </c>
      <c r="L544" s="96">
        <f>F544+1000</f>
        <v>20750</v>
      </c>
      <c r="M544" s="298">
        <f t="shared" ref="M544:M546" si="1641">+L544*$X$1</f>
        <v>20750</v>
      </c>
      <c r="N544" s="96">
        <f>F544+850</f>
        <v>20600</v>
      </c>
      <c r="O544" s="298">
        <f t="shared" ref="O544:O546" si="1642">+N544*$X$1</f>
        <v>20600</v>
      </c>
      <c r="P544" s="96">
        <f>F544+740</f>
        <v>20490</v>
      </c>
      <c r="Q544" s="298">
        <f t="shared" ref="Q544:Q546" si="1643">+P544*$X$1</f>
        <v>20490</v>
      </c>
      <c r="R544" s="96">
        <f>F544+650</f>
        <v>20400</v>
      </c>
      <c r="S544" s="298">
        <f t="shared" ref="S544:S546" si="1644">+R544*$X$1</f>
        <v>20400</v>
      </c>
      <c r="T544" s="96">
        <f>F544+560</f>
        <v>20310</v>
      </c>
      <c r="U544" s="298">
        <f t="shared" ref="U544:U546" si="1645">+T544*$X$1</f>
        <v>20310</v>
      </c>
      <c r="V544" s="96">
        <f>F544+450</f>
        <v>20200</v>
      </c>
      <c r="W544" s="298">
        <f t="shared" ref="W544:W546" si="1646">+V544*$X$1</f>
        <v>20200</v>
      </c>
      <c r="X544" s="131"/>
      <c r="Y544" s="126"/>
      <c r="Z544" s="132"/>
      <c r="AA544" s="133"/>
      <c r="AB544" s="372">
        <v>896</v>
      </c>
    </row>
    <row r="545" spans="1:34" ht="12.6" customHeight="1" x14ac:dyDescent="0.2">
      <c r="A545" s="4"/>
      <c r="B545" s="768" t="s">
        <v>864</v>
      </c>
      <c r="C545" s="951"/>
      <c r="D545" s="951"/>
      <c r="E545" s="951"/>
      <c r="F545" s="309">
        <v>20475</v>
      </c>
      <c r="G545" s="270">
        <f t="shared" ref="G545" si="1647">+F545*$X$1</f>
        <v>20475</v>
      </c>
      <c r="H545" s="97">
        <f>F545+6000</f>
        <v>26475</v>
      </c>
      <c r="I545" s="287">
        <f t="shared" si="1639"/>
        <v>26475</v>
      </c>
      <c r="J545" s="97">
        <f>F545+2000</f>
        <v>22475</v>
      </c>
      <c r="K545" s="287">
        <f t="shared" si="1640"/>
        <v>22475</v>
      </c>
      <c r="L545" s="97">
        <f>F545+1700</f>
        <v>22175</v>
      </c>
      <c r="M545" s="287">
        <f t="shared" si="1641"/>
        <v>22175</v>
      </c>
      <c r="N545" s="97">
        <f>F545+1550</f>
        <v>22025</v>
      </c>
      <c r="O545" s="287">
        <f t="shared" si="1642"/>
        <v>22025</v>
      </c>
      <c r="P545" s="97">
        <f>F545+1350</f>
        <v>21825</v>
      </c>
      <c r="Q545" s="287">
        <f t="shared" si="1643"/>
        <v>21825</v>
      </c>
      <c r="R545" s="97">
        <f>F545+1200</f>
        <v>21675</v>
      </c>
      <c r="S545" s="287">
        <f t="shared" si="1644"/>
        <v>21675</v>
      </c>
      <c r="T545" s="97">
        <f>F545+1050</f>
        <v>21525</v>
      </c>
      <c r="U545" s="287">
        <f t="shared" si="1645"/>
        <v>21525</v>
      </c>
      <c r="V545" s="97">
        <f>F545+900</f>
        <v>21375</v>
      </c>
      <c r="W545" s="287">
        <f t="shared" si="1646"/>
        <v>21375</v>
      </c>
      <c r="X545" s="131"/>
      <c r="Y545" s="126"/>
      <c r="Z545" s="132"/>
      <c r="AA545" s="133"/>
      <c r="AB545" s="372"/>
    </row>
    <row r="546" spans="1:34" ht="12.6" customHeight="1" x14ac:dyDescent="0.2">
      <c r="A546" s="4"/>
      <c r="B546" s="700" t="s">
        <v>597</v>
      </c>
      <c r="C546" s="701"/>
      <c r="D546" s="701"/>
      <c r="E546" s="701"/>
      <c r="F546" s="352">
        <f>19*X2</f>
        <v>23750</v>
      </c>
      <c r="G546" s="271">
        <f t="shared" si="1638"/>
        <v>23750</v>
      </c>
      <c r="H546" s="96">
        <f>F546+6000</f>
        <v>29750</v>
      </c>
      <c r="I546" s="298">
        <f t="shared" si="1639"/>
        <v>29750</v>
      </c>
      <c r="J546" s="96">
        <f>F546+2000</f>
        <v>25750</v>
      </c>
      <c r="K546" s="298">
        <f t="shared" si="1640"/>
        <v>25750</v>
      </c>
      <c r="L546" s="96">
        <f>F546+1700</f>
        <v>25450</v>
      </c>
      <c r="M546" s="298">
        <f t="shared" si="1641"/>
        <v>25450</v>
      </c>
      <c r="N546" s="96">
        <f>F546+1550</f>
        <v>25300</v>
      </c>
      <c r="O546" s="298">
        <f t="shared" si="1642"/>
        <v>25300</v>
      </c>
      <c r="P546" s="96">
        <f>F546+1350</f>
        <v>25100</v>
      </c>
      <c r="Q546" s="298">
        <f t="shared" si="1643"/>
        <v>25100</v>
      </c>
      <c r="R546" s="96">
        <f>F546+1200</f>
        <v>24950</v>
      </c>
      <c r="S546" s="298">
        <f t="shared" si="1644"/>
        <v>24950</v>
      </c>
      <c r="T546" s="96">
        <f>F546+1050</f>
        <v>24800</v>
      </c>
      <c r="U546" s="298">
        <f t="shared" si="1645"/>
        <v>24800</v>
      </c>
      <c r="V546" s="96">
        <f>F546+900</f>
        <v>24650</v>
      </c>
      <c r="W546" s="298">
        <f t="shared" si="1646"/>
        <v>24650</v>
      </c>
      <c r="X546" s="131"/>
      <c r="Y546" s="126"/>
      <c r="Z546" s="132"/>
      <c r="AA546" s="133"/>
      <c r="AB546" s="372">
        <v>899</v>
      </c>
    </row>
    <row r="547" spans="1:34" ht="12.6" customHeight="1" x14ac:dyDescent="0.2">
      <c r="A547" s="4"/>
      <c r="B547" s="768" t="s">
        <v>605</v>
      </c>
      <c r="C547" s="951"/>
      <c r="D547" s="951"/>
      <c r="E547" s="951"/>
      <c r="F547" s="351">
        <f>19*X2</f>
        <v>23750</v>
      </c>
      <c r="G547" s="270">
        <f t="shared" si="1638"/>
        <v>23750</v>
      </c>
      <c r="H547" s="97">
        <f>F547+5000</f>
        <v>28750</v>
      </c>
      <c r="I547" s="287">
        <f t="shared" ref="I547:I548" si="1648">+H547*$X$1</f>
        <v>28750</v>
      </c>
      <c r="J547" s="97">
        <f>F547+1200</f>
        <v>24950</v>
      </c>
      <c r="K547" s="287">
        <f t="shared" ref="K547:K550" si="1649">+J547*$X$1</f>
        <v>24950</v>
      </c>
      <c r="L547" s="97">
        <f>F547+1000</f>
        <v>24750</v>
      </c>
      <c r="M547" s="287">
        <f t="shared" ref="M547:M550" si="1650">+L547*$X$1</f>
        <v>24750</v>
      </c>
      <c r="N547" s="97">
        <f>F547+850</f>
        <v>24600</v>
      </c>
      <c r="O547" s="287">
        <f t="shared" ref="O547:O550" si="1651">+N547*$X$1</f>
        <v>24600</v>
      </c>
      <c r="P547" s="97">
        <f>F547+740</f>
        <v>24490</v>
      </c>
      <c r="Q547" s="287">
        <f t="shared" ref="Q547:Q548" si="1652">+P547*$X$1</f>
        <v>24490</v>
      </c>
      <c r="R547" s="97">
        <f>F547+650</f>
        <v>24400</v>
      </c>
      <c r="S547" s="287">
        <f t="shared" ref="S547:S548" si="1653">+R547*$X$1</f>
        <v>24400</v>
      </c>
      <c r="T547" s="97">
        <f>F547+560</f>
        <v>24310</v>
      </c>
      <c r="U547" s="287">
        <f t="shared" ref="U547:U548" si="1654">+T547*$X$1</f>
        <v>24310</v>
      </c>
      <c r="V547" s="97">
        <f>F547+450</f>
        <v>24200</v>
      </c>
      <c r="W547" s="287">
        <f t="shared" ref="W547:W548" si="1655">+V547*$X$1</f>
        <v>24200</v>
      </c>
      <c r="X547" s="131"/>
      <c r="Y547" s="126"/>
      <c r="Z547" s="132"/>
      <c r="AA547" s="133"/>
      <c r="AB547" s="372" t="s">
        <v>606</v>
      </c>
    </row>
    <row r="548" spans="1:34" ht="12.6" customHeight="1" x14ac:dyDescent="0.2">
      <c r="A548" s="4"/>
      <c r="B548" s="700" t="s">
        <v>468</v>
      </c>
      <c r="C548" s="630"/>
      <c r="D548" s="630"/>
      <c r="E548" s="630"/>
      <c r="F548" s="352">
        <f>20*X2</f>
        <v>25000</v>
      </c>
      <c r="G548" s="271">
        <f t="shared" ref="G548" si="1656">+F548*$X$1</f>
        <v>25000</v>
      </c>
      <c r="H548" s="96">
        <f>F548+6000</f>
        <v>31000</v>
      </c>
      <c r="I548" s="298">
        <f t="shared" si="1648"/>
        <v>31000</v>
      </c>
      <c r="J548" s="96">
        <f>F548+2000</f>
        <v>27000</v>
      </c>
      <c r="K548" s="298">
        <f t="shared" si="1649"/>
        <v>27000</v>
      </c>
      <c r="L548" s="96">
        <f>F548+1700</f>
        <v>26700</v>
      </c>
      <c r="M548" s="298">
        <f t="shared" si="1650"/>
        <v>26700</v>
      </c>
      <c r="N548" s="96">
        <f>F548+1550</f>
        <v>26550</v>
      </c>
      <c r="O548" s="298">
        <f t="shared" si="1651"/>
        <v>26550</v>
      </c>
      <c r="P548" s="96">
        <f>F548+1350</f>
        <v>26350</v>
      </c>
      <c r="Q548" s="298">
        <f t="shared" si="1652"/>
        <v>26350</v>
      </c>
      <c r="R548" s="96">
        <f>F548+1200</f>
        <v>26200</v>
      </c>
      <c r="S548" s="298">
        <f t="shared" si="1653"/>
        <v>26200</v>
      </c>
      <c r="T548" s="96">
        <f>F548+1050</f>
        <v>26050</v>
      </c>
      <c r="U548" s="298">
        <f t="shared" si="1654"/>
        <v>26050</v>
      </c>
      <c r="V548" s="96">
        <f>F548+900</f>
        <v>25900</v>
      </c>
      <c r="W548" s="298">
        <f t="shared" si="1655"/>
        <v>25900</v>
      </c>
      <c r="X548" s="131"/>
      <c r="Y548" s="126"/>
      <c r="Z548" s="132"/>
      <c r="AA548" s="133"/>
      <c r="AB548" s="372">
        <v>900</v>
      </c>
    </row>
    <row r="549" spans="1:34" ht="12.6" customHeight="1" x14ac:dyDescent="0.2">
      <c r="A549" s="4"/>
      <c r="B549" s="768" t="s">
        <v>397</v>
      </c>
      <c r="C549" s="746"/>
      <c r="D549" s="746"/>
      <c r="E549" s="746"/>
      <c r="F549" s="309">
        <v>19290</v>
      </c>
      <c r="G549" s="270">
        <f>+F549*$X$1</f>
        <v>19290</v>
      </c>
      <c r="H549" s="97">
        <f>F549+5000</f>
        <v>24290</v>
      </c>
      <c r="I549" s="287">
        <f t="shared" ref="I549:I550" si="1657">+H549*$X$1</f>
        <v>24290</v>
      </c>
      <c r="J549" s="97">
        <f>F549+1200</f>
        <v>20490</v>
      </c>
      <c r="K549" s="287">
        <f t="shared" si="1649"/>
        <v>20490</v>
      </c>
      <c r="L549" s="97">
        <f>F549+1000</f>
        <v>20290</v>
      </c>
      <c r="M549" s="287">
        <f t="shared" si="1650"/>
        <v>20290</v>
      </c>
      <c r="N549" s="97">
        <f>F549+850</f>
        <v>20140</v>
      </c>
      <c r="O549" s="287">
        <f t="shared" si="1651"/>
        <v>20140</v>
      </c>
      <c r="P549" s="97">
        <f>F549+740</f>
        <v>20030</v>
      </c>
      <c r="Q549" s="287">
        <f t="shared" ref="Q549:Q550" si="1658">+P549*$X$1</f>
        <v>20030</v>
      </c>
      <c r="R549" s="97">
        <f>F549+650</f>
        <v>19940</v>
      </c>
      <c r="S549" s="287">
        <f t="shared" ref="S549:S550" si="1659">+R549*$X$1</f>
        <v>19940</v>
      </c>
      <c r="T549" s="97">
        <f>F549+560</f>
        <v>19850</v>
      </c>
      <c r="U549" s="287">
        <f t="shared" ref="U549:U550" si="1660">+T549*$X$1</f>
        <v>19850</v>
      </c>
      <c r="V549" s="97">
        <f>F549+450</f>
        <v>19740</v>
      </c>
      <c r="W549" s="287">
        <f t="shared" ref="W549:W550" si="1661">+V549*$X$1</f>
        <v>19740</v>
      </c>
      <c r="X549" s="131"/>
      <c r="Y549" s="126"/>
      <c r="Z549" s="132"/>
      <c r="AA549" s="133"/>
      <c r="AB549" s="372">
        <v>905</v>
      </c>
    </row>
    <row r="550" spans="1:34" ht="12.6" customHeight="1" x14ac:dyDescent="0.2">
      <c r="A550" s="4"/>
      <c r="B550" s="700" t="s">
        <v>647</v>
      </c>
      <c r="C550" s="630"/>
      <c r="D550" s="630"/>
      <c r="E550" s="630"/>
      <c r="F550" s="352">
        <f>21.3*X2</f>
        <v>26625</v>
      </c>
      <c r="G550" s="271">
        <f>+F550*$X$1</f>
        <v>26625</v>
      </c>
      <c r="H550" s="96">
        <f>F550+6000</f>
        <v>32625</v>
      </c>
      <c r="I550" s="298">
        <f t="shared" si="1657"/>
        <v>32625</v>
      </c>
      <c r="J550" s="96">
        <f>F550+2000</f>
        <v>28625</v>
      </c>
      <c r="K550" s="298">
        <f t="shared" si="1649"/>
        <v>28625</v>
      </c>
      <c r="L550" s="96">
        <f>F550+1700</f>
        <v>28325</v>
      </c>
      <c r="M550" s="298">
        <f t="shared" si="1650"/>
        <v>28325</v>
      </c>
      <c r="N550" s="96">
        <f>F550+1550</f>
        <v>28175</v>
      </c>
      <c r="O550" s="298">
        <f t="shared" si="1651"/>
        <v>28175</v>
      </c>
      <c r="P550" s="96">
        <f>F550+1350</f>
        <v>27975</v>
      </c>
      <c r="Q550" s="298">
        <f t="shared" si="1658"/>
        <v>27975</v>
      </c>
      <c r="R550" s="96">
        <f>F550+1200</f>
        <v>27825</v>
      </c>
      <c r="S550" s="298">
        <f t="shared" si="1659"/>
        <v>27825</v>
      </c>
      <c r="T550" s="96">
        <f>F550+1050</f>
        <v>27675</v>
      </c>
      <c r="U550" s="298">
        <f t="shared" si="1660"/>
        <v>27675</v>
      </c>
      <c r="V550" s="96">
        <f>F550+900</f>
        <v>27525</v>
      </c>
      <c r="W550" s="298">
        <f t="shared" si="1661"/>
        <v>27525</v>
      </c>
      <c r="X550" s="131"/>
      <c r="Y550" s="126"/>
      <c r="Z550" s="132"/>
      <c r="AA550" s="133"/>
      <c r="AB550" s="372">
        <v>906</v>
      </c>
    </row>
    <row r="551" spans="1:34" ht="12.6" customHeight="1" x14ac:dyDescent="0.2">
      <c r="A551" s="4"/>
      <c r="B551" s="768" t="s">
        <v>648</v>
      </c>
      <c r="C551" s="746"/>
      <c r="D551" s="746"/>
      <c r="E551" s="746"/>
      <c r="F551" s="351">
        <f>21.3*X2</f>
        <v>26625</v>
      </c>
      <c r="G551" s="270">
        <f>+F551*$X$1</f>
        <v>26625</v>
      </c>
      <c r="H551" s="97">
        <f>F551+5000</f>
        <v>31625</v>
      </c>
      <c r="I551" s="287">
        <f t="shared" ref="I551:I552" si="1662">+H551*$X$1</f>
        <v>31625</v>
      </c>
      <c r="J551" s="97">
        <f>F551+1200</f>
        <v>27825</v>
      </c>
      <c r="K551" s="287">
        <f t="shared" ref="K551:K552" si="1663">+J551*$X$1</f>
        <v>27825</v>
      </c>
      <c r="L551" s="97">
        <f>F551+1000</f>
        <v>27625</v>
      </c>
      <c r="M551" s="287">
        <f t="shared" ref="M551:M552" si="1664">+L551*$X$1</f>
        <v>27625</v>
      </c>
      <c r="N551" s="97">
        <f>F551+850</f>
        <v>27475</v>
      </c>
      <c r="O551" s="287">
        <f t="shared" ref="O551:O552" si="1665">+N551*$X$1</f>
        <v>27475</v>
      </c>
      <c r="P551" s="97">
        <f>F551+740</f>
        <v>27365</v>
      </c>
      <c r="Q551" s="287">
        <f t="shared" ref="Q551:Q552" si="1666">+P551*$X$1</f>
        <v>27365</v>
      </c>
      <c r="R551" s="97">
        <f>F551+650</f>
        <v>27275</v>
      </c>
      <c r="S551" s="287">
        <f t="shared" ref="S551:S552" si="1667">+R551*$X$1</f>
        <v>27275</v>
      </c>
      <c r="T551" s="97">
        <f>F551+560</f>
        <v>27185</v>
      </c>
      <c r="U551" s="287">
        <f t="shared" ref="U551:U552" si="1668">+T551*$X$1</f>
        <v>27185</v>
      </c>
      <c r="V551" s="97">
        <f>F551+450</f>
        <v>27075</v>
      </c>
      <c r="W551" s="287">
        <f t="shared" ref="W551:W552" si="1669">+V551*$X$1</f>
        <v>27075</v>
      </c>
      <c r="X551" s="131"/>
      <c r="Y551" s="126"/>
      <c r="Z551" s="132"/>
      <c r="AA551" s="133"/>
      <c r="AB551" s="372">
        <v>906</v>
      </c>
    </row>
    <row r="552" spans="1:34" ht="12.6" customHeight="1" x14ac:dyDescent="0.2">
      <c r="A552" s="4"/>
      <c r="B552" s="700" t="s">
        <v>594</v>
      </c>
      <c r="C552" s="638"/>
      <c r="D552" s="638"/>
      <c r="E552" s="638"/>
      <c r="F552" s="353">
        <f>21.1*X2</f>
        <v>26375</v>
      </c>
      <c r="G552" s="271">
        <f t="shared" ref="G552" si="1670">+F552*$X$1</f>
        <v>26375</v>
      </c>
      <c r="H552" s="96">
        <f>F552+6000</f>
        <v>32375</v>
      </c>
      <c r="I552" s="298">
        <f t="shared" si="1662"/>
        <v>32375</v>
      </c>
      <c r="J552" s="96">
        <f>F552+2000</f>
        <v>28375</v>
      </c>
      <c r="K552" s="298">
        <f t="shared" si="1663"/>
        <v>28375</v>
      </c>
      <c r="L552" s="96">
        <f>F552+1700</f>
        <v>28075</v>
      </c>
      <c r="M552" s="298">
        <f t="shared" si="1664"/>
        <v>28075</v>
      </c>
      <c r="N552" s="96">
        <f>F552+1550</f>
        <v>27925</v>
      </c>
      <c r="O552" s="298">
        <f t="shared" si="1665"/>
        <v>27925</v>
      </c>
      <c r="P552" s="96">
        <f>F552+1350</f>
        <v>27725</v>
      </c>
      <c r="Q552" s="298">
        <f t="shared" si="1666"/>
        <v>27725</v>
      </c>
      <c r="R552" s="96">
        <f>F552+1200</f>
        <v>27575</v>
      </c>
      <c r="S552" s="298">
        <f t="shared" si="1667"/>
        <v>27575</v>
      </c>
      <c r="T552" s="96">
        <f>F552+1050</f>
        <v>27425</v>
      </c>
      <c r="U552" s="298">
        <f t="shared" si="1668"/>
        <v>27425</v>
      </c>
      <c r="V552" s="96">
        <f>F552+900</f>
        <v>27275</v>
      </c>
      <c r="W552" s="298">
        <f t="shared" si="1669"/>
        <v>27275</v>
      </c>
      <c r="X552" s="131"/>
      <c r="Y552" s="126"/>
      <c r="Z552" s="132"/>
      <c r="AA552" s="133"/>
      <c r="AB552" s="372" t="s">
        <v>607</v>
      </c>
    </row>
    <row r="553" spans="1:34" ht="12.6" customHeight="1" x14ac:dyDescent="0.2">
      <c r="A553" s="4"/>
      <c r="B553" s="768" t="s">
        <v>646</v>
      </c>
      <c r="C553" s="692"/>
      <c r="D553" s="692"/>
      <c r="E553" s="692"/>
      <c r="F553" s="354">
        <f>21.1*X2</f>
        <v>26375</v>
      </c>
      <c r="G553" s="270">
        <f t="shared" ref="G553" si="1671">+F553*$X$1</f>
        <v>26375</v>
      </c>
      <c r="H553" s="97">
        <f>F553+5000</f>
        <v>31375</v>
      </c>
      <c r="I553" s="287">
        <f t="shared" ref="I553" si="1672">+H553*$X$1</f>
        <v>31375</v>
      </c>
      <c r="J553" s="97">
        <f>F553+1200</f>
        <v>27575</v>
      </c>
      <c r="K553" s="287">
        <f t="shared" ref="K553" si="1673">+J553*$X$1</f>
        <v>27575</v>
      </c>
      <c r="L553" s="97">
        <f>F553+1000</f>
        <v>27375</v>
      </c>
      <c r="M553" s="287">
        <f t="shared" ref="M553" si="1674">+L553*$X$1</f>
        <v>27375</v>
      </c>
      <c r="N553" s="97">
        <f>F553+850</f>
        <v>27225</v>
      </c>
      <c r="O553" s="287">
        <f t="shared" ref="O553" si="1675">+N553*$X$1</f>
        <v>27225</v>
      </c>
      <c r="P553" s="97"/>
      <c r="Q553" s="287"/>
      <c r="R553" s="97"/>
      <c r="S553" s="287"/>
      <c r="T553" s="97"/>
      <c r="U553" s="287"/>
      <c r="V553" s="97"/>
      <c r="W553" s="287"/>
      <c r="X553" s="131"/>
      <c r="Y553" s="126"/>
      <c r="Z553" s="132"/>
      <c r="AA553" s="133"/>
      <c r="AB553" s="372">
        <v>907</v>
      </c>
    </row>
    <row r="554" spans="1:34" ht="12.6" customHeight="1" x14ac:dyDescent="0.2">
      <c r="A554" s="4"/>
      <c r="B554" s="1147" t="s">
        <v>568</v>
      </c>
      <c r="C554" s="1148"/>
      <c r="D554" s="1148"/>
      <c r="E554" s="1148"/>
      <c r="F554" s="1149"/>
      <c r="G554" s="1150"/>
      <c r="H554" s="623">
        <v>1900</v>
      </c>
      <c r="I554" s="271">
        <f t="shared" ref="I554" si="1676">+H554*$X$1</f>
        <v>1900</v>
      </c>
      <c r="J554" s="623">
        <v>1000</v>
      </c>
      <c r="K554" s="271">
        <f t="shared" ref="K554" si="1677">+J554*$X$1</f>
        <v>1000</v>
      </c>
      <c r="L554" s="623">
        <v>800</v>
      </c>
      <c r="M554" s="271">
        <f t="shared" ref="M554" si="1678">+L554*$X$1</f>
        <v>800</v>
      </c>
      <c r="N554" s="623">
        <v>700</v>
      </c>
      <c r="O554" s="271">
        <f t="shared" ref="O554" si="1679">+N554*$X$1</f>
        <v>700</v>
      </c>
      <c r="P554" s="623">
        <v>650</v>
      </c>
      <c r="Q554" s="271">
        <f t="shared" ref="Q554" si="1680">+P554*$X$1</f>
        <v>650</v>
      </c>
      <c r="R554" s="623">
        <v>550</v>
      </c>
      <c r="S554" s="271">
        <f t="shared" ref="S554" si="1681">+R554*$X$1</f>
        <v>550</v>
      </c>
      <c r="T554" s="623">
        <v>500</v>
      </c>
      <c r="U554" s="271">
        <f t="shared" ref="U554" si="1682">+T554*$X$1</f>
        <v>500</v>
      </c>
      <c r="V554" s="623">
        <v>460</v>
      </c>
      <c r="W554" s="271">
        <f t="shared" ref="W554" si="1683">+V554*$X$1</f>
        <v>460</v>
      </c>
      <c r="X554" s="131"/>
      <c r="Y554" s="126"/>
      <c r="Z554" s="132"/>
      <c r="AA554" s="133"/>
      <c r="AB554" s="32"/>
    </row>
    <row r="555" spans="1:34" ht="12.6" customHeight="1" x14ac:dyDescent="0.2">
      <c r="A555" s="4"/>
      <c r="B555" s="1151" t="s">
        <v>569</v>
      </c>
      <c r="C555" s="1152"/>
      <c r="D555" s="1152"/>
      <c r="E555" s="1152"/>
      <c r="F555" s="1149"/>
      <c r="G555" s="1150"/>
      <c r="H555" s="605">
        <v>900</v>
      </c>
      <c r="I555" s="270">
        <f t="shared" ref="I555" si="1684">+H555*$X$1</f>
        <v>900</v>
      </c>
      <c r="J555" s="605">
        <v>750</v>
      </c>
      <c r="K555" s="270">
        <f t="shared" ref="K555" si="1685">+J555*$X$1</f>
        <v>750</v>
      </c>
      <c r="L555" s="605">
        <v>600</v>
      </c>
      <c r="M555" s="270">
        <f t="shared" ref="M555" si="1686">+L555*$X$1</f>
        <v>600</v>
      </c>
      <c r="N555" s="605">
        <v>550</v>
      </c>
      <c r="O555" s="270">
        <f t="shared" ref="O555" si="1687">+N555*$X$1</f>
        <v>550</v>
      </c>
      <c r="P555" s="605">
        <v>500</v>
      </c>
      <c r="Q555" s="270">
        <f t="shared" ref="Q555" si="1688">+P555*$X$1</f>
        <v>500</v>
      </c>
      <c r="R555" s="605">
        <v>450</v>
      </c>
      <c r="S555" s="270">
        <f t="shared" ref="S555" si="1689">+R555*$X$1</f>
        <v>450</v>
      </c>
      <c r="T555" s="605">
        <v>400</v>
      </c>
      <c r="U555" s="270">
        <f t="shared" ref="U555" si="1690">+T555*$X$1</f>
        <v>400</v>
      </c>
      <c r="V555" s="605">
        <v>370</v>
      </c>
      <c r="W555" s="270">
        <f t="shared" ref="W555" si="1691">+V555*$X$1</f>
        <v>370</v>
      </c>
      <c r="X555" s="131"/>
      <c r="Y555" s="126"/>
      <c r="Z555" s="132"/>
      <c r="AA555" s="133"/>
      <c r="AB555" s="32"/>
    </row>
    <row r="556" spans="1:34" ht="12.6" customHeight="1" x14ac:dyDescent="0.2">
      <c r="A556" s="92"/>
      <c r="B556" s="76"/>
      <c r="C556" s="77"/>
      <c r="D556" s="77"/>
      <c r="E556" s="77"/>
      <c r="F556" s="77"/>
      <c r="G556" s="77"/>
      <c r="H556" s="77"/>
      <c r="I556" s="313"/>
      <c r="J556" s="110"/>
      <c r="K556" s="313"/>
      <c r="L556" s="110"/>
      <c r="M556" s="313"/>
      <c r="N556" s="110"/>
      <c r="O556" s="313"/>
      <c r="P556" s="110"/>
      <c r="Q556" s="313"/>
      <c r="R556" s="110"/>
      <c r="S556" s="313"/>
      <c r="T556" s="110"/>
      <c r="U556" s="313"/>
      <c r="V556" s="110"/>
      <c r="W556" s="313"/>
      <c r="AB556" s="78"/>
    </row>
    <row r="557" spans="1:34" ht="12.6" customHeight="1" x14ac:dyDescent="0.2">
      <c r="A557" s="92"/>
      <c r="B557" s="76"/>
      <c r="C557" s="77"/>
      <c r="D557" s="77"/>
      <c r="E557" s="77"/>
      <c r="F557" s="77"/>
      <c r="G557" s="77"/>
      <c r="H557" s="77"/>
      <c r="I557" s="313"/>
      <c r="J557" s="110"/>
      <c r="K557" s="313"/>
      <c r="L557" s="110"/>
      <c r="M557" s="313"/>
      <c r="N557" s="110"/>
      <c r="O557" s="313"/>
      <c r="P557" s="110"/>
      <c r="Q557" s="313"/>
      <c r="R557" s="110"/>
      <c r="S557" s="313"/>
      <c r="T557" s="110"/>
      <c r="U557" s="313"/>
      <c r="V557" s="110"/>
      <c r="W557" s="313"/>
      <c r="AB557" s="78"/>
    </row>
    <row r="558" spans="1:34" ht="12.6" customHeight="1" x14ac:dyDescent="0.2">
      <c r="A558" s="92"/>
      <c r="B558" s="76"/>
      <c r="C558" s="77"/>
      <c r="D558" s="77"/>
      <c r="E558" s="77"/>
      <c r="F558" s="77"/>
      <c r="G558" s="77"/>
      <c r="H558" s="77"/>
      <c r="I558" s="313"/>
      <c r="J558" s="110"/>
      <c r="K558" s="313"/>
      <c r="L558" s="110"/>
      <c r="M558" s="313"/>
      <c r="N558" s="110"/>
      <c r="O558" s="313"/>
      <c r="P558" s="110"/>
      <c r="Q558" s="313"/>
      <c r="R558" s="110"/>
      <c r="S558" s="313"/>
      <c r="T558" s="110"/>
      <c r="U558" s="313"/>
      <c r="V558" s="110"/>
      <c r="W558" s="313"/>
      <c r="AB558" s="78"/>
    </row>
    <row r="559" spans="1:34" ht="15" customHeight="1" x14ac:dyDescent="0.2">
      <c r="B559" s="1008" t="s">
        <v>547</v>
      </c>
      <c r="C559" s="1009"/>
      <c r="D559" s="1009"/>
      <c r="E559" s="1009"/>
      <c r="F559" s="1009"/>
      <c r="G559" s="1009"/>
      <c r="H559" s="1009"/>
      <c r="I559" s="1009"/>
      <c r="J559" s="1009"/>
      <c r="K559" s="1009"/>
      <c r="L559" s="1009"/>
      <c r="M559" s="1009"/>
      <c r="N559" s="1009"/>
      <c r="O559" s="1009"/>
      <c r="P559" s="1009"/>
      <c r="Q559" s="1009"/>
      <c r="R559" s="1009"/>
      <c r="S559" s="1009"/>
      <c r="T559" s="1009"/>
      <c r="U559" s="1009"/>
      <c r="V559" s="1009"/>
      <c r="W559" s="1009"/>
      <c r="AB559" s="4"/>
      <c r="AF559" s="675"/>
      <c r="AG559" s="676"/>
      <c r="AH559" s="676"/>
    </row>
    <row r="560" spans="1:34" ht="14.25" customHeight="1" x14ac:dyDescent="0.2">
      <c r="B560" s="721" t="s">
        <v>11</v>
      </c>
      <c r="C560" s="723" t="s">
        <v>12</v>
      </c>
      <c r="D560" s="724"/>
      <c r="E560" s="724"/>
      <c r="F560" s="726" t="s">
        <v>277</v>
      </c>
      <c r="G560" s="726" t="s">
        <v>13</v>
      </c>
      <c r="H560" s="728" t="s">
        <v>778</v>
      </c>
      <c r="I560" s="728"/>
      <c r="J560" s="729"/>
      <c r="K560" s="729"/>
      <c r="L560" s="729"/>
      <c r="M560" s="729"/>
      <c r="N560" s="729"/>
      <c r="O560" s="729"/>
      <c r="P560" s="729"/>
      <c r="Q560" s="729"/>
      <c r="R560" s="729"/>
      <c r="S560" s="729"/>
      <c r="T560" s="729"/>
      <c r="U560" s="729"/>
      <c r="V560" s="729"/>
      <c r="W560" s="730"/>
      <c r="X560" s="679" t="s">
        <v>14</v>
      </c>
      <c r="Y560" s="680"/>
      <c r="Z560" s="680"/>
      <c r="AA560" s="681"/>
      <c r="AB560" s="677" t="s">
        <v>15</v>
      </c>
      <c r="AF560" s="675" t="s">
        <v>3</v>
      </c>
      <c r="AG560" s="676"/>
      <c r="AH560" s="676"/>
    </row>
    <row r="561" spans="1:28" ht="12" customHeight="1" x14ac:dyDescent="0.2">
      <c r="B561" s="722"/>
      <c r="C561" s="725"/>
      <c r="D561" s="725"/>
      <c r="E561" s="725"/>
      <c r="F561" s="727"/>
      <c r="G561" s="727"/>
      <c r="H561" s="444"/>
      <c r="I561" s="445" t="s">
        <v>534</v>
      </c>
      <c r="J561" s="444"/>
      <c r="K561" s="445" t="s">
        <v>278</v>
      </c>
      <c r="L561" s="444"/>
      <c r="M561" s="445" t="s">
        <v>279</v>
      </c>
      <c r="N561" s="444"/>
      <c r="O561" s="445" t="s">
        <v>536</v>
      </c>
      <c r="P561" s="444"/>
      <c r="Q561" s="445" t="s">
        <v>17</v>
      </c>
      <c r="R561" s="444"/>
      <c r="S561" s="445" t="s">
        <v>18</v>
      </c>
      <c r="T561" s="444"/>
      <c r="U561" s="445" t="s">
        <v>19</v>
      </c>
      <c r="V561" s="444"/>
      <c r="W561" s="446" t="s">
        <v>537</v>
      </c>
      <c r="X561" s="682"/>
      <c r="Y561" s="683"/>
      <c r="Z561" s="683"/>
      <c r="AA561" s="684"/>
      <c r="AB561" s="678"/>
    </row>
    <row r="562" spans="1:28" ht="12" customHeight="1" x14ac:dyDescent="0.2">
      <c r="A562" s="4"/>
      <c r="B562" s="691" t="s">
        <v>829</v>
      </c>
      <c r="C562" s="746"/>
      <c r="D562" s="746"/>
      <c r="E562" s="746"/>
      <c r="F562" s="287">
        <f>10.5*X2</f>
        <v>13125</v>
      </c>
      <c r="G562" s="287">
        <f t="shared" ref="G562:G563" si="1692">+F562*$X$1</f>
        <v>13125</v>
      </c>
      <c r="H562" s="97"/>
      <c r="I562" s="287"/>
      <c r="J562" s="97">
        <f>F562+1000</f>
        <v>14125</v>
      </c>
      <c r="K562" s="287">
        <f t="shared" ref="K562" si="1693">+J562*$X$1</f>
        <v>14125</v>
      </c>
      <c r="L562" s="97">
        <f t="shared" ref="L562:L567" si="1694">F562+800</f>
        <v>13925</v>
      </c>
      <c r="M562" s="287">
        <f t="shared" ref="M562" si="1695">+L562*$X$1</f>
        <v>13925</v>
      </c>
      <c r="N562" s="97">
        <f t="shared" ref="N562:N567" si="1696">F562+700</f>
        <v>13825</v>
      </c>
      <c r="O562" s="287">
        <f t="shared" ref="O562" si="1697">+N562*$X$1</f>
        <v>13825</v>
      </c>
      <c r="P562" s="97">
        <f t="shared" ref="P562:P567" si="1698">F562+600</f>
        <v>13725</v>
      </c>
      <c r="Q562" s="287">
        <f t="shared" ref="Q562" si="1699">+P562*$X$1</f>
        <v>13725</v>
      </c>
      <c r="R562" s="97">
        <f t="shared" ref="R562:R583" si="1700">F562+500</f>
        <v>13625</v>
      </c>
      <c r="S562" s="287">
        <f t="shared" ref="S562" si="1701">+R562*$X$1</f>
        <v>13625</v>
      </c>
      <c r="T562" s="97">
        <f t="shared" ref="T562:T583" si="1702">F562+450</f>
        <v>13575</v>
      </c>
      <c r="U562" s="287">
        <f t="shared" ref="U562" si="1703">+T562*$X$1</f>
        <v>13575</v>
      </c>
      <c r="V562" s="97">
        <f t="shared" ref="V562:V583" si="1704">F562+360</f>
        <v>13485</v>
      </c>
      <c r="W562" s="287">
        <f t="shared" ref="W562" si="1705">+V562*$X$1</f>
        <v>13485</v>
      </c>
      <c r="X562" s="131"/>
      <c r="Y562" s="126"/>
      <c r="Z562" s="132"/>
      <c r="AA562" s="133"/>
      <c r="AB562" s="372">
        <v>533</v>
      </c>
    </row>
    <row r="563" spans="1:28" ht="12" customHeight="1" x14ac:dyDescent="0.2">
      <c r="A563" s="4"/>
      <c r="B563" s="663" t="s">
        <v>910</v>
      </c>
      <c r="C563" s="695"/>
      <c r="D563" s="695"/>
      <c r="E563" s="695"/>
      <c r="F563" s="298">
        <f>6.6*X2</f>
        <v>8250</v>
      </c>
      <c r="G563" s="298">
        <f t="shared" si="1692"/>
        <v>8250</v>
      </c>
      <c r="H563" s="96"/>
      <c r="I563" s="298"/>
      <c r="J563" s="96"/>
      <c r="K563" s="298"/>
      <c r="L563" s="96">
        <f t="shared" si="1694"/>
        <v>9050</v>
      </c>
      <c r="M563" s="298">
        <f t="shared" ref="M563:M567" si="1706">+L563*$X$1</f>
        <v>9050</v>
      </c>
      <c r="N563" s="96">
        <f t="shared" si="1696"/>
        <v>8950</v>
      </c>
      <c r="O563" s="298">
        <f t="shared" ref="O563:O567" si="1707">+N563*$X$1</f>
        <v>8950</v>
      </c>
      <c r="P563" s="96">
        <f t="shared" si="1698"/>
        <v>8850</v>
      </c>
      <c r="Q563" s="298">
        <f t="shared" ref="Q563:Q567" si="1708">+P563*$X$1</f>
        <v>8850</v>
      </c>
      <c r="R563" s="96">
        <f t="shared" si="1700"/>
        <v>8750</v>
      </c>
      <c r="S563" s="298">
        <f t="shared" ref="S563:S568" si="1709">+R563*$X$1</f>
        <v>8750</v>
      </c>
      <c r="T563" s="96">
        <f t="shared" si="1702"/>
        <v>8700</v>
      </c>
      <c r="U563" s="298">
        <f t="shared" ref="U563:U568" si="1710">+T563*$X$1</f>
        <v>8700</v>
      </c>
      <c r="V563" s="96">
        <f t="shared" si="1704"/>
        <v>8610</v>
      </c>
      <c r="W563" s="298">
        <f t="shared" ref="W563:W568" si="1711">+V563*$X$1</f>
        <v>8610</v>
      </c>
      <c r="X563" s="131"/>
      <c r="Y563" s="126"/>
      <c r="Z563" s="132"/>
      <c r="AA563" s="133"/>
      <c r="AB563" s="386">
        <v>556</v>
      </c>
    </row>
    <row r="564" spans="1:28" ht="12" customHeight="1" x14ac:dyDescent="0.2">
      <c r="A564" s="4"/>
      <c r="B564" s="639" t="s">
        <v>832</v>
      </c>
      <c r="C564" s="694"/>
      <c r="D564" s="694"/>
      <c r="E564" s="694"/>
      <c r="F564" s="287">
        <f>7.82*X2</f>
        <v>9775</v>
      </c>
      <c r="G564" s="287">
        <f t="shared" ref="G564" si="1712">+F564*$X$1</f>
        <v>9775</v>
      </c>
      <c r="H564" s="97"/>
      <c r="I564" s="287"/>
      <c r="J564" s="97"/>
      <c r="K564" s="287"/>
      <c r="L564" s="97">
        <f t="shared" si="1694"/>
        <v>10575</v>
      </c>
      <c r="M564" s="287">
        <f t="shared" si="1706"/>
        <v>10575</v>
      </c>
      <c r="N564" s="97">
        <f t="shared" si="1696"/>
        <v>10475</v>
      </c>
      <c r="O564" s="287">
        <f t="shared" si="1707"/>
        <v>10475</v>
      </c>
      <c r="P564" s="97">
        <f t="shared" si="1698"/>
        <v>10375</v>
      </c>
      <c r="Q564" s="287">
        <f t="shared" si="1708"/>
        <v>10375</v>
      </c>
      <c r="R564" s="97">
        <f t="shared" si="1700"/>
        <v>10275</v>
      </c>
      <c r="S564" s="287">
        <f t="shared" si="1709"/>
        <v>10275</v>
      </c>
      <c r="T564" s="97">
        <f t="shared" si="1702"/>
        <v>10225</v>
      </c>
      <c r="U564" s="287">
        <f t="shared" si="1710"/>
        <v>10225</v>
      </c>
      <c r="V564" s="97">
        <f t="shared" si="1704"/>
        <v>10135</v>
      </c>
      <c r="W564" s="287">
        <f t="shared" si="1711"/>
        <v>10135</v>
      </c>
      <c r="X564" s="131"/>
      <c r="Y564" s="126"/>
      <c r="Z564" s="132"/>
      <c r="AA564" s="133"/>
      <c r="AB564" s="386">
        <v>566</v>
      </c>
    </row>
    <row r="565" spans="1:28" ht="12" customHeight="1" x14ac:dyDescent="0.2">
      <c r="A565" s="4"/>
      <c r="B565" s="663" t="s">
        <v>833</v>
      </c>
      <c r="C565" s="695"/>
      <c r="D565" s="695"/>
      <c r="E565" s="695"/>
      <c r="F565" s="298">
        <f>9.65*X2</f>
        <v>12062.5</v>
      </c>
      <c r="G565" s="298">
        <f t="shared" ref="G565" si="1713">+F565*$X$1</f>
        <v>12062.5</v>
      </c>
      <c r="H565" s="96"/>
      <c r="I565" s="298"/>
      <c r="J565" s="96"/>
      <c r="K565" s="298"/>
      <c r="L565" s="96">
        <f t="shared" si="1694"/>
        <v>12862.5</v>
      </c>
      <c r="M565" s="298">
        <f t="shared" si="1706"/>
        <v>12862.5</v>
      </c>
      <c r="N565" s="96">
        <f t="shared" si="1696"/>
        <v>12762.5</v>
      </c>
      <c r="O565" s="298">
        <f t="shared" si="1707"/>
        <v>12762.5</v>
      </c>
      <c r="P565" s="96">
        <f t="shared" si="1698"/>
        <v>12662.5</v>
      </c>
      <c r="Q565" s="298">
        <f t="shared" si="1708"/>
        <v>12662.5</v>
      </c>
      <c r="R565" s="96">
        <f t="shared" si="1700"/>
        <v>12562.5</v>
      </c>
      <c r="S565" s="298">
        <f t="shared" si="1709"/>
        <v>12562.5</v>
      </c>
      <c r="T565" s="96">
        <f t="shared" si="1702"/>
        <v>12512.5</v>
      </c>
      <c r="U565" s="298">
        <f t="shared" si="1710"/>
        <v>12512.5</v>
      </c>
      <c r="V565" s="96">
        <f t="shared" si="1704"/>
        <v>12422.5</v>
      </c>
      <c r="W565" s="298">
        <f t="shared" si="1711"/>
        <v>12422.5</v>
      </c>
      <c r="X565" s="131"/>
      <c r="Y565" s="126"/>
      <c r="Z565" s="132"/>
      <c r="AA565" s="133"/>
      <c r="AB565" s="386">
        <v>567</v>
      </c>
    </row>
    <row r="566" spans="1:28" ht="12" customHeight="1" x14ac:dyDescent="0.2">
      <c r="A566" s="4"/>
      <c r="B566" s="639" t="s">
        <v>834</v>
      </c>
      <c r="C566" s="694"/>
      <c r="D566" s="694"/>
      <c r="E566" s="694"/>
      <c r="F566" s="287">
        <f>9.36*X2</f>
        <v>11700</v>
      </c>
      <c r="G566" s="287">
        <f t="shared" ref="G566" si="1714">+F566*$X$1</f>
        <v>11700</v>
      </c>
      <c r="H566" s="97"/>
      <c r="I566" s="287"/>
      <c r="J566" s="97"/>
      <c r="K566" s="287"/>
      <c r="L566" s="97">
        <f t="shared" si="1694"/>
        <v>12500</v>
      </c>
      <c r="M566" s="287">
        <f t="shared" si="1706"/>
        <v>12500</v>
      </c>
      <c r="N566" s="97">
        <f t="shared" si="1696"/>
        <v>12400</v>
      </c>
      <c r="O566" s="287">
        <f t="shared" si="1707"/>
        <v>12400</v>
      </c>
      <c r="P566" s="97">
        <f t="shared" si="1698"/>
        <v>12300</v>
      </c>
      <c r="Q566" s="287">
        <f t="shared" si="1708"/>
        <v>12300</v>
      </c>
      <c r="R566" s="97">
        <f t="shared" si="1700"/>
        <v>12200</v>
      </c>
      <c r="S566" s="287">
        <f t="shared" si="1709"/>
        <v>12200</v>
      </c>
      <c r="T566" s="97">
        <f t="shared" si="1702"/>
        <v>12150</v>
      </c>
      <c r="U566" s="287">
        <f t="shared" si="1710"/>
        <v>12150</v>
      </c>
      <c r="V566" s="97">
        <f t="shared" si="1704"/>
        <v>12060</v>
      </c>
      <c r="W566" s="287">
        <f t="shared" si="1711"/>
        <v>12060</v>
      </c>
      <c r="X566" s="131"/>
      <c r="Y566" s="126"/>
      <c r="Z566" s="132"/>
      <c r="AA566" s="133"/>
      <c r="AB566" s="386">
        <v>569</v>
      </c>
    </row>
    <row r="567" spans="1:28" ht="12" customHeight="1" x14ac:dyDescent="0.2">
      <c r="A567" s="4"/>
      <c r="B567" s="714" t="s">
        <v>715</v>
      </c>
      <c r="C567" s="1146"/>
      <c r="D567" s="1146"/>
      <c r="E567" s="1146"/>
      <c r="F567" s="490">
        <f>18.1*X2</f>
        <v>22625</v>
      </c>
      <c r="G567" s="490">
        <f t="shared" ref="G567:I567" si="1715">+F567*$X$1</f>
        <v>22625</v>
      </c>
      <c r="H567" s="586">
        <f>F567+5000</f>
        <v>27625</v>
      </c>
      <c r="I567" s="490">
        <f t="shared" si="1715"/>
        <v>27625</v>
      </c>
      <c r="J567" s="586">
        <f>F567+1000</f>
        <v>23625</v>
      </c>
      <c r="K567" s="490">
        <f t="shared" ref="K567" si="1716">+J567*$X$1</f>
        <v>23625</v>
      </c>
      <c r="L567" s="586">
        <f t="shared" si="1694"/>
        <v>23425</v>
      </c>
      <c r="M567" s="490">
        <f t="shared" si="1706"/>
        <v>23425</v>
      </c>
      <c r="N567" s="586">
        <f t="shared" si="1696"/>
        <v>23325</v>
      </c>
      <c r="O567" s="490">
        <f t="shared" si="1707"/>
        <v>23325</v>
      </c>
      <c r="P567" s="586">
        <f t="shared" si="1698"/>
        <v>23225</v>
      </c>
      <c r="Q567" s="490">
        <f t="shared" si="1708"/>
        <v>23225</v>
      </c>
      <c r="R567" s="586">
        <f t="shared" si="1700"/>
        <v>23125</v>
      </c>
      <c r="S567" s="490">
        <f t="shared" si="1709"/>
        <v>23125</v>
      </c>
      <c r="T567" s="586">
        <f t="shared" si="1702"/>
        <v>23075</v>
      </c>
      <c r="U567" s="490">
        <f t="shared" si="1710"/>
        <v>23075</v>
      </c>
      <c r="V567" s="586">
        <f t="shared" si="1704"/>
        <v>22985</v>
      </c>
      <c r="W567" s="490">
        <f t="shared" si="1711"/>
        <v>22985</v>
      </c>
      <c r="X567" s="131"/>
      <c r="Y567" s="126"/>
      <c r="Z567" s="132"/>
      <c r="AA567" s="133"/>
      <c r="AB567" s="386">
        <v>570</v>
      </c>
    </row>
    <row r="568" spans="1:28" ht="12" customHeight="1" x14ac:dyDescent="0.2">
      <c r="A568" s="4"/>
      <c r="B568" s="765" t="s">
        <v>907</v>
      </c>
      <c r="C568" s="766"/>
      <c r="D568" s="766"/>
      <c r="E568" s="766"/>
      <c r="F568" s="287">
        <v>4950</v>
      </c>
      <c r="G568" s="287">
        <f>+F568*$X$1</f>
        <v>4950</v>
      </c>
      <c r="H568" s="97"/>
      <c r="I568" s="287"/>
      <c r="J568" s="97"/>
      <c r="K568" s="287"/>
      <c r="L568" s="97"/>
      <c r="M568" s="287"/>
      <c r="N568" s="97"/>
      <c r="O568" s="287"/>
      <c r="P568" s="97"/>
      <c r="Q568" s="287"/>
      <c r="R568" s="97">
        <f t="shared" si="1700"/>
        <v>5450</v>
      </c>
      <c r="S568" s="287">
        <f t="shared" si="1709"/>
        <v>5450</v>
      </c>
      <c r="T568" s="97">
        <f t="shared" si="1702"/>
        <v>5400</v>
      </c>
      <c r="U568" s="287">
        <f t="shared" si="1710"/>
        <v>5400</v>
      </c>
      <c r="V568" s="97">
        <f t="shared" si="1704"/>
        <v>5310</v>
      </c>
      <c r="W568" s="287">
        <f t="shared" si="1711"/>
        <v>5310</v>
      </c>
      <c r="X568" s="131"/>
      <c r="Y568" s="126"/>
      <c r="Z568" s="132"/>
      <c r="AA568" s="133"/>
      <c r="AB568" s="372">
        <v>572</v>
      </c>
    </row>
    <row r="569" spans="1:28" ht="12" customHeight="1" x14ac:dyDescent="0.2">
      <c r="A569" s="4"/>
      <c r="B569" s="663" t="s">
        <v>906</v>
      </c>
      <c r="C569" s="695"/>
      <c r="D569" s="695"/>
      <c r="E569" s="695"/>
      <c r="F569" s="298">
        <f>5.08*X2</f>
        <v>6350</v>
      </c>
      <c r="G569" s="298">
        <f t="shared" ref="G569" si="1717">+F569*$X$1</f>
        <v>6350</v>
      </c>
      <c r="H569" s="96"/>
      <c r="I569" s="298"/>
      <c r="J569" s="96"/>
      <c r="K569" s="298"/>
      <c r="L569" s="96"/>
      <c r="M569" s="298"/>
      <c r="N569" s="96">
        <f t="shared" ref="N569:N583" si="1718">F569+700</f>
        <v>7050</v>
      </c>
      <c r="O569" s="298">
        <f t="shared" ref="O569:O570" si="1719">+N569*$X$1</f>
        <v>7050</v>
      </c>
      <c r="P569" s="96">
        <f t="shared" ref="P569:P583" si="1720">F569+600</f>
        <v>6950</v>
      </c>
      <c r="Q569" s="298">
        <f t="shared" ref="Q569:Q570" si="1721">+P569*$X$1</f>
        <v>6950</v>
      </c>
      <c r="R569" s="96">
        <f t="shared" si="1700"/>
        <v>6850</v>
      </c>
      <c r="S569" s="298">
        <f t="shared" ref="S569:S570" si="1722">+R569*$X$1</f>
        <v>6850</v>
      </c>
      <c r="T569" s="96">
        <f t="shared" si="1702"/>
        <v>6800</v>
      </c>
      <c r="U569" s="298">
        <f t="shared" ref="U569:U570" si="1723">+T569*$X$1</f>
        <v>6800</v>
      </c>
      <c r="V569" s="96">
        <f t="shared" si="1704"/>
        <v>6710</v>
      </c>
      <c r="W569" s="298">
        <f t="shared" ref="W569:W570" si="1724">+V569*$X$1</f>
        <v>6710</v>
      </c>
      <c r="X569" s="131"/>
      <c r="Y569" s="126"/>
      <c r="Z569" s="132"/>
      <c r="AA569" s="133"/>
      <c r="AB569" s="372" t="s">
        <v>751</v>
      </c>
    </row>
    <row r="570" spans="1:28" ht="12" customHeight="1" x14ac:dyDescent="0.2">
      <c r="A570" s="4"/>
      <c r="B570" s="765" t="s">
        <v>859</v>
      </c>
      <c r="C570" s="766"/>
      <c r="D570" s="766"/>
      <c r="E570" s="766"/>
      <c r="F570" s="287">
        <f>1.7*X2</f>
        <v>2125</v>
      </c>
      <c r="G570" s="287">
        <f t="shared" ref="G570" si="1725">+F570*$X$1</f>
        <v>2125</v>
      </c>
      <c r="H570" s="97"/>
      <c r="I570" s="287"/>
      <c r="J570" s="97"/>
      <c r="K570" s="287"/>
      <c r="L570" s="97"/>
      <c r="M570" s="287"/>
      <c r="N570" s="97">
        <f t="shared" si="1718"/>
        <v>2825</v>
      </c>
      <c r="O570" s="287">
        <f t="shared" si="1719"/>
        <v>2825</v>
      </c>
      <c r="P570" s="97">
        <f t="shared" si="1720"/>
        <v>2725</v>
      </c>
      <c r="Q570" s="287">
        <f t="shared" si="1721"/>
        <v>2725</v>
      </c>
      <c r="R570" s="97">
        <f t="shared" si="1700"/>
        <v>2625</v>
      </c>
      <c r="S570" s="287">
        <f t="shared" si="1722"/>
        <v>2625</v>
      </c>
      <c r="T570" s="97">
        <f t="shared" si="1702"/>
        <v>2575</v>
      </c>
      <c r="U570" s="287">
        <f t="shared" si="1723"/>
        <v>2575</v>
      </c>
      <c r="V570" s="97">
        <f t="shared" si="1704"/>
        <v>2485</v>
      </c>
      <c r="W570" s="287">
        <f t="shared" si="1724"/>
        <v>2485</v>
      </c>
      <c r="X570" s="131"/>
      <c r="Y570" s="126"/>
      <c r="Z570" s="132"/>
      <c r="AA570" s="133"/>
      <c r="AB570" s="372">
        <v>575</v>
      </c>
    </row>
    <row r="571" spans="1:28" ht="12" customHeight="1" x14ac:dyDescent="0.2">
      <c r="A571" s="4"/>
      <c r="B571" s="714" t="s">
        <v>705</v>
      </c>
      <c r="C571" s="1146"/>
      <c r="D571" s="1146"/>
      <c r="E571" s="1146"/>
      <c r="F571" s="490">
        <v>16290</v>
      </c>
      <c r="G571" s="490">
        <f t="shared" ref="G571" si="1726">+F571*$X$1</f>
        <v>16290</v>
      </c>
      <c r="H571" s="586"/>
      <c r="I571" s="490"/>
      <c r="J571" s="586"/>
      <c r="K571" s="490"/>
      <c r="L571" s="586">
        <f t="shared" ref="L571:L583" si="1727">F571+800</f>
        <v>17090</v>
      </c>
      <c r="M571" s="490">
        <f t="shared" ref="M571:M576" si="1728">+L571*$X$1</f>
        <v>17090</v>
      </c>
      <c r="N571" s="586">
        <f t="shared" si="1718"/>
        <v>16990</v>
      </c>
      <c r="O571" s="490">
        <f t="shared" ref="O571:O576" si="1729">+N571*$X$1</f>
        <v>16990</v>
      </c>
      <c r="P571" s="586">
        <f t="shared" si="1720"/>
        <v>16890</v>
      </c>
      <c r="Q571" s="490">
        <f t="shared" ref="Q571:Q576" si="1730">+P571*$X$1</f>
        <v>16890</v>
      </c>
      <c r="R571" s="586">
        <f t="shared" si="1700"/>
        <v>16790</v>
      </c>
      <c r="S571" s="490">
        <f t="shared" ref="S571:S576" si="1731">+R571*$X$1</f>
        <v>16790</v>
      </c>
      <c r="T571" s="586">
        <f t="shared" si="1702"/>
        <v>16740</v>
      </c>
      <c r="U571" s="490">
        <f t="shared" ref="U571:U576" si="1732">+T571*$X$1</f>
        <v>16740</v>
      </c>
      <c r="V571" s="586">
        <f t="shared" si="1704"/>
        <v>16650</v>
      </c>
      <c r="W571" s="490">
        <f t="shared" ref="W571:W576" si="1733">+V571*$X$1</f>
        <v>16650</v>
      </c>
      <c r="X571" s="131"/>
      <c r="Y571" s="126"/>
      <c r="Z571" s="132"/>
      <c r="AA571" s="133"/>
      <c r="AB571" s="372">
        <v>577</v>
      </c>
    </row>
    <row r="572" spans="1:28" ht="12" customHeight="1" x14ac:dyDescent="0.2">
      <c r="A572" s="4"/>
      <c r="B572" s="691" t="s">
        <v>704</v>
      </c>
      <c r="C572" s="746"/>
      <c r="D572" s="746"/>
      <c r="E572" s="746"/>
      <c r="F572" s="287">
        <f>29.9*X2</f>
        <v>37375</v>
      </c>
      <c r="G572" s="287">
        <f>+F572*$X$1</f>
        <v>37375</v>
      </c>
      <c r="H572" s="97">
        <f>F572+5000</f>
        <v>42375</v>
      </c>
      <c r="I572" s="287">
        <f t="shared" ref="I572:I575" si="1734">+H572*$X$1</f>
        <v>42375</v>
      </c>
      <c r="J572" s="97">
        <f>F572+1000</f>
        <v>38375</v>
      </c>
      <c r="K572" s="287">
        <f t="shared" ref="K572:K575" si="1735">+J572*$X$1</f>
        <v>38375</v>
      </c>
      <c r="L572" s="97">
        <f t="shared" si="1727"/>
        <v>38175</v>
      </c>
      <c r="M572" s="287">
        <f t="shared" si="1728"/>
        <v>38175</v>
      </c>
      <c r="N572" s="97">
        <f t="shared" si="1718"/>
        <v>38075</v>
      </c>
      <c r="O572" s="287">
        <f t="shared" si="1729"/>
        <v>38075</v>
      </c>
      <c r="P572" s="97">
        <f t="shared" si="1720"/>
        <v>37975</v>
      </c>
      <c r="Q572" s="287">
        <f t="shared" si="1730"/>
        <v>37975</v>
      </c>
      <c r="R572" s="97">
        <f t="shared" si="1700"/>
        <v>37875</v>
      </c>
      <c r="S572" s="287">
        <f t="shared" si="1731"/>
        <v>37875</v>
      </c>
      <c r="T572" s="97">
        <f t="shared" si="1702"/>
        <v>37825</v>
      </c>
      <c r="U572" s="287">
        <f t="shared" si="1732"/>
        <v>37825</v>
      </c>
      <c r="V572" s="97">
        <f t="shared" si="1704"/>
        <v>37735</v>
      </c>
      <c r="W572" s="287">
        <f t="shared" si="1733"/>
        <v>37735</v>
      </c>
      <c r="X572" s="131"/>
      <c r="Y572" s="126"/>
      <c r="Z572" s="132"/>
      <c r="AA572" s="133"/>
      <c r="AB572" s="372">
        <v>580</v>
      </c>
    </row>
    <row r="573" spans="1:28" ht="12" customHeight="1" x14ac:dyDescent="0.2">
      <c r="A573" s="4"/>
      <c r="B573" s="629" t="s">
        <v>703</v>
      </c>
      <c r="C573" s="630"/>
      <c r="D573" s="630"/>
      <c r="E573" s="630"/>
      <c r="F573" s="300">
        <f>25.6*X2</f>
        <v>32000</v>
      </c>
      <c r="G573" s="271">
        <f>+F573*$X$1</f>
        <v>32000</v>
      </c>
      <c r="H573" s="96">
        <f>F573+5000</f>
        <v>37000</v>
      </c>
      <c r="I573" s="298">
        <f t="shared" si="1734"/>
        <v>37000</v>
      </c>
      <c r="J573" s="96">
        <f>F573+1000</f>
        <v>33000</v>
      </c>
      <c r="K573" s="298">
        <f t="shared" si="1735"/>
        <v>33000</v>
      </c>
      <c r="L573" s="96">
        <f t="shared" si="1727"/>
        <v>32800</v>
      </c>
      <c r="M573" s="298">
        <f t="shared" si="1728"/>
        <v>32800</v>
      </c>
      <c r="N573" s="96">
        <f t="shared" si="1718"/>
        <v>32700</v>
      </c>
      <c r="O573" s="298">
        <f t="shared" si="1729"/>
        <v>32700</v>
      </c>
      <c r="P573" s="96">
        <f t="shared" si="1720"/>
        <v>32600</v>
      </c>
      <c r="Q573" s="298">
        <f t="shared" si="1730"/>
        <v>32600</v>
      </c>
      <c r="R573" s="96">
        <f t="shared" si="1700"/>
        <v>32500</v>
      </c>
      <c r="S573" s="298">
        <f t="shared" si="1731"/>
        <v>32500</v>
      </c>
      <c r="T573" s="96">
        <f t="shared" si="1702"/>
        <v>32450</v>
      </c>
      <c r="U573" s="298">
        <f t="shared" si="1732"/>
        <v>32450</v>
      </c>
      <c r="V573" s="96">
        <f t="shared" si="1704"/>
        <v>32360</v>
      </c>
      <c r="W573" s="298">
        <f t="shared" si="1733"/>
        <v>32360</v>
      </c>
      <c r="X573" s="131"/>
      <c r="Y573" s="126"/>
      <c r="Z573" s="132"/>
      <c r="AA573" s="133"/>
      <c r="AB573" s="372">
        <v>582</v>
      </c>
    </row>
    <row r="574" spans="1:28" ht="12" customHeight="1" x14ac:dyDescent="0.2">
      <c r="A574" s="4"/>
      <c r="B574" s="691" t="s">
        <v>702</v>
      </c>
      <c r="C574" s="746"/>
      <c r="D574" s="746"/>
      <c r="E574" s="746"/>
      <c r="F574" s="287">
        <v>49980</v>
      </c>
      <c r="G574" s="287">
        <f>+F574*$X$1</f>
        <v>49980</v>
      </c>
      <c r="H574" s="97">
        <f>F574+5000</f>
        <v>54980</v>
      </c>
      <c r="I574" s="287">
        <f t="shared" si="1734"/>
        <v>54980</v>
      </c>
      <c r="J574" s="97">
        <f>F574+1000</f>
        <v>50980</v>
      </c>
      <c r="K574" s="287">
        <f t="shared" si="1735"/>
        <v>50980</v>
      </c>
      <c r="L574" s="97">
        <f t="shared" si="1727"/>
        <v>50780</v>
      </c>
      <c r="M574" s="287">
        <f t="shared" si="1728"/>
        <v>50780</v>
      </c>
      <c r="N574" s="97">
        <f t="shared" si="1718"/>
        <v>50680</v>
      </c>
      <c r="O574" s="287">
        <f t="shared" si="1729"/>
        <v>50680</v>
      </c>
      <c r="P574" s="97">
        <f t="shared" si="1720"/>
        <v>50580</v>
      </c>
      <c r="Q574" s="287">
        <f t="shared" si="1730"/>
        <v>50580</v>
      </c>
      <c r="R574" s="97">
        <f t="shared" si="1700"/>
        <v>50480</v>
      </c>
      <c r="S574" s="287">
        <f t="shared" si="1731"/>
        <v>50480</v>
      </c>
      <c r="T574" s="97">
        <f t="shared" si="1702"/>
        <v>50430</v>
      </c>
      <c r="U574" s="287">
        <f t="shared" si="1732"/>
        <v>50430</v>
      </c>
      <c r="V574" s="97">
        <f t="shared" si="1704"/>
        <v>50340</v>
      </c>
      <c r="W574" s="287">
        <f t="shared" si="1733"/>
        <v>50340</v>
      </c>
      <c r="X574" s="131"/>
      <c r="Y574" s="126"/>
      <c r="Z574" s="132"/>
      <c r="AA574" s="133"/>
      <c r="AB574" s="372">
        <v>584</v>
      </c>
    </row>
    <row r="575" spans="1:28" ht="12" customHeight="1" x14ac:dyDescent="0.2">
      <c r="A575" s="4"/>
      <c r="B575" s="851" t="s">
        <v>752</v>
      </c>
      <c r="C575" s="1011"/>
      <c r="D575" s="1011"/>
      <c r="E575" s="1012"/>
      <c r="F575" s="300">
        <f>29.9*X2</f>
        <v>37375</v>
      </c>
      <c r="G575" s="271">
        <f>+F575*$X$1</f>
        <v>37375</v>
      </c>
      <c r="H575" s="96">
        <f>F575+5000</f>
        <v>42375</v>
      </c>
      <c r="I575" s="298">
        <f t="shared" si="1734"/>
        <v>42375</v>
      </c>
      <c r="J575" s="96">
        <f>F575+1000</f>
        <v>38375</v>
      </c>
      <c r="K575" s="298">
        <f t="shared" si="1735"/>
        <v>38375</v>
      </c>
      <c r="L575" s="96">
        <f t="shared" si="1727"/>
        <v>38175</v>
      </c>
      <c r="M575" s="298">
        <f t="shared" si="1728"/>
        <v>38175</v>
      </c>
      <c r="N575" s="96">
        <f t="shared" si="1718"/>
        <v>38075</v>
      </c>
      <c r="O575" s="298">
        <f t="shared" si="1729"/>
        <v>38075</v>
      </c>
      <c r="P575" s="96">
        <f t="shared" si="1720"/>
        <v>37975</v>
      </c>
      <c r="Q575" s="298">
        <f t="shared" si="1730"/>
        <v>37975</v>
      </c>
      <c r="R575" s="96">
        <f t="shared" si="1700"/>
        <v>37875</v>
      </c>
      <c r="S575" s="298">
        <f t="shared" si="1731"/>
        <v>37875</v>
      </c>
      <c r="T575" s="96">
        <f t="shared" si="1702"/>
        <v>37825</v>
      </c>
      <c r="U575" s="298">
        <f t="shared" si="1732"/>
        <v>37825</v>
      </c>
      <c r="V575" s="96">
        <f t="shared" si="1704"/>
        <v>37735</v>
      </c>
      <c r="W575" s="298">
        <f t="shared" si="1733"/>
        <v>37735</v>
      </c>
      <c r="X575" s="131"/>
      <c r="Y575" s="126"/>
      <c r="Z575" s="132"/>
      <c r="AA575" s="133"/>
      <c r="AB575" s="372">
        <v>586</v>
      </c>
    </row>
    <row r="576" spans="1:28" ht="12" customHeight="1" x14ac:dyDescent="0.2">
      <c r="A576" s="4"/>
      <c r="B576" s="716" t="s">
        <v>835</v>
      </c>
      <c r="C576" s="717"/>
      <c r="D576" s="717"/>
      <c r="E576" s="718"/>
      <c r="F576" s="287">
        <v>14490</v>
      </c>
      <c r="G576" s="287">
        <f t="shared" ref="G576" si="1736">+F576*$X$1</f>
        <v>14490</v>
      </c>
      <c r="H576" s="97"/>
      <c r="I576" s="287"/>
      <c r="J576" s="97"/>
      <c r="K576" s="287"/>
      <c r="L576" s="97">
        <f t="shared" si="1727"/>
        <v>15290</v>
      </c>
      <c r="M576" s="287">
        <f t="shared" si="1728"/>
        <v>15290</v>
      </c>
      <c r="N576" s="97">
        <f t="shared" si="1718"/>
        <v>15190</v>
      </c>
      <c r="O576" s="287">
        <f t="shared" si="1729"/>
        <v>15190</v>
      </c>
      <c r="P576" s="97">
        <f t="shared" si="1720"/>
        <v>15090</v>
      </c>
      <c r="Q576" s="287">
        <f t="shared" si="1730"/>
        <v>15090</v>
      </c>
      <c r="R576" s="97">
        <f t="shared" si="1700"/>
        <v>14990</v>
      </c>
      <c r="S576" s="287">
        <f t="shared" si="1731"/>
        <v>14990</v>
      </c>
      <c r="T576" s="97">
        <f t="shared" si="1702"/>
        <v>14940</v>
      </c>
      <c r="U576" s="287">
        <f t="shared" si="1732"/>
        <v>14940</v>
      </c>
      <c r="V576" s="97">
        <f t="shared" si="1704"/>
        <v>14850</v>
      </c>
      <c r="W576" s="287">
        <f t="shared" si="1733"/>
        <v>14850</v>
      </c>
      <c r="X576" s="131"/>
      <c r="Y576" s="126"/>
      <c r="Z576" s="132"/>
      <c r="AA576" s="133"/>
      <c r="AB576" s="372">
        <v>590</v>
      </c>
    </row>
    <row r="577" spans="1:28" ht="12" customHeight="1" x14ac:dyDescent="0.2">
      <c r="A577" s="4"/>
      <c r="B577" s="1072" t="s">
        <v>844</v>
      </c>
      <c r="C577" s="1073"/>
      <c r="D577" s="1073"/>
      <c r="E577" s="1074"/>
      <c r="F577" s="591">
        <f>3.8*X2</f>
        <v>4750</v>
      </c>
      <c r="G577" s="491">
        <f>+F577*$X$1</f>
        <v>4750</v>
      </c>
      <c r="H577" s="586">
        <f>F577+5000</f>
        <v>9750</v>
      </c>
      <c r="I577" s="490">
        <f t="shared" ref="I577:I578" si="1737">+H577*$X$1</f>
        <v>9750</v>
      </c>
      <c r="J577" s="586">
        <f t="shared" ref="J577:J583" si="1738">F577+1000</f>
        <v>5750</v>
      </c>
      <c r="K577" s="490">
        <f t="shared" ref="K577:K578" si="1739">+J577*$X$1</f>
        <v>5750</v>
      </c>
      <c r="L577" s="586">
        <f t="shared" si="1727"/>
        <v>5550</v>
      </c>
      <c r="M577" s="490">
        <f t="shared" ref="M577:M579" si="1740">+L577*$X$1</f>
        <v>5550</v>
      </c>
      <c r="N577" s="586">
        <f t="shared" si="1718"/>
        <v>5450</v>
      </c>
      <c r="O577" s="490">
        <f t="shared" ref="O577:O579" si="1741">+N577*$X$1</f>
        <v>5450</v>
      </c>
      <c r="P577" s="586">
        <f t="shared" si="1720"/>
        <v>5350</v>
      </c>
      <c r="Q577" s="490">
        <f t="shared" ref="Q577:Q579" si="1742">+P577*$X$1</f>
        <v>5350</v>
      </c>
      <c r="R577" s="586">
        <f t="shared" si="1700"/>
        <v>5250</v>
      </c>
      <c r="S577" s="490">
        <f t="shared" ref="S577:S579" si="1743">+R577*$X$1</f>
        <v>5250</v>
      </c>
      <c r="T577" s="586">
        <f t="shared" si="1702"/>
        <v>5200</v>
      </c>
      <c r="U577" s="490">
        <f t="shared" ref="U577:U579" si="1744">+T577*$X$1</f>
        <v>5200</v>
      </c>
      <c r="V577" s="586">
        <f t="shared" si="1704"/>
        <v>5110</v>
      </c>
      <c r="W577" s="490">
        <f t="shared" ref="W577:W579" si="1745">+V577*$X$1</f>
        <v>5110</v>
      </c>
      <c r="X577" s="131"/>
      <c r="Y577" s="126"/>
      <c r="Z577" s="132"/>
      <c r="AA577" s="133"/>
      <c r="AB577" s="184">
        <v>593</v>
      </c>
    </row>
    <row r="578" spans="1:28" ht="12" customHeight="1" x14ac:dyDescent="0.2">
      <c r="A578" s="4"/>
      <c r="B578" s="653" t="s">
        <v>954</v>
      </c>
      <c r="C578" s="654"/>
      <c r="D578" s="654"/>
      <c r="E578" s="655"/>
      <c r="F578" s="352">
        <f>18.45*X2</f>
        <v>23062.5</v>
      </c>
      <c r="G578" s="271">
        <f>+F578*$X$1</f>
        <v>23062.5</v>
      </c>
      <c r="H578" s="96">
        <f t="shared" ref="H578" si="1746">F578+5000</f>
        <v>28062.5</v>
      </c>
      <c r="I578" s="298">
        <f t="shared" si="1737"/>
        <v>28062.5</v>
      </c>
      <c r="J578" s="96">
        <f t="shared" si="1738"/>
        <v>24062.5</v>
      </c>
      <c r="K578" s="298">
        <f t="shared" si="1739"/>
        <v>24062.5</v>
      </c>
      <c r="L578" s="96">
        <f t="shared" si="1727"/>
        <v>23862.5</v>
      </c>
      <c r="M578" s="298">
        <f t="shared" si="1740"/>
        <v>23862.5</v>
      </c>
      <c r="N578" s="96">
        <f t="shared" si="1718"/>
        <v>23762.5</v>
      </c>
      <c r="O578" s="298">
        <f t="shared" si="1741"/>
        <v>23762.5</v>
      </c>
      <c r="P578" s="96">
        <f t="shared" si="1720"/>
        <v>23662.5</v>
      </c>
      <c r="Q578" s="298">
        <f t="shared" si="1742"/>
        <v>23662.5</v>
      </c>
      <c r="R578" s="96">
        <f t="shared" si="1700"/>
        <v>23562.5</v>
      </c>
      <c r="S578" s="298">
        <f t="shared" si="1743"/>
        <v>23562.5</v>
      </c>
      <c r="T578" s="96">
        <f t="shared" si="1702"/>
        <v>23512.5</v>
      </c>
      <c r="U578" s="298">
        <f t="shared" si="1744"/>
        <v>23512.5</v>
      </c>
      <c r="V578" s="96">
        <f t="shared" si="1704"/>
        <v>23422.5</v>
      </c>
      <c r="W578" s="298">
        <f t="shared" si="1745"/>
        <v>23422.5</v>
      </c>
      <c r="X578" s="131"/>
      <c r="Y578" s="126"/>
      <c r="Z578" s="132"/>
      <c r="AA578" s="133"/>
      <c r="AB578" s="372">
        <v>598</v>
      </c>
    </row>
    <row r="579" spans="1:28" ht="12" customHeight="1" x14ac:dyDescent="0.2">
      <c r="A579" s="4"/>
      <c r="B579" s="1072" t="s">
        <v>714</v>
      </c>
      <c r="C579" s="1073"/>
      <c r="D579" s="1073"/>
      <c r="E579" s="1074"/>
      <c r="F579" s="591">
        <v>19880</v>
      </c>
      <c r="G579" s="491">
        <f>+F579*$X$1</f>
        <v>19880</v>
      </c>
      <c r="H579" s="586"/>
      <c r="I579" s="490"/>
      <c r="J579" s="586"/>
      <c r="K579" s="490"/>
      <c r="L579" s="586">
        <f t="shared" si="1727"/>
        <v>20680</v>
      </c>
      <c r="M579" s="490">
        <f t="shared" si="1740"/>
        <v>20680</v>
      </c>
      <c r="N579" s="586">
        <f t="shared" si="1718"/>
        <v>20580</v>
      </c>
      <c r="O579" s="490">
        <f t="shared" si="1741"/>
        <v>20580</v>
      </c>
      <c r="P579" s="586">
        <f t="shared" si="1720"/>
        <v>20480</v>
      </c>
      <c r="Q579" s="490">
        <f t="shared" si="1742"/>
        <v>20480</v>
      </c>
      <c r="R579" s="586">
        <f t="shared" si="1700"/>
        <v>20380</v>
      </c>
      <c r="S579" s="490">
        <f t="shared" si="1743"/>
        <v>20380</v>
      </c>
      <c r="T579" s="586">
        <f t="shared" si="1702"/>
        <v>20330</v>
      </c>
      <c r="U579" s="490">
        <f t="shared" si="1744"/>
        <v>20330</v>
      </c>
      <c r="V579" s="586">
        <f t="shared" si="1704"/>
        <v>20240</v>
      </c>
      <c r="W579" s="490">
        <f t="shared" si="1745"/>
        <v>20240</v>
      </c>
      <c r="X579" s="131"/>
      <c r="Y579" s="126"/>
      <c r="Z579" s="132"/>
      <c r="AA579" s="133"/>
      <c r="AB579" s="372">
        <v>599</v>
      </c>
    </row>
    <row r="580" spans="1:28" ht="12" customHeight="1" x14ac:dyDescent="0.2">
      <c r="A580" s="4"/>
      <c r="B580" s="851" t="s">
        <v>701</v>
      </c>
      <c r="C580" s="1011"/>
      <c r="D580" s="1011"/>
      <c r="E580" s="1012"/>
      <c r="F580" s="352">
        <f>21.03*X2</f>
        <v>26287.5</v>
      </c>
      <c r="G580" s="271">
        <f>+F580*$X$1</f>
        <v>26287.5</v>
      </c>
      <c r="H580" s="96">
        <f>F580+5000</f>
        <v>31287.5</v>
      </c>
      <c r="I580" s="298">
        <f t="shared" ref="I580:I583" si="1747">+H580*$X$1</f>
        <v>31287.5</v>
      </c>
      <c r="J580" s="96">
        <f t="shared" si="1738"/>
        <v>27287.5</v>
      </c>
      <c r="K580" s="298">
        <f t="shared" ref="K580:K583" si="1748">+J580*$X$1</f>
        <v>27287.5</v>
      </c>
      <c r="L580" s="96">
        <f t="shared" si="1727"/>
        <v>27087.5</v>
      </c>
      <c r="M580" s="298">
        <f t="shared" ref="M580:M583" si="1749">+L580*$X$1</f>
        <v>27087.5</v>
      </c>
      <c r="N580" s="96">
        <f t="shared" si="1718"/>
        <v>26987.5</v>
      </c>
      <c r="O580" s="298">
        <f t="shared" ref="O580:O583" si="1750">+N580*$X$1</f>
        <v>26987.5</v>
      </c>
      <c r="P580" s="96">
        <f t="shared" si="1720"/>
        <v>26887.5</v>
      </c>
      <c r="Q580" s="298">
        <f t="shared" ref="Q580:Q583" si="1751">+P580*$X$1</f>
        <v>26887.5</v>
      </c>
      <c r="R580" s="96">
        <f t="shared" si="1700"/>
        <v>26787.5</v>
      </c>
      <c r="S580" s="298">
        <f t="shared" ref="S580:S583" si="1752">+R580*$X$1</f>
        <v>26787.5</v>
      </c>
      <c r="T580" s="96">
        <f t="shared" si="1702"/>
        <v>26737.5</v>
      </c>
      <c r="U580" s="298">
        <f t="shared" ref="U580:U583" si="1753">+T580*$X$1</f>
        <v>26737.5</v>
      </c>
      <c r="V580" s="96">
        <f t="shared" si="1704"/>
        <v>26647.5</v>
      </c>
      <c r="W580" s="298">
        <f t="shared" ref="W580:W583" si="1754">+V580*$X$1</f>
        <v>26647.5</v>
      </c>
      <c r="X580" s="131"/>
      <c r="Y580" s="126"/>
      <c r="Z580" s="132"/>
      <c r="AA580" s="133"/>
      <c r="AB580" s="372">
        <v>600</v>
      </c>
    </row>
    <row r="581" spans="1:28" ht="12" customHeight="1" x14ac:dyDescent="0.2">
      <c r="A581" s="4"/>
      <c r="B581" s="716" t="s">
        <v>843</v>
      </c>
      <c r="C581" s="717"/>
      <c r="D581" s="717"/>
      <c r="E581" s="718"/>
      <c r="F581" s="301">
        <f>74.5*X2</f>
        <v>93125</v>
      </c>
      <c r="G581" s="270">
        <f t="shared" ref="G581" si="1755">+F581*$X$1</f>
        <v>93125</v>
      </c>
      <c r="H581" s="97">
        <f>F581+5000</f>
        <v>98125</v>
      </c>
      <c r="I581" s="287">
        <f t="shared" si="1747"/>
        <v>98125</v>
      </c>
      <c r="J581" s="97">
        <f t="shared" si="1738"/>
        <v>94125</v>
      </c>
      <c r="K581" s="287">
        <f t="shared" si="1748"/>
        <v>94125</v>
      </c>
      <c r="L581" s="97">
        <f t="shared" si="1727"/>
        <v>93925</v>
      </c>
      <c r="M581" s="287">
        <f t="shared" si="1749"/>
        <v>93925</v>
      </c>
      <c r="N581" s="97">
        <f t="shared" si="1718"/>
        <v>93825</v>
      </c>
      <c r="O581" s="287">
        <f t="shared" si="1750"/>
        <v>93825</v>
      </c>
      <c r="P581" s="97">
        <f t="shared" si="1720"/>
        <v>93725</v>
      </c>
      <c r="Q581" s="287">
        <f t="shared" si="1751"/>
        <v>93725</v>
      </c>
      <c r="R581" s="97">
        <f t="shared" si="1700"/>
        <v>93625</v>
      </c>
      <c r="S581" s="287">
        <f t="shared" si="1752"/>
        <v>93625</v>
      </c>
      <c r="T581" s="97">
        <f t="shared" si="1702"/>
        <v>93575</v>
      </c>
      <c r="U581" s="287">
        <f t="shared" si="1753"/>
        <v>93575</v>
      </c>
      <c r="V581" s="97">
        <f t="shared" si="1704"/>
        <v>93485</v>
      </c>
      <c r="W581" s="287">
        <f t="shared" si="1754"/>
        <v>93485</v>
      </c>
      <c r="X581" s="131"/>
      <c r="Y581" s="126"/>
      <c r="Z581" s="132"/>
      <c r="AA581" s="133"/>
      <c r="AB581" s="372">
        <v>605</v>
      </c>
    </row>
    <row r="582" spans="1:28" ht="12" customHeight="1" x14ac:dyDescent="0.2">
      <c r="A582" s="4"/>
      <c r="B582" s="851" t="s">
        <v>831</v>
      </c>
      <c r="C582" s="1011"/>
      <c r="D582" s="1011"/>
      <c r="E582" s="1012"/>
      <c r="F582" s="300">
        <f>53.39*X2</f>
        <v>66737.5</v>
      </c>
      <c r="G582" s="271">
        <f>+F582*$X$1</f>
        <v>66737.5</v>
      </c>
      <c r="H582" s="96">
        <f>F582+5000</f>
        <v>71737.5</v>
      </c>
      <c r="I582" s="298">
        <f t="shared" si="1747"/>
        <v>71737.5</v>
      </c>
      <c r="J582" s="96">
        <f t="shared" si="1738"/>
        <v>67737.5</v>
      </c>
      <c r="K582" s="298">
        <f t="shared" si="1748"/>
        <v>67737.5</v>
      </c>
      <c r="L582" s="96">
        <f t="shared" si="1727"/>
        <v>67537.5</v>
      </c>
      <c r="M582" s="298">
        <f t="shared" si="1749"/>
        <v>67537.5</v>
      </c>
      <c r="N582" s="96">
        <f t="shared" si="1718"/>
        <v>67437.5</v>
      </c>
      <c r="O582" s="298">
        <f t="shared" si="1750"/>
        <v>67437.5</v>
      </c>
      <c r="P582" s="96">
        <f t="shared" si="1720"/>
        <v>67337.5</v>
      </c>
      <c r="Q582" s="298">
        <f t="shared" si="1751"/>
        <v>67337.5</v>
      </c>
      <c r="R582" s="96">
        <f t="shared" si="1700"/>
        <v>67237.5</v>
      </c>
      <c r="S582" s="298">
        <f t="shared" si="1752"/>
        <v>67237.5</v>
      </c>
      <c r="T582" s="96">
        <f t="shared" si="1702"/>
        <v>67187.5</v>
      </c>
      <c r="U582" s="298">
        <f t="shared" si="1753"/>
        <v>67187.5</v>
      </c>
      <c r="V582" s="96">
        <f t="shared" si="1704"/>
        <v>67097.5</v>
      </c>
      <c r="W582" s="298">
        <f t="shared" si="1754"/>
        <v>67097.5</v>
      </c>
      <c r="X582" s="131"/>
      <c r="Y582" s="126"/>
      <c r="Z582" s="132"/>
      <c r="AA582" s="133"/>
      <c r="AB582" s="372">
        <v>608</v>
      </c>
    </row>
    <row r="583" spans="1:28" ht="12" customHeight="1" x14ac:dyDescent="0.2">
      <c r="A583" s="4"/>
      <c r="B583" s="716" t="s">
        <v>706</v>
      </c>
      <c r="C583" s="717"/>
      <c r="D583" s="717"/>
      <c r="E583" s="718"/>
      <c r="F583" s="301">
        <f>43.45*X2</f>
        <v>54312.5</v>
      </c>
      <c r="G583" s="270">
        <f t="shared" ref="G583:G584" si="1756">+F583*$X$1</f>
        <v>54312.5</v>
      </c>
      <c r="H583" s="97">
        <f>F583+5000</f>
        <v>59312.5</v>
      </c>
      <c r="I583" s="287">
        <f t="shared" si="1747"/>
        <v>59312.5</v>
      </c>
      <c r="J583" s="97">
        <f t="shared" si="1738"/>
        <v>55312.5</v>
      </c>
      <c r="K583" s="287">
        <f t="shared" si="1748"/>
        <v>55312.5</v>
      </c>
      <c r="L583" s="97">
        <f t="shared" si="1727"/>
        <v>55112.5</v>
      </c>
      <c r="M583" s="287">
        <f t="shared" si="1749"/>
        <v>55112.5</v>
      </c>
      <c r="N583" s="97">
        <f t="shared" si="1718"/>
        <v>55012.5</v>
      </c>
      <c r="O583" s="287">
        <f t="shared" si="1750"/>
        <v>55012.5</v>
      </c>
      <c r="P583" s="97">
        <f t="shared" si="1720"/>
        <v>54912.5</v>
      </c>
      <c r="Q583" s="287">
        <f t="shared" si="1751"/>
        <v>54912.5</v>
      </c>
      <c r="R583" s="97">
        <f t="shared" si="1700"/>
        <v>54812.5</v>
      </c>
      <c r="S583" s="287">
        <f t="shared" si="1752"/>
        <v>54812.5</v>
      </c>
      <c r="T583" s="97">
        <f t="shared" si="1702"/>
        <v>54762.5</v>
      </c>
      <c r="U583" s="287">
        <f t="shared" si="1753"/>
        <v>54762.5</v>
      </c>
      <c r="V583" s="97">
        <f t="shared" si="1704"/>
        <v>54672.5</v>
      </c>
      <c r="W583" s="287">
        <f t="shared" si="1754"/>
        <v>54672.5</v>
      </c>
      <c r="X583" s="131"/>
      <c r="Y583" s="126"/>
      <c r="Z583" s="132"/>
      <c r="AA583" s="133"/>
      <c r="AB583" s="372">
        <v>609</v>
      </c>
    </row>
    <row r="584" spans="1:28" ht="12" customHeight="1" x14ac:dyDescent="0.2">
      <c r="A584" s="4"/>
      <c r="B584" s="851" t="s">
        <v>707</v>
      </c>
      <c r="C584" s="1011"/>
      <c r="D584" s="1011"/>
      <c r="E584" s="1012"/>
      <c r="F584" s="300">
        <f>44.3*X2</f>
        <v>55375</v>
      </c>
      <c r="G584" s="271">
        <f t="shared" si="1756"/>
        <v>55375</v>
      </c>
      <c r="H584" s="96">
        <f t="shared" ref="H584:H620" si="1757">F584+5000</f>
        <v>60375</v>
      </c>
      <c r="I584" s="298">
        <f t="shared" ref="I584:I620" si="1758">+H584*$X$1</f>
        <v>60375</v>
      </c>
      <c r="J584" s="96">
        <f t="shared" ref="J584:J620" si="1759">F584+1000</f>
        <v>56375</v>
      </c>
      <c r="K584" s="298">
        <f t="shared" ref="K584:K620" si="1760">+J584*$X$1</f>
        <v>56375</v>
      </c>
      <c r="L584" s="96">
        <f t="shared" ref="L584:L620" si="1761">F584+800</f>
        <v>56175</v>
      </c>
      <c r="M584" s="298">
        <f t="shared" ref="M584:M620" si="1762">+L584*$X$1</f>
        <v>56175</v>
      </c>
      <c r="N584" s="96">
        <f t="shared" ref="N584:N620" si="1763">F584+700</f>
        <v>56075</v>
      </c>
      <c r="O584" s="298">
        <f t="shared" ref="O584:O620" si="1764">+N584*$X$1</f>
        <v>56075</v>
      </c>
      <c r="P584" s="96">
        <f t="shared" ref="P584:P620" si="1765">F584+600</f>
        <v>55975</v>
      </c>
      <c r="Q584" s="298">
        <f t="shared" ref="Q584:Q620" si="1766">+P584*$X$1</f>
        <v>55975</v>
      </c>
      <c r="R584" s="96">
        <f t="shared" ref="R584:R620" si="1767">F584+500</f>
        <v>55875</v>
      </c>
      <c r="S584" s="298">
        <f t="shared" ref="S584:S620" si="1768">+R584*$X$1</f>
        <v>55875</v>
      </c>
      <c r="T584" s="96">
        <f t="shared" ref="T584:T620" si="1769">F584+450</f>
        <v>55825</v>
      </c>
      <c r="U584" s="298">
        <f t="shared" ref="U584:U620" si="1770">+T584*$X$1</f>
        <v>55825</v>
      </c>
      <c r="V584" s="96">
        <f t="shared" ref="V584:V620" si="1771">F584+360</f>
        <v>55735</v>
      </c>
      <c r="W584" s="298">
        <f t="shared" ref="W584:W620" si="1772">+V584*$X$1</f>
        <v>55735</v>
      </c>
      <c r="X584" s="131"/>
      <c r="Y584" s="126"/>
      <c r="Z584" s="132"/>
      <c r="AA584" s="133"/>
      <c r="AB584" s="372">
        <v>611</v>
      </c>
    </row>
    <row r="585" spans="1:28" ht="12" customHeight="1" x14ac:dyDescent="0.2">
      <c r="A585" s="4"/>
      <c r="B585" s="716" t="s">
        <v>588</v>
      </c>
      <c r="C585" s="717"/>
      <c r="D585" s="717"/>
      <c r="E585" s="718"/>
      <c r="F585" s="354">
        <f>5.6*X2</f>
        <v>7000</v>
      </c>
      <c r="G585" s="270">
        <f t="shared" ref="G585" si="1773">+F585*$X$1</f>
        <v>7000</v>
      </c>
      <c r="H585" s="97">
        <f t="shared" si="1757"/>
        <v>12000</v>
      </c>
      <c r="I585" s="287">
        <f t="shared" si="1758"/>
        <v>12000</v>
      </c>
      <c r="J585" s="97">
        <f t="shared" si="1759"/>
        <v>8000</v>
      </c>
      <c r="K585" s="287">
        <f t="shared" si="1760"/>
        <v>8000</v>
      </c>
      <c r="L585" s="97">
        <f t="shared" si="1761"/>
        <v>7800</v>
      </c>
      <c r="M585" s="287">
        <f t="shared" si="1762"/>
        <v>7800</v>
      </c>
      <c r="N585" s="97">
        <f t="shared" si="1763"/>
        <v>7700</v>
      </c>
      <c r="O585" s="287">
        <f t="shared" si="1764"/>
        <v>7700</v>
      </c>
      <c r="P585" s="97">
        <f t="shared" si="1765"/>
        <v>7600</v>
      </c>
      <c r="Q585" s="287">
        <f t="shared" si="1766"/>
        <v>7600</v>
      </c>
      <c r="R585" s="97">
        <f t="shared" si="1767"/>
        <v>7500</v>
      </c>
      <c r="S585" s="287">
        <f t="shared" si="1768"/>
        <v>7500</v>
      </c>
      <c r="T585" s="97">
        <f t="shared" si="1769"/>
        <v>7450</v>
      </c>
      <c r="U585" s="287">
        <f t="shared" si="1770"/>
        <v>7450</v>
      </c>
      <c r="V585" s="97">
        <f t="shared" si="1771"/>
        <v>7360</v>
      </c>
      <c r="W585" s="287">
        <f t="shared" si="1772"/>
        <v>7360</v>
      </c>
      <c r="X585" s="131"/>
      <c r="Y585" s="126"/>
      <c r="Z585" s="132"/>
      <c r="AA585" s="133"/>
      <c r="AB585" s="184">
        <v>642</v>
      </c>
    </row>
    <row r="586" spans="1:28" ht="12" customHeight="1" x14ac:dyDescent="0.2">
      <c r="A586" s="4"/>
      <c r="B586" s="851" t="s">
        <v>589</v>
      </c>
      <c r="C586" s="1011"/>
      <c r="D586" s="1011"/>
      <c r="E586" s="1012"/>
      <c r="F586" s="353">
        <f>22.9*X2</f>
        <v>28625</v>
      </c>
      <c r="G586" s="271">
        <f t="shared" ref="G586" si="1774">+F586*$X$1</f>
        <v>28625</v>
      </c>
      <c r="H586" s="96">
        <f t="shared" si="1757"/>
        <v>33625</v>
      </c>
      <c r="I586" s="298">
        <f t="shared" si="1758"/>
        <v>33625</v>
      </c>
      <c r="J586" s="96">
        <f t="shared" si="1759"/>
        <v>29625</v>
      </c>
      <c r="K586" s="298">
        <f t="shared" si="1760"/>
        <v>29625</v>
      </c>
      <c r="L586" s="96">
        <f t="shared" si="1761"/>
        <v>29425</v>
      </c>
      <c r="M586" s="298">
        <f t="shared" si="1762"/>
        <v>29425</v>
      </c>
      <c r="N586" s="96">
        <f t="shared" si="1763"/>
        <v>29325</v>
      </c>
      <c r="O586" s="298">
        <f t="shared" si="1764"/>
        <v>29325</v>
      </c>
      <c r="P586" s="96">
        <f t="shared" si="1765"/>
        <v>29225</v>
      </c>
      <c r="Q586" s="298">
        <f t="shared" si="1766"/>
        <v>29225</v>
      </c>
      <c r="R586" s="96">
        <f t="shared" si="1767"/>
        <v>29125</v>
      </c>
      <c r="S586" s="298">
        <f t="shared" si="1768"/>
        <v>29125</v>
      </c>
      <c r="T586" s="96">
        <f t="shared" si="1769"/>
        <v>29075</v>
      </c>
      <c r="U586" s="298">
        <f t="shared" si="1770"/>
        <v>29075</v>
      </c>
      <c r="V586" s="96">
        <f t="shared" si="1771"/>
        <v>28985</v>
      </c>
      <c r="W586" s="298">
        <f t="shared" si="1772"/>
        <v>28985</v>
      </c>
      <c r="X586" s="131"/>
      <c r="Y586" s="126"/>
      <c r="Z586" s="132"/>
      <c r="AA586" s="133"/>
      <c r="AB586" s="184">
        <v>643</v>
      </c>
    </row>
    <row r="587" spans="1:28" ht="12" customHeight="1" x14ac:dyDescent="0.2">
      <c r="A587" s="4"/>
      <c r="B587" s="716" t="s">
        <v>708</v>
      </c>
      <c r="C587" s="717"/>
      <c r="D587" s="717"/>
      <c r="E587" s="718"/>
      <c r="F587" s="351">
        <f>42.34*X2</f>
        <v>52925.000000000007</v>
      </c>
      <c r="G587" s="270">
        <f>+F587*$X$1</f>
        <v>52925.000000000007</v>
      </c>
      <c r="H587" s="97">
        <f t="shared" si="1757"/>
        <v>57925.000000000007</v>
      </c>
      <c r="I587" s="287">
        <f t="shared" si="1758"/>
        <v>57925.000000000007</v>
      </c>
      <c r="J587" s="97">
        <f t="shared" si="1759"/>
        <v>53925.000000000007</v>
      </c>
      <c r="K587" s="287">
        <f t="shared" si="1760"/>
        <v>53925.000000000007</v>
      </c>
      <c r="L587" s="97">
        <f t="shared" si="1761"/>
        <v>53725.000000000007</v>
      </c>
      <c r="M587" s="287">
        <f t="shared" si="1762"/>
        <v>53725.000000000007</v>
      </c>
      <c r="N587" s="97">
        <f t="shared" si="1763"/>
        <v>53625.000000000007</v>
      </c>
      <c r="O587" s="287">
        <f t="shared" si="1764"/>
        <v>53625.000000000007</v>
      </c>
      <c r="P587" s="97">
        <f t="shared" si="1765"/>
        <v>53525.000000000007</v>
      </c>
      <c r="Q587" s="287">
        <f t="shared" si="1766"/>
        <v>53525.000000000007</v>
      </c>
      <c r="R587" s="97">
        <f t="shared" si="1767"/>
        <v>53425.000000000007</v>
      </c>
      <c r="S587" s="287">
        <f t="shared" si="1768"/>
        <v>53425.000000000007</v>
      </c>
      <c r="T587" s="97">
        <f t="shared" si="1769"/>
        <v>53375.000000000007</v>
      </c>
      <c r="U587" s="287">
        <f t="shared" si="1770"/>
        <v>53375.000000000007</v>
      </c>
      <c r="V587" s="97">
        <f t="shared" si="1771"/>
        <v>53285.000000000007</v>
      </c>
      <c r="W587" s="287">
        <f t="shared" si="1772"/>
        <v>53285.000000000007</v>
      </c>
      <c r="X587" s="131"/>
      <c r="Y587" s="126"/>
      <c r="Z587" s="132"/>
      <c r="AA587" s="133"/>
      <c r="AB587" s="372">
        <v>657</v>
      </c>
    </row>
    <row r="588" spans="1:28" ht="12" customHeight="1" x14ac:dyDescent="0.2">
      <c r="A588" s="4"/>
      <c r="B588" s="851" t="s">
        <v>709</v>
      </c>
      <c r="C588" s="1011"/>
      <c r="D588" s="1011"/>
      <c r="E588" s="1012"/>
      <c r="F588" s="352">
        <f>36.05*X2</f>
        <v>45062.5</v>
      </c>
      <c r="G588" s="271">
        <f t="shared" ref="G588:G590" si="1775">+F588*$X$1</f>
        <v>45062.5</v>
      </c>
      <c r="H588" s="96">
        <f t="shared" si="1757"/>
        <v>50062.5</v>
      </c>
      <c r="I588" s="298">
        <f t="shared" si="1758"/>
        <v>50062.5</v>
      </c>
      <c r="J588" s="96">
        <f t="shared" si="1759"/>
        <v>46062.5</v>
      </c>
      <c r="K588" s="298">
        <f t="shared" si="1760"/>
        <v>46062.5</v>
      </c>
      <c r="L588" s="96">
        <f t="shared" si="1761"/>
        <v>45862.5</v>
      </c>
      <c r="M588" s="298">
        <f t="shared" si="1762"/>
        <v>45862.5</v>
      </c>
      <c r="N588" s="96">
        <f t="shared" si="1763"/>
        <v>45762.5</v>
      </c>
      <c r="O588" s="298">
        <f t="shared" si="1764"/>
        <v>45762.5</v>
      </c>
      <c r="P588" s="96">
        <f t="shared" si="1765"/>
        <v>45662.5</v>
      </c>
      <c r="Q588" s="298">
        <f t="shared" si="1766"/>
        <v>45662.5</v>
      </c>
      <c r="R588" s="96">
        <f t="shared" si="1767"/>
        <v>45562.5</v>
      </c>
      <c r="S588" s="298">
        <f t="shared" si="1768"/>
        <v>45562.5</v>
      </c>
      <c r="T588" s="96">
        <f t="shared" si="1769"/>
        <v>45512.5</v>
      </c>
      <c r="U588" s="298">
        <f t="shared" si="1770"/>
        <v>45512.5</v>
      </c>
      <c r="V588" s="96">
        <f t="shared" si="1771"/>
        <v>45422.5</v>
      </c>
      <c r="W588" s="298">
        <f t="shared" si="1772"/>
        <v>45422.5</v>
      </c>
      <c r="X588" s="131"/>
      <c r="Y588" s="126"/>
      <c r="Z588" s="132"/>
      <c r="AA588" s="133"/>
      <c r="AB588" s="372">
        <v>658</v>
      </c>
    </row>
    <row r="589" spans="1:28" ht="12" customHeight="1" x14ac:dyDescent="0.2">
      <c r="A589" s="4"/>
      <c r="B589" s="716" t="s">
        <v>710</v>
      </c>
      <c r="C589" s="717"/>
      <c r="D589" s="717"/>
      <c r="E589" s="718"/>
      <c r="F589" s="351">
        <f>28.5*X2</f>
        <v>35625</v>
      </c>
      <c r="G589" s="270">
        <f t="shared" si="1775"/>
        <v>35625</v>
      </c>
      <c r="H589" s="97">
        <f t="shared" si="1757"/>
        <v>40625</v>
      </c>
      <c r="I589" s="287">
        <f t="shared" si="1758"/>
        <v>40625</v>
      </c>
      <c r="J589" s="97">
        <f t="shared" si="1759"/>
        <v>36625</v>
      </c>
      <c r="K589" s="287">
        <f t="shared" si="1760"/>
        <v>36625</v>
      </c>
      <c r="L589" s="97">
        <f t="shared" si="1761"/>
        <v>36425</v>
      </c>
      <c r="M589" s="287">
        <f t="shared" si="1762"/>
        <v>36425</v>
      </c>
      <c r="N589" s="97">
        <f t="shared" si="1763"/>
        <v>36325</v>
      </c>
      <c r="O589" s="287">
        <f t="shared" si="1764"/>
        <v>36325</v>
      </c>
      <c r="P589" s="97">
        <f t="shared" si="1765"/>
        <v>36225</v>
      </c>
      <c r="Q589" s="287">
        <f t="shared" si="1766"/>
        <v>36225</v>
      </c>
      <c r="R589" s="97">
        <f t="shared" si="1767"/>
        <v>36125</v>
      </c>
      <c r="S589" s="287">
        <f t="shared" si="1768"/>
        <v>36125</v>
      </c>
      <c r="T589" s="97">
        <f t="shared" si="1769"/>
        <v>36075</v>
      </c>
      <c r="U589" s="287">
        <f t="shared" si="1770"/>
        <v>36075</v>
      </c>
      <c r="V589" s="97">
        <f t="shared" si="1771"/>
        <v>35985</v>
      </c>
      <c r="W589" s="287">
        <f t="shared" si="1772"/>
        <v>35985</v>
      </c>
      <c r="X589" s="131"/>
      <c r="Y589" s="126"/>
      <c r="Z589" s="132"/>
      <c r="AA589" s="133"/>
      <c r="AB589" s="372">
        <v>659</v>
      </c>
    </row>
    <row r="590" spans="1:28" ht="12" customHeight="1" x14ac:dyDescent="0.2">
      <c r="A590" s="4"/>
      <c r="B590" s="851" t="s">
        <v>711</v>
      </c>
      <c r="C590" s="1011"/>
      <c r="D590" s="1011"/>
      <c r="E590" s="1012"/>
      <c r="F590" s="352">
        <f>12.9*X2</f>
        <v>16125</v>
      </c>
      <c r="G590" s="271">
        <f t="shared" si="1775"/>
        <v>16125</v>
      </c>
      <c r="H590" s="96">
        <f t="shared" si="1757"/>
        <v>21125</v>
      </c>
      <c r="I590" s="298">
        <f t="shared" si="1758"/>
        <v>21125</v>
      </c>
      <c r="J590" s="96">
        <f t="shared" si="1759"/>
        <v>17125</v>
      </c>
      <c r="K590" s="298">
        <f t="shared" si="1760"/>
        <v>17125</v>
      </c>
      <c r="L590" s="96">
        <f t="shared" si="1761"/>
        <v>16925</v>
      </c>
      <c r="M590" s="298">
        <f t="shared" si="1762"/>
        <v>16925</v>
      </c>
      <c r="N590" s="96">
        <f t="shared" si="1763"/>
        <v>16825</v>
      </c>
      <c r="O590" s="298">
        <f t="shared" si="1764"/>
        <v>16825</v>
      </c>
      <c r="P590" s="96">
        <f t="shared" si="1765"/>
        <v>16725</v>
      </c>
      <c r="Q590" s="298">
        <f t="shared" si="1766"/>
        <v>16725</v>
      </c>
      <c r="R590" s="96">
        <f t="shared" si="1767"/>
        <v>16625</v>
      </c>
      <c r="S590" s="298">
        <f t="shared" si="1768"/>
        <v>16625</v>
      </c>
      <c r="T590" s="96">
        <f t="shared" si="1769"/>
        <v>16575</v>
      </c>
      <c r="U590" s="298">
        <f t="shared" si="1770"/>
        <v>16575</v>
      </c>
      <c r="V590" s="96">
        <f t="shared" si="1771"/>
        <v>16485</v>
      </c>
      <c r="W590" s="298">
        <f t="shared" si="1772"/>
        <v>16485</v>
      </c>
      <c r="X590" s="131"/>
      <c r="Y590" s="126"/>
      <c r="Z590" s="132"/>
      <c r="AA590" s="133"/>
      <c r="AB590" s="372">
        <v>660</v>
      </c>
    </row>
    <row r="591" spans="1:28" ht="12" customHeight="1" x14ac:dyDescent="0.2">
      <c r="A591" s="4"/>
      <c r="B591" s="716" t="s">
        <v>733</v>
      </c>
      <c r="C591" s="717"/>
      <c r="D591" s="717"/>
      <c r="E591" s="718"/>
      <c r="F591" s="351">
        <f>18.4*X2</f>
        <v>23000</v>
      </c>
      <c r="G591" s="270">
        <f t="shared" ref="G591:G597" si="1776">+F591*$X$1</f>
        <v>23000</v>
      </c>
      <c r="H591" s="97">
        <f t="shared" si="1757"/>
        <v>28000</v>
      </c>
      <c r="I591" s="287">
        <f t="shared" si="1758"/>
        <v>28000</v>
      </c>
      <c r="J591" s="97">
        <f t="shared" si="1759"/>
        <v>24000</v>
      </c>
      <c r="K591" s="287">
        <f t="shared" si="1760"/>
        <v>24000</v>
      </c>
      <c r="L591" s="97">
        <f t="shared" si="1761"/>
        <v>23800</v>
      </c>
      <c r="M591" s="287">
        <f t="shared" si="1762"/>
        <v>23800</v>
      </c>
      <c r="N591" s="97">
        <f t="shared" si="1763"/>
        <v>23700</v>
      </c>
      <c r="O591" s="287">
        <f t="shared" si="1764"/>
        <v>23700</v>
      </c>
      <c r="P591" s="97">
        <f t="shared" si="1765"/>
        <v>23600</v>
      </c>
      <c r="Q591" s="287">
        <f t="shared" si="1766"/>
        <v>23600</v>
      </c>
      <c r="R591" s="97">
        <f t="shared" si="1767"/>
        <v>23500</v>
      </c>
      <c r="S591" s="287">
        <f t="shared" si="1768"/>
        <v>23500</v>
      </c>
      <c r="T591" s="97">
        <f t="shared" si="1769"/>
        <v>23450</v>
      </c>
      <c r="U591" s="287">
        <f t="shared" si="1770"/>
        <v>23450</v>
      </c>
      <c r="V591" s="97">
        <f t="shared" si="1771"/>
        <v>23360</v>
      </c>
      <c r="W591" s="287">
        <f t="shared" si="1772"/>
        <v>23360</v>
      </c>
      <c r="X591" s="131"/>
      <c r="Y591" s="126"/>
      <c r="Z591" s="132"/>
      <c r="AA591" s="133"/>
      <c r="AB591" s="372">
        <v>667</v>
      </c>
    </row>
    <row r="592" spans="1:28" ht="12" customHeight="1" x14ac:dyDescent="0.2">
      <c r="A592" s="4"/>
      <c r="B592" s="851" t="s">
        <v>732</v>
      </c>
      <c r="C592" s="1011"/>
      <c r="D592" s="1011"/>
      <c r="E592" s="1012"/>
      <c r="F592" s="352">
        <f>15*X2</f>
        <v>18750</v>
      </c>
      <c r="G592" s="271">
        <f t="shared" ref="G592:G594" si="1777">+F592*$X$1</f>
        <v>18750</v>
      </c>
      <c r="H592" s="96">
        <f t="shared" si="1757"/>
        <v>23750</v>
      </c>
      <c r="I592" s="298">
        <f t="shared" si="1758"/>
        <v>23750</v>
      </c>
      <c r="J592" s="96">
        <f t="shared" si="1759"/>
        <v>19750</v>
      </c>
      <c r="K592" s="298">
        <f t="shared" si="1760"/>
        <v>19750</v>
      </c>
      <c r="L592" s="96">
        <f t="shared" si="1761"/>
        <v>19550</v>
      </c>
      <c r="M592" s="298">
        <f t="shared" si="1762"/>
        <v>19550</v>
      </c>
      <c r="N592" s="96">
        <f t="shared" si="1763"/>
        <v>19450</v>
      </c>
      <c r="O592" s="298">
        <f t="shared" si="1764"/>
        <v>19450</v>
      </c>
      <c r="P592" s="96">
        <f t="shared" si="1765"/>
        <v>19350</v>
      </c>
      <c r="Q592" s="298">
        <f t="shared" si="1766"/>
        <v>19350</v>
      </c>
      <c r="R592" s="96">
        <f t="shared" si="1767"/>
        <v>19250</v>
      </c>
      <c r="S592" s="298">
        <f t="shared" si="1768"/>
        <v>19250</v>
      </c>
      <c r="T592" s="96">
        <f t="shared" si="1769"/>
        <v>19200</v>
      </c>
      <c r="U592" s="298">
        <f t="shared" si="1770"/>
        <v>19200</v>
      </c>
      <c r="V592" s="96">
        <f t="shared" si="1771"/>
        <v>19110</v>
      </c>
      <c r="W592" s="298">
        <f t="shared" si="1772"/>
        <v>19110</v>
      </c>
      <c r="X592" s="131"/>
      <c r="Y592" s="126"/>
      <c r="Z592" s="132"/>
      <c r="AA592" s="133"/>
      <c r="AB592" s="372">
        <v>668</v>
      </c>
    </row>
    <row r="593" spans="1:28" ht="12" customHeight="1" x14ac:dyDescent="0.2">
      <c r="A593" s="4"/>
      <c r="B593" s="716" t="s">
        <v>800</v>
      </c>
      <c r="C593" s="717"/>
      <c r="D593" s="717"/>
      <c r="E593" s="718"/>
      <c r="F593" s="351">
        <f>15.28*X2</f>
        <v>19100</v>
      </c>
      <c r="G593" s="270">
        <f t="shared" si="1777"/>
        <v>19100</v>
      </c>
      <c r="H593" s="97">
        <f t="shared" si="1757"/>
        <v>24100</v>
      </c>
      <c r="I593" s="287">
        <f t="shared" si="1758"/>
        <v>24100</v>
      </c>
      <c r="J593" s="97">
        <f t="shared" si="1759"/>
        <v>20100</v>
      </c>
      <c r="K593" s="287">
        <f t="shared" si="1760"/>
        <v>20100</v>
      </c>
      <c r="L593" s="97">
        <f t="shared" si="1761"/>
        <v>19900</v>
      </c>
      <c r="M593" s="287">
        <f t="shared" si="1762"/>
        <v>19900</v>
      </c>
      <c r="N593" s="97">
        <f t="shared" si="1763"/>
        <v>19800</v>
      </c>
      <c r="O593" s="287">
        <f t="shared" si="1764"/>
        <v>19800</v>
      </c>
      <c r="P593" s="97">
        <f t="shared" si="1765"/>
        <v>19700</v>
      </c>
      <c r="Q593" s="287">
        <f t="shared" si="1766"/>
        <v>19700</v>
      </c>
      <c r="R593" s="97">
        <f t="shared" si="1767"/>
        <v>19600</v>
      </c>
      <c r="S593" s="287">
        <f t="shared" si="1768"/>
        <v>19600</v>
      </c>
      <c r="T593" s="97">
        <f t="shared" si="1769"/>
        <v>19550</v>
      </c>
      <c r="U593" s="287">
        <f t="shared" si="1770"/>
        <v>19550</v>
      </c>
      <c r="V593" s="97">
        <f t="shared" si="1771"/>
        <v>19460</v>
      </c>
      <c r="W593" s="287">
        <f t="shared" si="1772"/>
        <v>19460</v>
      </c>
      <c r="X593" s="131"/>
      <c r="Y593" s="126"/>
      <c r="Z593" s="132"/>
      <c r="AA593" s="133"/>
      <c r="AB593" s="184">
        <v>675</v>
      </c>
    </row>
    <row r="594" spans="1:28" ht="12" customHeight="1" x14ac:dyDescent="0.2">
      <c r="A594" s="4"/>
      <c r="B594" s="1072" t="s">
        <v>841</v>
      </c>
      <c r="C594" s="1073"/>
      <c r="D594" s="1073"/>
      <c r="E594" s="1074"/>
      <c r="F594" s="495">
        <f>10.3*X2</f>
        <v>12875</v>
      </c>
      <c r="G594" s="491">
        <f t="shared" si="1777"/>
        <v>12875</v>
      </c>
      <c r="H594" s="586">
        <f t="shared" si="1757"/>
        <v>17875</v>
      </c>
      <c r="I594" s="490">
        <f t="shared" si="1758"/>
        <v>17875</v>
      </c>
      <c r="J594" s="586">
        <f t="shared" si="1759"/>
        <v>13875</v>
      </c>
      <c r="K594" s="490">
        <f t="shared" si="1760"/>
        <v>13875</v>
      </c>
      <c r="L594" s="586">
        <f t="shared" si="1761"/>
        <v>13675</v>
      </c>
      <c r="M594" s="490">
        <f t="shared" si="1762"/>
        <v>13675</v>
      </c>
      <c r="N594" s="586">
        <f t="shared" si="1763"/>
        <v>13575</v>
      </c>
      <c r="O594" s="490">
        <f t="shared" si="1764"/>
        <v>13575</v>
      </c>
      <c r="P594" s="586">
        <f t="shared" si="1765"/>
        <v>13475</v>
      </c>
      <c r="Q594" s="490">
        <f t="shared" si="1766"/>
        <v>13475</v>
      </c>
      <c r="R594" s="586">
        <f t="shared" si="1767"/>
        <v>13375</v>
      </c>
      <c r="S594" s="490">
        <f t="shared" si="1768"/>
        <v>13375</v>
      </c>
      <c r="T594" s="586">
        <f t="shared" si="1769"/>
        <v>13325</v>
      </c>
      <c r="U594" s="490">
        <f t="shared" si="1770"/>
        <v>13325</v>
      </c>
      <c r="V594" s="586">
        <f t="shared" si="1771"/>
        <v>13235</v>
      </c>
      <c r="W594" s="490">
        <f t="shared" si="1772"/>
        <v>13235</v>
      </c>
      <c r="X594" s="131"/>
      <c r="Y594" s="126"/>
      <c r="Z594" s="132"/>
      <c r="AA594" s="133"/>
      <c r="AB594" s="184">
        <v>682</v>
      </c>
    </row>
    <row r="595" spans="1:28" ht="12" customHeight="1" x14ac:dyDescent="0.2">
      <c r="A595" s="4"/>
      <c r="B595" s="716" t="s">
        <v>495</v>
      </c>
      <c r="C595" s="717"/>
      <c r="D595" s="717"/>
      <c r="E595" s="718"/>
      <c r="F595" s="351">
        <f>10.4*X2</f>
        <v>13000</v>
      </c>
      <c r="G595" s="270">
        <f t="shared" si="1776"/>
        <v>13000</v>
      </c>
      <c r="H595" s="97">
        <f t="shared" si="1757"/>
        <v>18000</v>
      </c>
      <c r="I595" s="287">
        <f t="shared" si="1758"/>
        <v>18000</v>
      </c>
      <c r="J595" s="97">
        <f t="shared" si="1759"/>
        <v>14000</v>
      </c>
      <c r="K595" s="287">
        <f t="shared" si="1760"/>
        <v>14000</v>
      </c>
      <c r="L595" s="97">
        <f t="shared" si="1761"/>
        <v>13800</v>
      </c>
      <c r="M595" s="287">
        <f t="shared" si="1762"/>
        <v>13800</v>
      </c>
      <c r="N595" s="97">
        <f t="shared" si="1763"/>
        <v>13700</v>
      </c>
      <c r="O595" s="287">
        <f t="shared" si="1764"/>
        <v>13700</v>
      </c>
      <c r="P595" s="97">
        <f t="shared" si="1765"/>
        <v>13600</v>
      </c>
      <c r="Q595" s="287">
        <f t="shared" si="1766"/>
        <v>13600</v>
      </c>
      <c r="R595" s="97">
        <f t="shared" si="1767"/>
        <v>13500</v>
      </c>
      <c r="S595" s="287">
        <f t="shared" si="1768"/>
        <v>13500</v>
      </c>
      <c r="T595" s="97">
        <f t="shared" si="1769"/>
        <v>13450</v>
      </c>
      <c r="U595" s="287">
        <f t="shared" si="1770"/>
        <v>13450</v>
      </c>
      <c r="V595" s="97">
        <f t="shared" si="1771"/>
        <v>13360</v>
      </c>
      <c r="W595" s="287">
        <f t="shared" si="1772"/>
        <v>13360</v>
      </c>
      <c r="X595" s="131"/>
      <c r="Y595" s="126"/>
      <c r="Z595" s="132"/>
      <c r="AA595" s="133"/>
      <c r="AB595" s="184">
        <v>686</v>
      </c>
    </row>
    <row r="596" spans="1:28" ht="12" customHeight="1" x14ac:dyDescent="0.2">
      <c r="A596" s="4"/>
      <c r="B596" s="851" t="s">
        <v>535</v>
      </c>
      <c r="C596" s="1011"/>
      <c r="D596" s="1011"/>
      <c r="E596" s="1012"/>
      <c r="F596" s="353">
        <f>32*X2</f>
        <v>40000</v>
      </c>
      <c r="G596" s="271">
        <f t="shared" si="1776"/>
        <v>40000</v>
      </c>
      <c r="H596" s="96">
        <f t="shared" si="1757"/>
        <v>45000</v>
      </c>
      <c r="I596" s="298">
        <f t="shared" si="1758"/>
        <v>45000</v>
      </c>
      <c r="J596" s="96">
        <f t="shared" si="1759"/>
        <v>41000</v>
      </c>
      <c r="K596" s="298">
        <f t="shared" si="1760"/>
        <v>41000</v>
      </c>
      <c r="L596" s="96">
        <f t="shared" si="1761"/>
        <v>40800</v>
      </c>
      <c r="M596" s="298">
        <f t="shared" si="1762"/>
        <v>40800</v>
      </c>
      <c r="N596" s="96">
        <f t="shared" si="1763"/>
        <v>40700</v>
      </c>
      <c r="O596" s="298">
        <f t="shared" si="1764"/>
        <v>40700</v>
      </c>
      <c r="P596" s="96">
        <f t="shared" si="1765"/>
        <v>40600</v>
      </c>
      <c r="Q596" s="298">
        <f t="shared" si="1766"/>
        <v>40600</v>
      </c>
      <c r="R596" s="96">
        <f t="shared" si="1767"/>
        <v>40500</v>
      </c>
      <c r="S596" s="298">
        <f t="shared" si="1768"/>
        <v>40500</v>
      </c>
      <c r="T596" s="96">
        <f t="shared" si="1769"/>
        <v>40450</v>
      </c>
      <c r="U596" s="298">
        <f t="shared" si="1770"/>
        <v>40450</v>
      </c>
      <c r="V596" s="96">
        <f t="shared" si="1771"/>
        <v>40360</v>
      </c>
      <c r="W596" s="298">
        <f t="shared" si="1772"/>
        <v>40360</v>
      </c>
      <c r="X596" s="131"/>
      <c r="Y596" s="126"/>
      <c r="Z596" s="132"/>
      <c r="AA596" s="133"/>
      <c r="AB596" s="372">
        <v>687</v>
      </c>
    </row>
    <row r="597" spans="1:28" ht="12" customHeight="1" x14ac:dyDescent="0.2">
      <c r="A597" s="4"/>
      <c r="B597" s="716" t="s">
        <v>712</v>
      </c>
      <c r="C597" s="717"/>
      <c r="D597" s="717"/>
      <c r="E597" s="718"/>
      <c r="F597" s="354">
        <f>17*X2</f>
        <v>21250</v>
      </c>
      <c r="G597" s="270">
        <f t="shared" si="1776"/>
        <v>21250</v>
      </c>
      <c r="H597" s="97">
        <f t="shared" si="1757"/>
        <v>26250</v>
      </c>
      <c r="I597" s="287">
        <f t="shared" si="1758"/>
        <v>26250</v>
      </c>
      <c r="J597" s="97">
        <f t="shared" si="1759"/>
        <v>22250</v>
      </c>
      <c r="K597" s="287">
        <f t="shared" si="1760"/>
        <v>22250</v>
      </c>
      <c r="L597" s="97">
        <f t="shared" si="1761"/>
        <v>22050</v>
      </c>
      <c r="M597" s="287">
        <f t="shared" si="1762"/>
        <v>22050</v>
      </c>
      <c r="N597" s="97">
        <f t="shared" si="1763"/>
        <v>21950</v>
      </c>
      <c r="O597" s="287">
        <f t="shared" si="1764"/>
        <v>21950</v>
      </c>
      <c r="P597" s="97">
        <f t="shared" si="1765"/>
        <v>21850</v>
      </c>
      <c r="Q597" s="287">
        <f t="shared" si="1766"/>
        <v>21850</v>
      </c>
      <c r="R597" s="97">
        <f t="shared" si="1767"/>
        <v>21750</v>
      </c>
      <c r="S597" s="287">
        <f t="shared" si="1768"/>
        <v>21750</v>
      </c>
      <c r="T597" s="97">
        <f t="shared" si="1769"/>
        <v>21700</v>
      </c>
      <c r="U597" s="287">
        <f t="shared" si="1770"/>
        <v>21700</v>
      </c>
      <c r="V597" s="97">
        <f t="shared" si="1771"/>
        <v>21610</v>
      </c>
      <c r="W597" s="287">
        <f t="shared" si="1772"/>
        <v>21610</v>
      </c>
      <c r="X597" s="131"/>
      <c r="Y597" s="126"/>
      <c r="Z597" s="132"/>
      <c r="AA597" s="133"/>
      <c r="AB597" s="372">
        <v>694</v>
      </c>
    </row>
    <row r="598" spans="1:28" ht="12" customHeight="1" x14ac:dyDescent="0.2">
      <c r="A598" s="4"/>
      <c r="B598" s="851" t="s">
        <v>842</v>
      </c>
      <c r="C598" s="1011"/>
      <c r="D598" s="1011"/>
      <c r="E598" s="1012"/>
      <c r="F598" s="353">
        <f>15*X2</f>
        <v>18750</v>
      </c>
      <c r="G598" s="271">
        <f t="shared" ref="G598" si="1778">+F598*$X$1</f>
        <v>18750</v>
      </c>
      <c r="H598" s="96">
        <f t="shared" si="1757"/>
        <v>23750</v>
      </c>
      <c r="I598" s="298">
        <f t="shared" si="1758"/>
        <v>23750</v>
      </c>
      <c r="J598" s="96">
        <f t="shared" si="1759"/>
        <v>19750</v>
      </c>
      <c r="K598" s="298">
        <f t="shared" si="1760"/>
        <v>19750</v>
      </c>
      <c r="L598" s="96">
        <f t="shared" si="1761"/>
        <v>19550</v>
      </c>
      <c r="M598" s="298">
        <f t="shared" si="1762"/>
        <v>19550</v>
      </c>
      <c r="N598" s="96">
        <f t="shared" si="1763"/>
        <v>19450</v>
      </c>
      <c r="O598" s="298">
        <f t="shared" si="1764"/>
        <v>19450</v>
      </c>
      <c r="P598" s="96">
        <f t="shared" si="1765"/>
        <v>19350</v>
      </c>
      <c r="Q598" s="298">
        <f t="shared" si="1766"/>
        <v>19350</v>
      </c>
      <c r="R598" s="96">
        <f t="shared" si="1767"/>
        <v>19250</v>
      </c>
      <c r="S598" s="298">
        <f t="shared" si="1768"/>
        <v>19250</v>
      </c>
      <c r="T598" s="96">
        <f t="shared" si="1769"/>
        <v>19200</v>
      </c>
      <c r="U598" s="298">
        <f t="shared" si="1770"/>
        <v>19200</v>
      </c>
      <c r="V598" s="96">
        <f t="shared" si="1771"/>
        <v>19110</v>
      </c>
      <c r="W598" s="298">
        <f t="shared" si="1772"/>
        <v>19110</v>
      </c>
      <c r="X598" s="131"/>
      <c r="Y598" s="126"/>
      <c r="Z598" s="132"/>
      <c r="AA598" s="133"/>
      <c r="AB598" s="372">
        <v>696</v>
      </c>
    </row>
    <row r="599" spans="1:28" ht="12" customHeight="1" x14ac:dyDescent="0.2">
      <c r="A599" s="4"/>
      <c r="B599" s="716" t="s">
        <v>713</v>
      </c>
      <c r="C599" s="717"/>
      <c r="D599" s="717"/>
      <c r="E599" s="718"/>
      <c r="F599" s="351">
        <f>37.5*X2</f>
        <v>46875</v>
      </c>
      <c r="G599" s="270">
        <f t="shared" ref="G599" si="1779">+F599*$X$1</f>
        <v>46875</v>
      </c>
      <c r="H599" s="97">
        <f t="shared" si="1757"/>
        <v>51875</v>
      </c>
      <c r="I599" s="287">
        <f t="shared" si="1758"/>
        <v>51875</v>
      </c>
      <c r="J599" s="97">
        <f t="shared" si="1759"/>
        <v>47875</v>
      </c>
      <c r="K599" s="287">
        <f t="shared" si="1760"/>
        <v>47875</v>
      </c>
      <c r="L599" s="97">
        <f t="shared" si="1761"/>
        <v>47675</v>
      </c>
      <c r="M599" s="287">
        <f t="shared" si="1762"/>
        <v>47675</v>
      </c>
      <c r="N599" s="97">
        <f t="shared" si="1763"/>
        <v>47575</v>
      </c>
      <c r="O599" s="287">
        <f t="shared" si="1764"/>
        <v>47575</v>
      </c>
      <c r="P599" s="97">
        <f t="shared" si="1765"/>
        <v>47475</v>
      </c>
      <c r="Q599" s="287">
        <f t="shared" si="1766"/>
        <v>47475</v>
      </c>
      <c r="R599" s="97">
        <f t="shared" si="1767"/>
        <v>47375</v>
      </c>
      <c r="S599" s="287">
        <f t="shared" si="1768"/>
        <v>47375</v>
      </c>
      <c r="T599" s="97">
        <f t="shared" si="1769"/>
        <v>47325</v>
      </c>
      <c r="U599" s="287">
        <f t="shared" si="1770"/>
        <v>47325</v>
      </c>
      <c r="V599" s="97">
        <f t="shared" si="1771"/>
        <v>47235</v>
      </c>
      <c r="W599" s="287">
        <f t="shared" si="1772"/>
        <v>47235</v>
      </c>
      <c r="X599" s="131"/>
      <c r="Y599" s="126"/>
      <c r="Z599" s="132"/>
      <c r="AA599" s="133"/>
      <c r="AB599" s="372">
        <v>698</v>
      </c>
    </row>
    <row r="600" spans="1:28" ht="12" customHeight="1" x14ac:dyDescent="0.2">
      <c r="A600" s="4"/>
      <c r="B600" s="653" t="s">
        <v>951</v>
      </c>
      <c r="C600" s="654"/>
      <c r="D600" s="654"/>
      <c r="E600" s="655"/>
      <c r="F600" s="352">
        <f>48*X2</f>
        <v>60000</v>
      </c>
      <c r="G600" s="271">
        <f>+F600*$X$1</f>
        <v>60000</v>
      </c>
      <c r="H600" s="96">
        <f>F600+7000</f>
        <v>67000</v>
      </c>
      <c r="I600" s="298">
        <f t="shared" ref="I600" si="1780">+H600*$X$1</f>
        <v>67000</v>
      </c>
      <c r="J600" s="96">
        <f>F600+3000</f>
        <v>63000</v>
      </c>
      <c r="K600" s="298">
        <f t="shared" ref="K600" si="1781">+J600*$X$1</f>
        <v>63000</v>
      </c>
      <c r="L600" s="96">
        <f>F600+2400</f>
        <v>62400</v>
      </c>
      <c r="M600" s="298">
        <f t="shared" ref="M600" si="1782">+L600*$X$1</f>
        <v>62400</v>
      </c>
      <c r="N600" s="96">
        <f>F600+2100</f>
        <v>62100</v>
      </c>
      <c r="O600" s="298">
        <f t="shared" ref="O600" si="1783">+N600*$X$1</f>
        <v>62100</v>
      </c>
      <c r="P600" s="96">
        <f>F600+1800</f>
        <v>61800</v>
      </c>
      <c r="Q600" s="298">
        <f t="shared" ref="Q600" si="1784">+P600*$X$1</f>
        <v>61800</v>
      </c>
      <c r="R600" s="96">
        <f>F600+1500</f>
        <v>61500</v>
      </c>
      <c r="S600" s="298">
        <f t="shared" ref="S600" si="1785">+R600*$X$1</f>
        <v>61500</v>
      </c>
      <c r="T600" s="96">
        <f>F600+1350</f>
        <v>61350</v>
      </c>
      <c r="U600" s="298">
        <f t="shared" ref="U600" si="1786">+T600*$X$1</f>
        <v>61350</v>
      </c>
      <c r="V600" s="96">
        <f>F600+1100</f>
        <v>61100</v>
      </c>
      <c r="W600" s="298">
        <f t="shared" ref="W600" si="1787">+V600*$X$1</f>
        <v>61100</v>
      </c>
      <c r="X600" s="131"/>
      <c r="Y600" s="126"/>
      <c r="Z600" s="132"/>
      <c r="AA600" s="133"/>
      <c r="AB600" s="372">
        <v>702</v>
      </c>
    </row>
    <row r="601" spans="1:28" ht="12" customHeight="1" x14ac:dyDescent="0.2">
      <c r="A601" s="4"/>
      <c r="B601" s="653" t="s">
        <v>909</v>
      </c>
      <c r="C601" s="654"/>
      <c r="D601" s="654"/>
      <c r="E601" s="655"/>
      <c r="F601" s="351">
        <f>27.5*X2</f>
        <v>34375</v>
      </c>
      <c r="G601" s="270">
        <f>+F601*$X$1</f>
        <v>34375</v>
      </c>
      <c r="H601" s="97">
        <f t="shared" si="1757"/>
        <v>39375</v>
      </c>
      <c r="I601" s="287">
        <f t="shared" si="1758"/>
        <v>39375</v>
      </c>
      <c r="J601" s="97">
        <f t="shared" si="1759"/>
        <v>35375</v>
      </c>
      <c r="K601" s="287">
        <f t="shared" si="1760"/>
        <v>35375</v>
      </c>
      <c r="L601" s="97">
        <f t="shared" si="1761"/>
        <v>35175</v>
      </c>
      <c r="M601" s="287">
        <f t="shared" si="1762"/>
        <v>35175</v>
      </c>
      <c r="N601" s="97">
        <f t="shared" si="1763"/>
        <v>35075</v>
      </c>
      <c r="O601" s="287">
        <f t="shared" si="1764"/>
        <v>35075</v>
      </c>
      <c r="P601" s="97">
        <f t="shared" si="1765"/>
        <v>34975</v>
      </c>
      <c r="Q601" s="287">
        <f t="shared" si="1766"/>
        <v>34975</v>
      </c>
      <c r="R601" s="97">
        <f t="shared" si="1767"/>
        <v>34875</v>
      </c>
      <c r="S601" s="287">
        <f t="shared" si="1768"/>
        <v>34875</v>
      </c>
      <c r="T601" s="97">
        <f t="shared" si="1769"/>
        <v>34825</v>
      </c>
      <c r="U601" s="287">
        <f t="shared" si="1770"/>
        <v>34825</v>
      </c>
      <c r="V601" s="97">
        <f t="shared" si="1771"/>
        <v>34735</v>
      </c>
      <c r="W601" s="287">
        <f t="shared" si="1772"/>
        <v>34735</v>
      </c>
      <c r="X601" s="131"/>
      <c r="Y601" s="126"/>
      <c r="Z601" s="132"/>
      <c r="AA601" s="133"/>
      <c r="AB601" s="372">
        <v>703</v>
      </c>
    </row>
    <row r="602" spans="1:28" ht="12" customHeight="1" x14ac:dyDescent="0.2">
      <c r="A602" s="4"/>
      <c r="B602" s="1072" t="s">
        <v>891</v>
      </c>
      <c r="C602" s="1073"/>
      <c r="D602" s="1073"/>
      <c r="E602" s="1074"/>
      <c r="F602" s="495">
        <f>24.3*X2</f>
        <v>30375</v>
      </c>
      <c r="G602" s="491">
        <f>+F602*$X$1</f>
        <v>30375</v>
      </c>
      <c r="H602" s="586">
        <f t="shared" si="1757"/>
        <v>35375</v>
      </c>
      <c r="I602" s="490">
        <f t="shared" si="1758"/>
        <v>35375</v>
      </c>
      <c r="J602" s="586">
        <f t="shared" si="1759"/>
        <v>31375</v>
      </c>
      <c r="K602" s="490">
        <f t="shared" si="1760"/>
        <v>31375</v>
      </c>
      <c r="L602" s="586">
        <f t="shared" si="1761"/>
        <v>31175</v>
      </c>
      <c r="M602" s="490">
        <f t="shared" si="1762"/>
        <v>31175</v>
      </c>
      <c r="N602" s="586">
        <f t="shared" si="1763"/>
        <v>31075</v>
      </c>
      <c r="O602" s="490">
        <f t="shared" si="1764"/>
        <v>31075</v>
      </c>
      <c r="P602" s="586">
        <f t="shared" si="1765"/>
        <v>30975</v>
      </c>
      <c r="Q602" s="490">
        <f t="shared" si="1766"/>
        <v>30975</v>
      </c>
      <c r="R602" s="586">
        <f t="shared" si="1767"/>
        <v>30875</v>
      </c>
      <c r="S602" s="490">
        <f t="shared" si="1768"/>
        <v>30875</v>
      </c>
      <c r="T602" s="586">
        <f t="shared" si="1769"/>
        <v>30825</v>
      </c>
      <c r="U602" s="490">
        <f t="shared" si="1770"/>
        <v>30825</v>
      </c>
      <c r="V602" s="586">
        <f t="shared" si="1771"/>
        <v>30735</v>
      </c>
      <c r="W602" s="490">
        <f t="shared" si="1772"/>
        <v>30735</v>
      </c>
      <c r="X602" s="131"/>
      <c r="Y602" s="126"/>
      <c r="Z602" s="132"/>
      <c r="AA602" s="133"/>
      <c r="AB602" s="372">
        <v>704</v>
      </c>
    </row>
    <row r="603" spans="1:28" ht="12" customHeight="1" x14ac:dyDescent="0.2">
      <c r="A603" s="4"/>
      <c r="B603" s="653" t="s">
        <v>845</v>
      </c>
      <c r="C603" s="654"/>
      <c r="D603" s="654"/>
      <c r="E603" s="655"/>
      <c r="F603" s="351">
        <f>28.1*X2</f>
        <v>35125</v>
      </c>
      <c r="G603" s="270">
        <f>+F603*$X$1</f>
        <v>35125</v>
      </c>
      <c r="H603" s="97">
        <f t="shared" si="1757"/>
        <v>40125</v>
      </c>
      <c r="I603" s="287">
        <f t="shared" si="1758"/>
        <v>40125</v>
      </c>
      <c r="J603" s="97">
        <f t="shared" si="1759"/>
        <v>36125</v>
      </c>
      <c r="K603" s="287">
        <f t="shared" si="1760"/>
        <v>36125</v>
      </c>
      <c r="L603" s="97">
        <f t="shared" si="1761"/>
        <v>35925</v>
      </c>
      <c r="M603" s="287">
        <f t="shared" si="1762"/>
        <v>35925</v>
      </c>
      <c r="N603" s="97">
        <f t="shared" si="1763"/>
        <v>35825</v>
      </c>
      <c r="O603" s="287">
        <f t="shared" si="1764"/>
        <v>35825</v>
      </c>
      <c r="P603" s="97">
        <f t="shared" si="1765"/>
        <v>35725</v>
      </c>
      <c r="Q603" s="287">
        <f t="shared" si="1766"/>
        <v>35725</v>
      </c>
      <c r="R603" s="97">
        <f t="shared" si="1767"/>
        <v>35625</v>
      </c>
      <c r="S603" s="287">
        <f t="shared" si="1768"/>
        <v>35625</v>
      </c>
      <c r="T603" s="97">
        <f t="shared" si="1769"/>
        <v>35575</v>
      </c>
      <c r="U603" s="287">
        <f t="shared" si="1770"/>
        <v>35575</v>
      </c>
      <c r="V603" s="97">
        <f t="shared" si="1771"/>
        <v>35485</v>
      </c>
      <c r="W603" s="287">
        <f t="shared" si="1772"/>
        <v>35485</v>
      </c>
      <c r="X603" s="131"/>
      <c r="Y603" s="126"/>
      <c r="Z603" s="132"/>
      <c r="AA603" s="133"/>
      <c r="AB603" s="372">
        <v>708</v>
      </c>
    </row>
    <row r="604" spans="1:28" ht="12" customHeight="1" x14ac:dyDescent="0.2">
      <c r="A604" s="4"/>
      <c r="B604" s="851" t="s">
        <v>566</v>
      </c>
      <c r="C604" s="1011"/>
      <c r="D604" s="1011"/>
      <c r="E604" s="1012"/>
      <c r="F604" s="352">
        <f>54*X2</f>
        <v>67500</v>
      </c>
      <c r="G604" s="271">
        <f>+F604*$X$1</f>
        <v>67500</v>
      </c>
      <c r="H604" s="96">
        <f t="shared" si="1757"/>
        <v>72500</v>
      </c>
      <c r="I604" s="298">
        <f t="shared" si="1758"/>
        <v>72500</v>
      </c>
      <c r="J604" s="96">
        <f t="shared" si="1759"/>
        <v>68500</v>
      </c>
      <c r="K604" s="298">
        <f t="shared" si="1760"/>
        <v>68500</v>
      </c>
      <c r="L604" s="96">
        <f t="shared" si="1761"/>
        <v>68300</v>
      </c>
      <c r="M604" s="298">
        <f t="shared" si="1762"/>
        <v>68300</v>
      </c>
      <c r="N604" s="96">
        <f t="shared" si="1763"/>
        <v>68200</v>
      </c>
      <c r="O604" s="298">
        <f t="shared" si="1764"/>
        <v>68200</v>
      </c>
      <c r="P604" s="96">
        <f t="shared" si="1765"/>
        <v>68100</v>
      </c>
      <c r="Q604" s="298">
        <f t="shared" si="1766"/>
        <v>68100</v>
      </c>
      <c r="R604" s="96">
        <f t="shared" si="1767"/>
        <v>68000</v>
      </c>
      <c r="S604" s="298">
        <f t="shared" si="1768"/>
        <v>68000</v>
      </c>
      <c r="T604" s="96">
        <f t="shared" si="1769"/>
        <v>67950</v>
      </c>
      <c r="U604" s="298">
        <f t="shared" si="1770"/>
        <v>67950</v>
      </c>
      <c r="V604" s="96">
        <f t="shared" si="1771"/>
        <v>67860</v>
      </c>
      <c r="W604" s="298">
        <f t="shared" si="1772"/>
        <v>67860</v>
      </c>
      <c r="X604" s="131"/>
      <c r="Y604" s="126"/>
      <c r="Z604" s="132"/>
      <c r="AA604" s="133"/>
      <c r="AB604" s="372">
        <v>710</v>
      </c>
    </row>
    <row r="605" spans="1:28" ht="12" customHeight="1" x14ac:dyDescent="0.2">
      <c r="A605" s="4"/>
      <c r="B605" s="716" t="s">
        <v>540</v>
      </c>
      <c r="C605" s="717"/>
      <c r="D605" s="717"/>
      <c r="E605" s="718"/>
      <c r="F605" s="351">
        <f>62.42*X2</f>
        <v>78025</v>
      </c>
      <c r="G605" s="270">
        <f t="shared" ref="G605" si="1788">+F605*$X$1</f>
        <v>78025</v>
      </c>
      <c r="H605" s="97">
        <f t="shared" si="1757"/>
        <v>83025</v>
      </c>
      <c r="I605" s="287">
        <f t="shared" si="1758"/>
        <v>83025</v>
      </c>
      <c r="J605" s="97">
        <f t="shared" si="1759"/>
        <v>79025</v>
      </c>
      <c r="K605" s="287">
        <f t="shared" si="1760"/>
        <v>79025</v>
      </c>
      <c r="L605" s="97">
        <f t="shared" si="1761"/>
        <v>78825</v>
      </c>
      <c r="M605" s="287">
        <f t="shared" si="1762"/>
        <v>78825</v>
      </c>
      <c r="N605" s="97">
        <f t="shared" si="1763"/>
        <v>78725</v>
      </c>
      <c r="O605" s="287">
        <f t="shared" si="1764"/>
        <v>78725</v>
      </c>
      <c r="P605" s="97">
        <f t="shared" si="1765"/>
        <v>78625</v>
      </c>
      <c r="Q605" s="287">
        <f t="shared" si="1766"/>
        <v>78625</v>
      </c>
      <c r="R605" s="97">
        <f t="shared" si="1767"/>
        <v>78525</v>
      </c>
      <c r="S605" s="287">
        <f t="shared" si="1768"/>
        <v>78525</v>
      </c>
      <c r="T605" s="97">
        <f t="shared" si="1769"/>
        <v>78475</v>
      </c>
      <c r="U605" s="287">
        <f t="shared" si="1770"/>
        <v>78475</v>
      </c>
      <c r="V605" s="97">
        <f t="shared" si="1771"/>
        <v>78385</v>
      </c>
      <c r="W605" s="287">
        <f t="shared" si="1772"/>
        <v>78385</v>
      </c>
      <c r="X605" s="131"/>
      <c r="Y605" s="126"/>
      <c r="Z605" s="132"/>
      <c r="AA605" s="133"/>
      <c r="AB605" s="372">
        <v>711</v>
      </c>
    </row>
    <row r="606" spans="1:28" ht="12" customHeight="1" x14ac:dyDescent="0.2">
      <c r="A606" s="4"/>
      <c r="B606" s="851" t="s">
        <v>567</v>
      </c>
      <c r="C606" s="1011"/>
      <c r="D606" s="1011"/>
      <c r="E606" s="1012"/>
      <c r="F606" s="352">
        <f>59.1*X2</f>
        <v>73875</v>
      </c>
      <c r="G606" s="271">
        <f t="shared" ref="G606" si="1789">+F606*$X$1</f>
        <v>73875</v>
      </c>
      <c r="H606" s="96">
        <f t="shared" si="1757"/>
        <v>78875</v>
      </c>
      <c r="I606" s="298">
        <f t="shared" si="1758"/>
        <v>78875</v>
      </c>
      <c r="J606" s="96">
        <f t="shared" si="1759"/>
        <v>74875</v>
      </c>
      <c r="K606" s="298">
        <f t="shared" si="1760"/>
        <v>74875</v>
      </c>
      <c r="L606" s="96">
        <f t="shared" si="1761"/>
        <v>74675</v>
      </c>
      <c r="M606" s="298">
        <f t="shared" si="1762"/>
        <v>74675</v>
      </c>
      <c r="N606" s="96">
        <f t="shared" si="1763"/>
        <v>74575</v>
      </c>
      <c r="O606" s="298">
        <f t="shared" si="1764"/>
        <v>74575</v>
      </c>
      <c r="P606" s="96">
        <f t="shared" si="1765"/>
        <v>74475</v>
      </c>
      <c r="Q606" s="298">
        <f t="shared" si="1766"/>
        <v>74475</v>
      </c>
      <c r="R606" s="96">
        <f t="shared" si="1767"/>
        <v>74375</v>
      </c>
      <c r="S606" s="298">
        <f t="shared" si="1768"/>
        <v>74375</v>
      </c>
      <c r="T606" s="96">
        <f t="shared" si="1769"/>
        <v>74325</v>
      </c>
      <c r="U606" s="298">
        <f t="shared" si="1770"/>
        <v>74325</v>
      </c>
      <c r="V606" s="96">
        <f t="shared" si="1771"/>
        <v>74235</v>
      </c>
      <c r="W606" s="298">
        <f t="shared" si="1772"/>
        <v>74235</v>
      </c>
      <c r="X606" s="131"/>
      <c r="Y606" s="126"/>
      <c r="Z606" s="132"/>
      <c r="AA606" s="133"/>
      <c r="AB606" s="372">
        <v>714</v>
      </c>
    </row>
    <row r="607" spans="1:28" ht="12" customHeight="1" x14ac:dyDescent="0.2">
      <c r="A607" s="4"/>
      <c r="B607" s="1072" t="s">
        <v>698</v>
      </c>
      <c r="C607" s="1073"/>
      <c r="D607" s="1073"/>
      <c r="E607" s="1074"/>
      <c r="F607" s="495">
        <f>13*X2</f>
        <v>16250</v>
      </c>
      <c r="G607" s="491">
        <f t="shared" ref="G607" si="1790">+F607*$X$1</f>
        <v>16250</v>
      </c>
      <c r="H607" s="586">
        <f t="shared" si="1757"/>
        <v>21250</v>
      </c>
      <c r="I607" s="490">
        <f t="shared" si="1758"/>
        <v>21250</v>
      </c>
      <c r="J607" s="586">
        <f t="shared" si="1759"/>
        <v>17250</v>
      </c>
      <c r="K607" s="490">
        <f t="shared" si="1760"/>
        <v>17250</v>
      </c>
      <c r="L607" s="586">
        <f t="shared" si="1761"/>
        <v>17050</v>
      </c>
      <c r="M607" s="490">
        <f t="shared" si="1762"/>
        <v>17050</v>
      </c>
      <c r="N607" s="586">
        <f t="shared" si="1763"/>
        <v>16950</v>
      </c>
      <c r="O607" s="490">
        <f t="shared" si="1764"/>
        <v>16950</v>
      </c>
      <c r="P607" s="586">
        <f t="shared" si="1765"/>
        <v>16850</v>
      </c>
      <c r="Q607" s="490">
        <f t="shared" si="1766"/>
        <v>16850</v>
      </c>
      <c r="R607" s="586">
        <f t="shared" si="1767"/>
        <v>16750</v>
      </c>
      <c r="S607" s="490">
        <f t="shared" si="1768"/>
        <v>16750</v>
      </c>
      <c r="T607" s="586">
        <f t="shared" si="1769"/>
        <v>16700</v>
      </c>
      <c r="U607" s="490">
        <f t="shared" si="1770"/>
        <v>16700</v>
      </c>
      <c r="V607" s="586">
        <f t="shared" si="1771"/>
        <v>16610</v>
      </c>
      <c r="W607" s="490">
        <f t="shared" si="1772"/>
        <v>16610</v>
      </c>
      <c r="X607" s="131"/>
      <c r="Y607" s="126"/>
      <c r="Z607" s="132"/>
      <c r="AA607" s="133"/>
      <c r="AB607" s="372">
        <v>716</v>
      </c>
    </row>
    <row r="608" spans="1:28" ht="12" customHeight="1" x14ac:dyDescent="0.2">
      <c r="A608" s="4"/>
      <c r="B608" s="851" t="s">
        <v>700</v>
      </c>
      <c r="C608" s="1011"/>
      <c r="D608" s="1011"/>
      <c r="E608" s="1012"/>
      <c r="F608" s="352">
        <f>60.15*X2</f>
        <v>75187.5</v>
      </c>
      <c r="G608" s="271">
        <f t="shared" ref="G608" si="1791">+F608*$X$1</f>
        <v>75187.5</v>
      </c>
      <c r="H608" s="96">
        <f t="shared" si="1757"/>
        <v>80187.5</v>
      </c>
      <c r="I608" s="298">
        <f t="shared" si="1758"/>
        <v>80187.5</v>
      </c>
      <c r="J608" s="96">
        <f t="shared" si="1759"/>
        <v>76187.5</v>
      </c>
      <c r="K608" s="298">
        <f t="shared" si="1760"/>
        <v>76187.5</v>
      </c>
      <c r="L608" s="96">
        <f t="shared" si="1761"/>
        <v>75987.5</v>
      </c>
      <c r="M608" s="298">
        <f t="shared" si="1762"/>
        <v>75987.5</v>
      </c>
      <c r="N608" s="96">
        <f t="shared" si="1763"/>
        <v>75887.5</v>
      </c>
      <c r="O608" s="298">
        <f t="shared" si="1764"/>
        <v>75887.5</v>
      </c>
      <c r="P608" s="96">
        <f t="shared" si="1765"/>
        <v>75787.5</v>
      </c>
      <c r="Q608" s="298">
        <f t="shared" si="1766"/>
        <v>75787.5</v>
      </c>
      <c r="R608" s="96">
        <f t="shared" si="1767"/>
        <v>75687.5</v>
      </c>
      <c r="S608" s="298">
        <f t="shared" si="1768"/>
        <v>75687.5</v>
      </c>
      <c r="T608" s="96">
        <f t="shared" si="1769"/>
        <v>75637.5</v>
      </c>
      <c r="U608" s="298">
        <f t="shared" si="1770"/>
        <v>75637.5</v>
      </c>
      <c r="V608" s="96">
        <f t="shared" si="1771"/>
        <v>75547.5</v>
      </c>
      <c r="W608" s="298">
        <f t="shared" si="1772"/>
        <v>75547.5</v>
      </c>
      <c r="X608" s="131"/>
      <c r="Y608" s="126"/>
      <c r="Z608" s="132"/>
      <c r="AA608" s="133"/>
      <c r="AB608" s="372">
        <v>717</v>
      </c>
    </row>
    <row r="609" spans="1:34" ht="12" customHeight="1" x14ac:dyDescent="0.2">
      <c r="A609" s="4"/>
      <c r="B609" s="653" t="s">
        <v>699</v>
      </c>
      <c r="C609" s="654"/>
      <c r="D609" s="654"/>
      <c r="E609" s="655"/>
      <c r="F609" s="351">
        <f>97.31*X2</f>
        <v>121637.5</v>
      </c>
      <c r="G609" s="270">
        <f t="shared" ref="G609" si="1792">+F609*$X$1</f>
        <v>121637.5</v>
      </c>
      <c r="H609" s="97">
        <f t="shared" si="1757"/>
        <v>126637.5</v>
      </c>
      <c r="I609" s="287">
        <f t="shared" si="1758"/>
        <v>126637.5</v>
      </c>
      <c r="J609" s="97">
        <f t="shared" si="1759"/>
        <v>122637.5</v>
      </c>
      <c r="K609" s="287">
        <f t="shared" si="1760"/>
        <v>122637.5</v>
      </c>
      <c r="L609" s="97">
        <f t="shared" si="1761"/>
        <v>122437.5</v>
      </c>
      <c r="M609" s="287">
        <f t="shared" si="1762"/>
        <v>122437.5</v>
      </c>
      <c r="N609" s="97">
        <f t="shared" si="1763"/>
        <v>122337.5</v>
      </c>
      <c r="O609" s="287">
        <f t="shared" si="1764"/>
        <v>122337.5</v>
      </c>
      <c r="P609" s="97">
        <f t="shared" si="1765"/>
        <v>122237.5</v>
      </c>
      <c r="Q609" s="287">
        <f t="shared" si="1766"/>
        <v>122237.5</v>
      </c>
      <c r="R609" s="97">
        <f t="shared" si="1767"/>
        <v>122137.5</v>
      </c>
      <c r="S609" s="287">
        <f t="shared" si="1768"/>
        <v>122137.5</v>
      </c>
      <c r="T609" s="97">
        <f t="shared" si="1769"/>
        <v>122087.5</v>
      </c>
      <c r="U609" s="287">
        <f t="shared" si="1770"/>
        <v>122087.5</v>
      </c>
      <c r="V609" s="97">
        <f t="shared" si="1771"/>
        <v>121997.5</v>
      </c>
      <c r="W609" s="287">
        <f t="shared" si="1772"/>
        <v>121997.5</v>
      </c>
      <c r="X609" s="131"/>
      <c r="Y609" s="126"/>
      <c r="Z609" s="132"/>
      <c r="AA609" s="133"/>
      <c r="AB609" s="372">
        <v>718</v>
      </c>
    </row>
    <row r="610" spans="1:34" ht="12" customHeight="1" x14ac:dyDescent="0.2">
      <c r="A610" s="4"/>
      <c r="B610" s="1072" t="s">
        <v>802</v>
      </c>
      <c r="C610" s="1073"/>
      <c r="D610" s="1073"/>
      <c r="E610" s="1074"/>
      <c r="F610" s="495">
        <f>22.5*X2</f>
        <v>28125</v>
      </c>
      <c r="G610" s="491">
        <f t="shared" ref="G610" si="1793">+F610*$X$1</f>
        <v>28125</v>
      </c>
      <c r="H610" s="586">
        <f t="shared" si="1757"/>
        <v>33125</v>
      </c>
      <c r="I610" s="490">
        <f t="shared" si="1758"/>
        <v>33125</v>
      </c>
      <c r="J610" s="586">
        <f t="shared" si="1759"/>
        <v>29125</v>
      </c>
      <c r="K610" s="490">
        <f t="shared" si="1760"/>
        <v>29125</v>
      </c>
      <c r="L610" s="586">
        <f t="shared" si="1761"/>
        <v>28925</v>
      </c>
      <c r="M610" s="490">
        <f t="shared" si="1762"/>
        <v>28925</v>
      </c>
      <c r="N610" s="586">
        <f t="shared" si="1763"/>
        <v>28825</v>
      </c>
      <c r="O610" s="490">
        <f t="shared" si="1764"/>
        <v>28825</v>
      </c>
      <c r="P610" s="586">
        <f t="shared" si="1765"/>
        <v>28725</v>
      </c>
      <c r="Q610" s="490">
        <f t="shared" si="1766"/>
        <v>28725</v>
      </c>
      <c r="R610" s="586">
        <f t="shared" si="1767"/>
        <v>28625</v>
      </c>
      <c r="S610" s="490">
        <f t="shared" si="1768"/>
        <v>28625</v>
      </c>
      <c r="T610" s="586">
        <f t="shared" si="1769"/>
        <v>28575</v>
      </c>
      <c r="U610" s="490">
        <f t="shared" si="1770"/>
        <v>28575</v>
      </c>
      <c r="V610" s="586">
        <f t="shared" si="1771"/>
        <v>28485</v>
      </c>
      <c r="W610" s="490">
        <f t="shared" si="1772"/>
        <v>28485</v>
      </c>
      <c r="X610" s="131"/>
      <c r="Y610" s="126"/>
      <c r="Z610" s="132"/>
      <c r="AA610" s="133"/>
      <c r="AB610" s="372">
        <v>719</v>
      </c>
    </row>
    <row r="611" spans="1:34" ht="12" customHeight="1" x14ac:dyDescent="0.2">
      <c r="A611" s="4"/>
      <c r="B611" s="716" t="s">
        <v>697</v>
      </c>
      <c r="C611" s="717"/>
      <c r="D611" s="717"/>
      <c r="E611" s="718"/>
      <c r="F611" s="351">
        <f>14.31*X2</f>
        <v>17887.5</v>
      </c>
      <c r="G611" s="270">
        <f t="shared" ref="G611" si="1794">+F611*$X$1</f>
        <v>17887.5</v>
      </c>
      <c r="H611" s="97">
        <f t="shared" si="1757"/>
        <v>22887.5</v>
      </c>
      <c r="I611" s="287">
        <f t="shared" si="1758"/>
        <v>22887.5</v>
      </c>
      <c r="J611" s="97">
        <f t="shared" si="1759"/>
        <v>18887.5</v>
      </c>
      <c r="K611" s="287">
        <f t="shared" si="1760"/>
        <v>18887.5</v>
      </c>
      <c r="L611" s="97">
        <f t="shared" si="1761"/>
        <v>18687.5</v>
      </c>
      <c r="M611" s="287">
        <f t="shared" si="1762"/>
        <v>18687.5</v>
      </c>
      <c r="N611" s="97">
        <f t="shared" si="1763"/>
        <v>18587.5</v>
      </c>
      <c r="O611" s="287">
        <f t="shared" si="1764"/>
        <v>18587.5</v>
      </c>
      <c r="P611" s="97">
        <f t="shared" si="1765"/>
        <v>18487.5</v>
      </c>
      <c r="Q611" s="287">
        <f t="shared" si="1766"/>
        <v>18487.5</v>
      </c>
      <c r="R611" s="97">
        <f t="shared" si="1767"/>
        <v>18387.5</v>
      </c>
      <c r="S611" s="287">
        <f t="shared" si="1768"/>
        <v>18387.5</v>
      </c>
      <c r="T611" s="97">
        <f t="shared" si="1769"/>
        <v>18337.5</v>
      </c>
      <c r="U611" s="287">
        <f t="shared" si="1770"/>
        <v>18337.5</v>
      </c>
      <c r="V611" s="97">
        <f t="shared" si="1771"/>
        <v>18247.5</v>
      </c>
      <c r="W611" s="287">
        <f t="shared" si="1772"/>
        <v>18247.5</v>
      </c>
      <c r="X611" s="131"/>
      <c r="Y611" s="126"/>
      <c r="Z611" s="132"/>
      <c r="AA611" s="133"/>
      <c r="AB611" s="372">
        <v>720</v>
      </c>
    </row>
    <row r="612" spans="1:34" ht="12" customHeight="1" x14ac:dyDescent="0.2">
      <c r="A612" s="4"/>
      <c r="B612" s="851" t="s">
        <v>696</v>
      </c>
      <c r="C612" s="1011"/>
      <c r="D612" s="1011"/>
      <c r="E612" s="1012"/>
      <c r="F612" s="352">
        <f>40.98*X2</f>
        <v>51224.999999999993</v>
      </c>
      <c r="G612" s="271">
        <f t="shared" ref="G612:G613" si="1795">+F612*$X$1</f>
        <v>51224.999999999993</v>
      </c>
      <c r="H612" s="96">
        <f t="shared" si="1757"/>
        <v>56224.999999999993</v>
      </c>
      <c r="I612" s="298">
        <f t="shared" si="1758"/>
        <v>56224.999999999993</v>
      </c>
      <c r="J612" s="96">
        <f t="shared" si="1759"/>
        <v>52224.999999999993</v>
      </c>
      <c r="K612" s="298">
        <f t="shared" si="1760"/>
        <v>52224.999999999993</v>
      </c>
      <c r="L612" s="96">
        <f t="shared" si="1761"/>
        <v>52024.999999999993</v>
      </c>
      <c r="M612" s="298">
        <f t="shared" si="1762"/>
        <v>52024.999999999993</v>
      </c>
      <c r="N612" s="96">
        <f t="shared" si="1763"/>
        <v>51924.999999999993</v>
      </c>
      <c r="O612" s="298">
        <f t="shared" si="1764"/>
        <v>51924.999999999993</v>
      </c>
      <c r="P612" s="96">
        <f t="shared" si="1765"/>
        <v>51824.999999999993</v>
      </c>
      <c r="Q612" s="298">
        <f t="shared" si="1766"/>
        <v>51824.999999999993</v>
      </c>
      <c r="R612" s="96">
        <f t="shared" si="1767"/>
        <v>51724.999999999993</v>
      </c>
      <c r="S612" s="298">
        <f t="shared" si="1768"/>
        <v>51724.999999999993</v>
      </c>
      <c r="T612" s="96">
        <f t="shared" si="1769"/>
        <v>51674.999999999993</v>
      </c>
      <c r="U612" s="298">
        <f t="shared" si="1770"/>
        <v>51674.999999999993</v>
      </c>
      <c r="V612" s="96">
        <f t="shared" si="1771"/>
        <v>51584.999999999993</v>
      </c>
      <c r="W612" s="298">
        <f t="shared" si="1772"/>
        <v>51584.999999999993</v>
      </c>
      <c r="X612" s="131"/>
      <c r="Y612" s="126"/>
      <c r="Z612" s="132"/>
      <c r="AA612" s="133"/>
      <c r="AB612" s="372">
        <v>721</v>
      </c>
    </row>
    <row r="613" spans="1:34" ht="12" customHeight="1" x14ac:dyDescent="0.2">
      <c r="A613" s="4"/>
      <c r="B613" s="653" t="s">
        <v>998</v>
      </c>
      <c r="C613" s="654"/>
      <c r="D613" s="654"/>
      <c r="E613" s="655"/>
      <c r="F613" s="351">
        <f>14.45*X2</f>
        <v>18062.5</v>
      </c>
      <c r="G613" s="270">
        <f t="shared" si="1795"/>
        <v>18062.5</v>
      </c>
      <c r="H613" s="97">
        <f t="shared" ref="H613" si="1796">F613+5000</f>
        <v>23062.5</v>
      </c>
      <c r="I613" s="287">
        <f t="shared" ref="I613" si="1797">+H613*$X$1</f>
        <v>23062.5</v>
      </c>
      <c r="J613" s="97">
        <f t="shared" ref="J613" si="1798">F613+1000</f>
        <v>19062.5</v>
      </c>
      <c r="K613" s="287">
        <f t="shared" ref="K613" si="1799">+J613*$X$1</f>
        <v>19062.5</v>
      </c>
      <c r="L613" s="97">
        <f t="shared" ref="L613" si="1800">F613+800</f>
        <v>18862.5</v>
      </c>
      <c r="M613" s="287">
        <f t="shared" ref="M613" si="1801">+L613*$X$1</f>
        <v>18862.5</v>
      </c>
      <c r="N613" s="97">
        <f t="shared" ref="N613" si="1802">F613+700</f>
        <v>18762.5</v>
      </c>
      <c r="O613" s="287">
        <f t="shared" ref="O613" si="1803">+N613*$X$1</f>
        <v>18762.5</v>
      </c>
      <c r="P613" s="97">
        <f t="shared" ref="P613" si="1804">F613+600</f>
        <v>18662.5</v>
      </c>
      <c r="Q613" s="287">
        <f t="shared" ref="Q613" si="1805">+P613*$X$1</f>
        <v>18662.5</v>
      </c>
      <c r="R613" s="97">
        <f t="shared" ref="R613" si="1806">F613+500</f>
        <v>18562.5</v>
      </c>
      <c r="S613" s="287">
        <f t="shared" ref="S613" si="1807">+R613*$X$1</f>
        <v>18562.5</v>
      </c>
      <c r="T613" s="97">
        <f t="shared" ref="T613" si="1808">F613+450</f>
        <v>18512.5</v>
      </c>
      <c r="U613" s="287">
        <f t="shared" ref="U613" si="1809">+T613*$X$1</f>
        <v>18512.5</v>
      </c>
      <c r="V613" s="97">
        <f t="shared" ref="V613" si="1810">F613+360</f>
        <v>18422.5</v>
      </c>
      <c r="W613" s="287">
        <f t="shared" ref="W613" si="1811">+V613*$X$1</f>
        <v>18422.5</v>
      </c>
      <c r="X613" s="131"/>
      <c r="Y613" s="126"/>
      <c r="Z613" s="132"/>
      <c r="AA613" s="133"/>
      <c r="AB613" s="184">
        <v>725</v>
      </c>
    </row>
    <row r="614" spans="1:34" ht="12.6" customHeight="1" x14ac:dyDescent="0.2">
      <c r="A614" s="4"/>
      <c r="B614" s="851" t="s">
        <v>816</v>
      </c>
      <c r="C614" s="1011"/>
      <c r="D614" s="1011"/>
      <c r="E614" s="1012"/>
      <c r="F614" s="352">
        <f>5.4*X2</f>
        <v>6750</v>
      </c>
      <c r="G614" s="271">
        <f t="shared" ref="G614" si="1812">+F614*$X$1</f>
        <v>6750</v>
      </c>
      <c r="H614" s="96">
        <f t="shared" si="1757"/>
        <v>11750</v>
      </c>
      <c r="I614" s="298">
        <f t="shared" si="1758"/>
        <v>11750</v>
      </c>
      <c r="J614" s="96">
        <f t="shared" si="1759"/>
        <v>7750</v>
      </c>
      <c r="K614" s="298">
        <f t="shared" si="1760"/>
        <v>7750</v>
      </c>
      <c r="L614" s="96">
        <f t="shared" si="1761"/>
        <v>7550</v>
      </c>
      <c r="M614" s="298">
        <f t="shared" si="1762"/>
        <v>7550</v>
      </c>
      <c r="N614" s="96">
        <f t="shared" si="1763"/>
        <v>7450</v>
      </c>
      <c r="O614" s="298">
        <f t="shared" si="1764"/>
        <v>7450</v>
      </c>
      <c r="P614" s="96">
        <f t="shared" si="1765"/>
        <v>7350</v>
      </c>
      <c r="Q614" s="298">
        <f t="shared" si="1766"/>
        <v>7350</v>
      </c>
      <c r="R614" s="96">
        <f t="shared" si="1767"/>
        <v>7250</v>
      </c>
      <c r="S614" s="298">
        <f t="shared" si="1768"/>
        <v>7250</v>
      </c>
      <c r="T614" s="96">
        <f t="shared" si="1769"/>
        <v>7200</v>
      </c>
      <c r="U614" s="298">
        <f t="shared" si="1770"/>
        <v>7200</v>
      </c>
      <c r="V614" s="96">
        <f t="shared" si="1771"/>
        <v>7110</v>
      </c>
      <c r="W614" s="298">
        <f t="shared" si="1772"/>
        <v>7110</v>
      </c>
      <c r="X614" s="131"/>
      <c r="Y614" s="126"/>
      <c r="Z614" s="132"/>
      <c r="AA614" s="133"/>
      <c r="AB614" s="184">
        <v>741</v>
      </c>
    </row>
    <row r="615" spans="1:34" ht="12" customHeight="1" x14ac:dyDescent="0.2">
      <c r="A615" s="4"/>
      <c r="B615" s="716" t="s">
        <v>592</v>
      </c>
      <c r="C615" s="717"/>
      <c r="D615" s="717"/>
      <c r="E615" s="718"/>
      <c r="F615" s="351">
        <f>19.7*X2</f>
        <v>24625</v>
      </c>
      <c r="G615" s="270">
        <f>+F615*$X$1</f>
        <v>24625</v>
      </c>
      <c r="H615" s="97">
        <f t="shared" si="1757"/>
        <v>29625</v>
      </c>
      <c r="I615" s="287">
        <f t="shared" si="1758"/>
        <v>29625</v>
      </c>
      <c r="J615" s="97">
        <f t="shared" si="1759"/>
        <v>25625</v>
      </c>
      <c r="K615" s="287">
        <f t="shared" si="1760"/>
        <v>25625</v>
      </c>
      <c r="L615" s="97">
        <f t="shared" si="1761"/>
        <v>25425</v>
      </c>
      <c r="M615" s="287">
        <f t="shared" si="1762"/>
        <v>25425</v>
      </c>
      <c r="N615" s="97">
        <f t="shared" si="1763"/>
        <v>25325</v>
      </c>
      <c r="O615" s="287">
        <f t="shared" si="1764"/>
        <v>25325</v>
      </c>
      <c r="P615" s="97">
        <f t="shared" si="1765"/>
        <v>25225</v>
      </c>
      <c r="Q615" s="287">
        <f t="shared" si="1766"/>
        <v>25225</v>
      </c>
      <c r="R615" s="97">
        <f t="shared" si="1767"/>
        <v>25125</v>
      </c>
      <c r="S615" s="287">
        <f t="shared" si="1768"/>
        <v>25125</v>
      </c>
      <c r="T615" s="97">
        <f t="shared" si="1769"/>
        <v>25075</v>
      </c>
      <c r="U615" s="287">
        <f t="shared" si="1770"/>
        <v>25075</v>
      </c>
      <c r="V615" s="97">
        <f t="shared" si="1771"/>
        <v>24985</v>
      </c>
      <c r="W615" s="287">
        <f t="shared" si="1772"/>
        <v>24985</v>
      </c>
      <c r="X615" s="131"/>
      <c r="Y615" s="126"/>
      <c r="Z615" s="132"/>
      <c r="AA615" s="133"/>
      <c r="AB615" s="184">
        <v>742</v>
      </c>
    </row>
    <row r="616" spans="1:34" ht="12" customHeight="1" x14ac:dyDescent="0.2">
      <c r="A616" s="4"/>
      <c r="B616" s="851" t="s">
        <v>593</v>
      </c>
      <c r="C616" s="1011"/>
      <c r="D616" s="1011"/>
      <c r="E616" s="1012"/>
      <c r="F616" s="352">
        <f>20.2*X2</f>
        <v>25250</v>
      </c>
      <c r="G616" s="271">
        <f>+F616*$X$1</f>
        <v>25250</v>
      </c>
      <c r="H616" s="96">
        <f t="shared" si="1757"/>
        <v>30250</v>
      </c>
      <c r="I616" s="298">
        <f t="shared" si="1758"/>
        <v>30250</v>
      </c>
      <c r="J616" s="96">
        <f t="shared" si="1759"/>
        <v>26250</v>
      </c>
      <c r="K616" s="298">
        <f t="shared" si="1760"/>
        <v>26250</v>
      </c>
      <c r="L616" s="96">
        <f t="shared" si="1761"/>
        <v>26050</v>
      </c>
      <c r="M616" s="298">
        <f t="shared" si="1762"/>
        <v>26050</v>
      </c>
      <c r="N616" s="96">
        <f t="shared" si="1763"/>
        <v>25950</v>
      </c>
      <c r="O616" s="298">
        <f t="shared" si="1764"/>
        <v>25950</v>
      </c>
      <c r="P616" s="96">
        <f t="shared" si="1765"/>
        <v>25850</v>
      </c>
      <c r="Q616" s="298">
        <f t="shared" si="1766"/>
        <v>25850</v>
      </c>
      <c r="R616" s="96">
        <f t="shared" si="1767"/>
        <v>25750</v>
      </c>
      <c r="S616" s="298">
        <f t="shared" si="1768"/>
        <v>25750</v>
      </c>
      <c r="T616" s="96">
        <f t="shared" si="1769"/>
        <v>25700</v>
      </c>
      <c r="U616" s="298">
        <f t="shared" si="1770"/>
        <v>25700</v>
      </c>
      <c r="V616" s="96">
        <f t="shared" si="1771"/>
        <v>25610</v>
      </c>
      <c r="W616" s="298">
        <f t="shared" si="1772"/>
        <v>25610</v>
      </c>
      <c r="X616" s="131"/>
      <c r="Y616" s="126"/>
      <c r="Z616" s="132"/>
      <c r="AA616" s="133"/>
      <c r="AB616" s="184">
        <v>743</v>
      </c>
    </row>
    <row r="617" spans="1:34" ht="12" customHeight="1" x14ac:dyDescent="0.2">
      <c r="A617" s="4"/>
      <c r="B617" s="716" t="s">
        <v>671</v>
      </c>
      <c r="C617" s="717"/>
      <c r="D617" s="717"/>
      <c r="E617" s="718"/>
      <c r="F617" s="351">
        <f>17*X2</f>
        <v>21250</v>
      </c>
      <c r="G617" s="270">
        <f t="shared" ref="G617" si="1813">+F617*$X$1</f>
        <v>21250</v>
      </c>
      <c r="H617" s="97">
        <f t="shared" si="1757"/>
        <v>26250</v>
      </c>
      <c r="I617" s="287">
        <f t="shared" si="1758"/>
        <v>26250</v>
      </c>
      <c r="J617" s="97">
        <f t="shared" si="1759"/>
        <v>22250</v>
      </c>
      <c r="K617" s="287">
        <f t="shared" si="1760"/>
        <v>22250</v>
      </c>
      <c r="L617" s="97">
        <f t="shared" si="1761"/>
        <v>22050</v>
      </c>
      <c r="M617" s="287">
        <f t="shared" si="1762"/>
        <v>22050</v>
      </c>
      <c r="N617" s="97">
        <f t="shared" si="1763"/>
        <v>21950</v>
      </c>
      <c r="O617" s="287">
        <f t="shared" si="1764"/>
        <v>21950</v>
      </c>
      <c r="P617" s="97">
        <f t="shared" si="1765"/>
        <v>21850</v>
      </c>
      <c r="Q617" s="287">
        <f t="shared" si="1766"/>
        <v>21850</v>
      </c>
      <c r="R617" s="97">
        <f t="shared" si="1767"/>
        <v>21750</v>
      </c>
      <c r="S617" s="287">
        <f t="shared" si="1768"/>
        <v>21750</v>
      </c>
      <c r="T617" s="97">
        <f t="shared" si="1769"/>
        <v>21700</v>
      </c>
      <c r="U617" s="287">
        <f t="shared" si="1770"/>
        <v>21700</v>
      </c>
      <c r="V617" s="97">
        <f t="shared" si="1771"/>
        <v>21610</v>
      </c>
      <c r="W617" s="287">
        <f t="shared" si="1772"/>
        <v>21610</v>
      </c>
      <c r="X617" s="131"/>
      <c r="Y617" s="126"/>
      <c r="Z617" s="132"/>
      <c r="AA617" s="133"/>
      <c r="AB617" s="184">
        <v>744</v>
      </c>
    </row>
    <row r="618" spans="1:34" ht="12" customHeight="1" x14ac:dyDescent="0.2">
      <c r="A618" s="4"/>
      <c r="B618" s="653" t="s">
        <v>872</v>
      </c>
      <c r="C618" s="654"/>
      <c r="D618" s="654"/>
      <c r="E618" s="655"/>
      <c r="F618" s="352">
        <f>4.9*X2</f>
        <v>6125</v>
      </c>
      <c r="G618" s="271">
        <f t="shared" ref="G618" si="1814">+F618*$X$1</f>
        <v>6125</v>
      </c>
      <c r="H618" s="96">
        <f t="shared" si="1757"/>
        <v>11125</v>
      </c>
      <c r="I618" s="298">
        <f t="shared" si="1758"/>
        <v>11125</v>
      </c>
      <c r="J618" s="96">
        <f t="shared" si="1759"/>
        <v>7125</v>
      </c>
      <c r="K618" s="298">
        <f t="shared" si="1760"/>
        <v>7125</v>
      </c>
      <c r="L618" s="96">
        <f t="shared" si="1761"/>
        <v>6925</v>
      </c>
      <c r="M618" s="298">
        <f t="shared" si="1762"/>
        <v>6925</v>
      </c>
      <c r="N618" s="96">
        <f t="shared" si="1763"/>
        <v>6825</v>
      </c>
      <c r="O618" s="298">
        <f t="shared" si="1764"/>
        <v>6825</v>
      </c>
      <c r="P618" s="96">
        <f t="shared" si="1765"/>
        <v>6725</v>
      </c>
      <c r="Q618" s="298">
        <f t="shared" si="1766"/>
        <v>6725</v>
      </c>
      <c r="R618" s="96">
        <f t="shared" si="1767"/>
        <v>6625</v>
      </c>
      <c r="S618" s="298">
        <f t="shared" si="1768"/>
        <v>6625</v>
      </c>
      <c r="T618" s="96">
        <f t="shared" si="1769"/>
        <v>6575</v>
      </c>
      <c r="U618" s="298">
        <f t="shared" si="1770"/>
        <v>6575</v>
      </c>
      <c r="V618" s="96">
        <f t="shared" si="1771"/>
        <v>6485</v>
      </c>
      <c r="W618" s="298">
        <f t="shared" si="1772"/>
        <v>6485</v>
      </c>
      <c r="X618" s="131"/>
      <c r="Y618" s="126"/>
      <c r="Z618" s="132"/>
      <c r="AA618" s="133"/>
      <c r="AB618" s="184">
        <v>745</v>
      </c>
    </row>
    <row r="619" spans="1:34" ht="12" customHeight="1" x14ac:dyDescent="0.2">
      <c r="A619" s="4"/>
      <c r="B619" s="653" t="s">
        <v>916</v>
      </c>
      <c r="C619" s="654"/>
      <c r="D619" s="654"/>
      <c r="E619" s="655"/>
      <c r="F619" s="351">
        <f>6.49*X2</f>
        <v>8112.5</v>
      </c>
      <c r="G619" s="270">
        <f t="shared" ref="G619:G620" si="1815">+F619*$X$1</f>
        <v>8112.5</v>
      </c>
      <c r="H619" s="97">
        <f t="shared" si="1757"/>
        <v>13112.5</v>
      </c>
      <c r="I619" s="287">
        <f t="shared" si="1758"/>
        <v>13112.5</v>
      </c>
      <c r="J619" s="97">
        <f t="shared" si="1759"/>
        <v>9112.5</v>
      </c>
      <c r="K619" s="287">
        <f t="shared" si="1760"/>
        <v>9112.5</v>
      </c>
      <c r="L619" s="97">
        <f t="shared" si="1761"/>
        <v>8912.5</v>
      </c>
      <c r="M619" s="287">
        <f t="shared" si="1762"/>
        <v>8912.5</v>
      </c>
      <c r="N619" s="97">
        <f t="shared" si="1763"/>
        <v>8812.5</v>
      </c>
      <c r="O619" s="287">
        <f t="shared" si="1764"/>
        <v>8812.5</v>
      </c>
      <c r="P619" s="97">
        <f t="shared" si="1765"/>
        <v>8712.5</v>
      </c>
      <c r="Q619" s="287">
        <f t="shared" si="1766"/>
        <v>8712.5</v>
      </c>
      <c r="R619" s="97">
        <f t="shared" si="1767"/>
        <v>8612.5</v>
      </c>
      <c r="S619" s="287">
        <f t="shared" si="1768"/>
        <v>8612.5</v>
      </c>
      <c r="T619" s="97">
        <f t="shared" si="1769"/>
        <v>8562.5</v>
      </c>
      <c r="U619" s="287">
        <f t="shared" si="1770"/>
        <v>8562.5</v>
      </c>
      <c r="V619" s="97">
        <f t="shared" si="1771"/>
        <v>8472.5</v>
      </c>
      <c r="W619" s="287">
        <f t="shared" si="1772"/>
        <v>8472.5</v>
      </c>
      <c r="X619" s="131"/>
      <c r="Y619" s="126"/>
      <c r="Z619" s="132"/>
      <c r="AA619" s="133"/>
      <c r="AB619" s="184">
        <v>746</v>
      </c>
    </row>
    <row r="620" spans="1:34" ht="12" customHeight="1" x14ac:dyDescent="0.2">
      <c r="A620" s="4"/>
      <c r="B620" s="653" t="s">
        <v>908</v>
      </c>
      <c r="C620" s="654"/>
      <c r="D620" s="654"/>
      <c r="E620" s="655"/>
      <c r="F620" s="352">
        <f>4.077*X2</f>
        <v>5096.25</v>
      </c>
      <c r="G620" s="271">
        <f t="shared" si="1815"/>
        <v>5096.25</v>
      </c>
      <c r="H620" s="96">
        <f t="shared" si="1757"/>
        <v>10096.25</v>
      </c>
      <c r="I620" s="298">
        <f t="shared" si="1758"/>
        <v>10096.25</v>
      </c>
      <c r="J620" s="96">
        <f t="shared" si="1759"/>
        <v>6096.25</v>
      </c>
      <c r="K620" s="298">
        <f t="shared" si="1760"/>
        <v>6096.25</v>
      </c>
      <c r="L620" s="96">
        <f t="shared" si="1761"/>
        <v>5896.25</v>
      </c>
      <c r="M620" s="298">
        <f t="shared" si="1762"/>
        <v>5896.25</v>
      </c>
      <c r="N620" s="96">
        <f t="shared" si="1763"/>
        <v>5796.25</v>
      </c>
      <c r="O620" s="298">
        <f t="shared" si="1764"/>
        <v>5796.25</v>
      </c>
      <c r="P620" s="96">
        <f t="shared" si="1765"/>
        <v>5696.25</v>
      </c>
      <c r="Q620" s="298">
        <f t="shared" si="1766"/>
        <v>5696.25</v>
      </c>
      <c r="R620" s="96">
        <f t="shared" si="1767"/>
        <v>5596.25</v>
      </c>
      <c r="S620" s="298">
        <f t="shared" si="1768"/>
        <v>5596.25</v>
      </c>
      <c r="T620" s="96">
        <f t="shared" si="1769"/>
        <v>5546.25</v>
      </c>
      <c r="U620" s="298">
        <f t="shared" si="1770"/>
        <v>5546.25</v>
      </c>
      <c r="V620" s="96">
        <f t="shared" si="1771"/>
        <v>5456.25</v>
      </c>
      <c r="W620" s="298">
        <f t="shared" si="1772"/>
        <v>5456.25</v>
      </c>
      <c r="X620" s="131"/>
      <c r="Y620" s="126"/>
      <c r="Z620" s="132"/>
      <c r="AA620" s="133"/>
      <c r="AB620" s="184">
        <v>760</v>
      </c>
    </row>
    <row r="621" spans="1:34" ht="12" customHeight="1" x14ac:dyDescent="0.2">
      <c r="A621" s="4"/>
      <c r="B621" s="1075" t="s">
        <v>570</v>
      </c>
      <c r="C621" s="1076"/>
      <c r="D621" s="1076"/>
      <c r="E621" s="1076"/>
      <c r="F621" s="360"/>
      <c r="G621" s="360"/>
      <c r="H621" s="605">
        <v>1700</v>
      </c>
      <c r="I621" s="270">
        <f t="shared" ref="I621:K621" si="1816">+H621*$X$1</f>
        <v>1700</v>
      </c>
      <c r="J621" s="605">
        <v>900</v>
      </c>
      <c r="K621" s="270">
        <f t="shared" si="1816"/>
        <v>900</v>
      </c>
      <c r="L621" s="605">
        <v>700</v>
      </c>
      <c r="M621" s="270">
        <f t="shared" ref="M621" si="1817">+L621*$X$1</f>
        <v>700</v>
      </c>
      <c r="N621" s="605">
        <v>600</v>
      </c>
      <c r="O621" s="270">
        <f t="shared" ref="O621" si="1818">+N621*$X$1</f>
        <v>600</v>
      </c>
      <c r="P621" s="605">
        <v>550</v>
      </c>
      <c r="Q621" s="270">
        <f t="shared" ref="Q621" si="1819">+P621*$X$1</f>
        <v>550</v>
      </c>
      <c r="R621" s="605">
        <v>450</v>
      </c>
      <c r="S621" s="270">
        <f t="shared" ref="S621" si="1820">+R621*$X$1</f>
        <v>450</v>
      </c>
      <c r="T621" s="605">
        <v>390</v>
      </c>
      <c r="U621" s="270">
        <f t="shared" ref="U621" si="1821">+T621*$X$1</f>
        <v>390</v>
      </c>
      <c r="V621" s="605">
        <v>360</v>
      </c>
      <c r="W621" s="270">
        <f t="shared" ref="W621" si="1822">+V621*$X$1</f>
        <v>360</v>
      </c>
      <c r="X621" s="131"/>
      <c r="Y621" s="126"/>
      <c r="Z621" s="132"/>
      <c r="AA621" s="132"/>
      <c r="AB621" s="38"/>
    </row>
    <row r="622" spans="1:34" ht="9.75" customHeight="1" x14ac:dyDescent="0.2">
      <c r="A622" s="74"/>
      <c r="B622" s="102"/>
      <c r="C622" s="429"/>
      <c r="D622" s="429"/>
      <c r="E622" s="429"/>
      <c r="F622" s="313"/>
      <c r="G622" s="313"/>
      <c r="H622" s="110"/>
      <c r="I622" s="313"/>
      <c r="J622" s="110"/>
      <c r="K622" s="313"/>
      <c r="L622" s="110"/>
      <c r="M622" s="313"/>
      <c r="N622" s="110"/>
      <c r="O622" s="313"/>
      <c r="P622" s="110"/>
      <c r="Q622" s="313"/>
      <c r="R622" s="110"/>
      <c r="S622" s="313"/>
      <c r="T622" s="110"/>
      <c r="U622" s="313"/>
      <c r="V622" s="110"/>
      <c r="W622" s="313"/>
      <c r="X622" s="191"/>
      <c r="Y622" s="74"/>
      <c r="Z622" s="192"/>
      <c r="AA622" s="192"/>
      <c r="AB622" s="193"/>
    </row>
    <row r="623" spans="1:34" ht="14.25" customHeight="1" x14ac:dyDescent="0.2">
      <c r="B623" s="1008" t="s">
        <v>779</v>
      </c>
      <c r="C623" s="1009"/>
      <c r="D623" s="1009"/>
      <c r="E623" s="1009"/>
      <c r="F623" s="1009"/>
      <c r="G623" s="1009"/>
      <c r="H623" s="1009"/>
      <c r="I623" s="1009"/>
      <c r="J623" s="1009"/>
      <c r="K623" s="1009"/>
      <c r="L623" s="1009"/>
      <c r="M623" s="1009"/>
      <c r="N623" s="1009"/>
      <c r="O623" s="1009"/>
      <c r="P623" s="1009"/>
      <c r="Q623" s="1009"/>
      <c r="R623" s="1009"/>
      <c r="S623" s="1009"/>
      <c r="T623" s="1009"/>
      <c r="U623" s="1009"/>
      <c r="V623" s="1009"/>
      <c r="W623" s="1009"/>
      <c r="AB623" s="4"/>
      <c r="AF623" s="675"/>
      <c r="AG623" s="676"/>
      <c r="AH623" s="676"/>
    </row>
    <row r="624" spans="1:34" ht="12" customHeight="1" x14ac:dyDescent="0.2">
      <c r="B624" s="1091" t="s">
        <v>11</v>
      </c>
      <c r="C624" s="1091" t="s">
        <v>12</v>
      </c>
      <c r="D624" s="1092"/>
      <c r="E624" s="1092"/>
      <c r="F624" s="763" t="s">
        <v>277</v>
      </c>
      <c r="G624" s="763" t="s">
        <v>13</v>
      </c>
      <c r="H624" s="661" t="s">
        <v>771</v>
      </c>
      <c r="I624" s="661"/>
      <c r="J624" s="662"/>
      <c r="K624" s="662"/>
      <c r="L624" s="662"/>
      <c r="M624" s="662"/>
      <c r="N624" s="662"/>
      <c r="O624" s="662"/>
      <c r="P624" s="662"/>
      <c r="Q624" s="662"/>
      <c r="R624" s="662"/>
      <c r="S624" s="662"/>
      <c r="T624" s="662"/>
      <c r="U624" s="662"/>
      <c r="V624" s="662"/>
      <c r="W624" s="662"/>
      <c r="X624" s="679" t="s">
        <v>14</v>
      </c>
      <c r="Y624" s="680"/>
      <c r="Z624" s="680"/>
      <c r="AA624" s="680"/>
      <c r="AB624" s="677" t="s">
        <v>15</v>
      </c>
      <c r="AF624" s="675"/>
      <c r="AG624" s="676"/>
      <c r="AH624" s="676"/>
    </row>
    <row r="625" spans="1:28" ht="11.25" customHeight="1" x14ac:dyDescent="0.2">
      <c r="B625" s="1092"/>
      <c r="C625" s="1092"/>
      <c r="D625" s="1092"/>
      <c r="E625" s="1092"/>
      <c r="F625" s="764"/>
      <c r="G625" s="764"/>
      <c r="H625" s="435"/>
      <c r="I625" s="434" t="s">
        <v>278</v>
      </c>
      <c r="J625" s="435"/>
      <c r="K625" s="434" t="s">
        <v>279</v>
      </c>
      <c r="L625" s="435"/>
      <c r="M625" s="434" t="s">
        <v>536</v>
      </c>
      <c r="N625" s="435"/>
      <c r="O625" s="434" t="s">
        <v>17</v>
      </c>
      <c r="P625" s="435"/>
      <c r="Q625" s="434" t="s">
        <v>18</v>
      </c>
      <c r="R625" s="435"/>
      <c r="S625" s="434" t="s">
        <v>19</v>
      </c>
      <c r="T625" s="435"/>
      <c r="U625" s="434" t="s">
        <v>280</v>
      </c>
      <c r="V625" s="435"/>
      <c r="W625" s="434" t="s">
        <v>20</v>
      </c>
      <c r="X625" s="682"/>
      <c r="Y625" s="683"/>
      <c r="Z625" s="683"/>
      <c r="AA625" s="683"/>
      <c r="AB625" s="678"/>
    </row>
    <row r="626" spans="1:28" ht="12.6" customHeight="1" x14ac:dyDescent="0.2">
      <c r="A626" s="18"/>
      <c r="B626" s="738" t="s">
        <v>515</v>
      </c>
      <c r="C626" s="739"/>
      <c r="D626" s="739"/>
      <c r="E626" s="740"/>
      <c r="F626" s="287">
        <v>3816</v>
      </c>
      <c r="G626" s="246"/>
      <c r="H626" s="97"/>
      <c r="I626" s="287"/>
      <c r="J626" s="602">
        <f>F626+600</f>
        <v>4416</v>
      </c>
      <c r="K626" s="270">
        <f t="shared" ref="K626" si="1823">+J626*$X$1</f>
        <v>4416</v>
      </c>
      <c r="L626" s="602">
        <f>F626+550</f>
        <v>4366</v>
      </c>
      <c r="M626" s="270">
        <f t="shared" ref="M626" si="1824">+L626*$X$1</f>
        <v>4366</v>
      </c>
      <c r="N626" s="602">
        <f>F626+450</f>
        <v>4266</v>
      </c>
      <c r="O626" s="270">
        <f t="shared" ref="O626" si="1825">+N626*$X$1</f>
        <v>4266</v>
      </c>
      <c r="P626" s="602">
        <f>F626+410</f>
        <v>4226</v>
      </c>
      <c r="Q626" s="270">
        <f t="shared" ref="Q626" si="1826">+P626*$X$1</f>
        <v>4226</v>
      </c>
      <c r="R626" s="602">
        <f>F626+360</f>
        <v>4176</v>
      </c>
      <c r="S626" s="270">
        <f t="shared" ref="S626" si="1827">+R626*$X$1</f>
        <v>4176</v>
      </c>
      <c r="T626" s="602">
        <f>F626+320</f>
        <v>4136</v>
      </c>
      <c r="U626" s="270">
        <f t="shared" ref="U626" si="1828">+T626*$X$1</f>
        <v>4136</v>
      </c>
      <c r="V626" s="602">
        <f>F626+290</f>
        <v>4106</v>
      </c>
      <c r="W626" s="270">
        <f t="shared" ref="W626" si="1829">+V626*$X$1</f>
        <v>4106</v>
      </c>
      <c r="X626" s="134"/>
      <c r="Y626" s="135"/>
      <c r="Z626" s="135"/>
      <c r="AA626" s="135"/>
      <c r="AB626" s="386" t="s">
        <v>748</v>
      </c>
    </row>
    <row r="627" spans="1:28" ht="12.6" customHeight="1" x14ac:dyDescent="0.2">
      <c r="A627" s="18"/>
      <c r="B627" s="1143" t="s">
        <v>958</v>
      </c>
      <c r="C627" s="1144"/>
      <c r="D627" s="1144"/>
      <c r="E627" s="1145"/>
      <c r="F627" s="298">
        <v>4028</v>
      </c>
      <c r="G627" s="286"/>
      <c r="H627" s="96"/>
      <c r="I627" s="298"/>
      <c r="J627" s="427">
        <f>F627+600</f>
        <v>4628</v>
      </c>
      <c r="K627" s="271">
        <f t="shared" ref="K627" si="1830">+J627*$X$1</f>
        <v>4628</v>
      </c>
      <c r="L627" s="427">
        <f>F627+550</f>
        <v>4578</v>
      </c>
      <c r="M627" s="271">
        <f t="shared" ref="M627" si="1831">+L627*$X$1</f>
        <v>4578</v>
      </c>
      <c r="N627" s="427">
        <f>F627+450</f>
        <v>4478</v>
      </c>
      <c r="O627" s="271">
        <f t="shared" ref="O627" si="1832">+N627*$X$1</f>
        <v>4478</v>
      </c>
      <c r="P627" s="427">
        <f>F627+410</f>
        <v>4438</v>
      </c>
      <c r="Q627" s="271">
        <f t="shared" ref="Q627" si="1833">+P627*$X$1</f>
        <v>4438</v>
      </c>
      <c r="R627" s="427">
        <f>F627+360</f>
        <v>4388</v>
      </c>
      <c r="S627" s="271">
        <f t="shared" ref="S627" si="1834">+R627*$X$1</f>
        <v>4388</v>
      </c>
      <c r="T627" s="427">
        <f>F627+320</f>
        <v>4348</v>
      </c>
      <c r="U627" s="271">
        <f t="shared" ref="U627" si="1835">+T627*$X$1</f>
        <v>4348</v>
      </c>
      <c r="V627" s="427">
        <f>F627+290</f>
        <v>4318</v>
      </c>
      <c r="W627" s="271">
        <f t="shared" ref="W627" si="1836">+V627*$X$1</f>
        <v>4318</v>
      </c>
      <c r="X627" s="134"/>
      <c r="Y627" s="135"/>
      <c r="Z627" s="135"/>
      <c r="AA627" s="135"/>
      <c r="AB627" s="386" t="s">
        <v>977</v>
      </c>
    </row>
    <row r="628" spans="1:28" ht="12.6" customHeight="1" x14ac:dyDescent="0.2">
      <c r="A628" s="18"/>
      <c r="B628" s="633" t="s">
        <v>374</v>
      </c>
      <c r="C628" s="769"/>
      <c r="D628" s="769"/>
      <c r="E628" s="770"/>
      <c r="F628" s="270">
        <v>1400</v>
      </c>
      <c r="G628" s="246"/>
      <c r="H628" s="598"/>
      <c r="I628" s="270"/>
      <c r="J628" s="598"/>
      <c r="K628" s="270"/>
      <c r="L628" s="598">
        <f>F628+550</f>
        <v>1950</v>
      </c>
      <c r="M628" s="270">
        <f t="shared" ref="M628" si="1837">+L628*$X$1</f>
        <v>1950</v>
      </c>
      <c r="N628" s="598">
        <f>F628+450</f>
        <v>1850</v>
      </c>
      <c r="O628" s="270">
        <f t="shared" ref="O628" si="1838">+N628*$X$1</f>
        <v>1850</v>
      </c>
      <c r="P628" s="598">
        <f>F628+410</f>
        <v>1810</v>
      </c>
      <c r="Q628" s="270">
        <f t="shared" ref="Q628" si="1839">+P628*$X$1</f>
        <v>1810</v>
      </c>
      <c r="R628" s="598">
        <f>F628+360</f>
        <v>1760</v>
      </c>
      <c r="S628" s="270">
        <f t="shared" ref="S628" si="1840">+R628*$X$1</f>
        <v>1760</v>
      </c>
      <c r="T628" s="598">
        <f>F628+320</f>
        <v>1720</v>
      </c>
      <c r="U628" s="270">
        <f t="shared" ref="U628" si="1841">+T628*$X$1</f>
        <v>1720</v>
      </c>
      <c r="V628" s="598">
        <f>F628+290</f>
        <v>1690</v>
      </c>
      <c r="W628" s="270">
        <f t="shared" ref="W628" si="1842">+V628*$X$1</f>
        <v>1690</v>
      </c>
      <c r="X628" s="134"/>
      <c r="Y628" s="135"/>
      <c r="Z628" s="135"/>
      <c r="AA628" s="135"/>
      <c r="AB628" s="32"/>
    </row>
    <row r="629" spans="1:28" ht="12.6" customHeight="1" x14ac:dyDescent="0.2">
      <c r="A629" s="18"/>
      <c r="B629" s="708" t="s">
        <v>415</v>
      </c>
      <c r="C629" s="709"/>
      <c r="D629" s="709"/>
      <c r="E629" s="710"/>
      <c r="F629" s="298">
        <v>4028</v>
      </c>
      <c r="G629" s="286"/>
      <c r="H629" s="427">
        <f>F629+1300</f>
        <v>5328</v>
      </c>
      <c r="I629" s="271">
        <f t="shared" ref="I629" si="1843">+H629*$X$1</f>
        <v>5328</v>
      </c>
      <c r="J629" s="427">
        <f>F629+600</f>
        <v>4628</v>
      </c>
      <c r="K629" s="271">
        <f t="shared" ref="K629" si="1844">+J629*$X$1</f>
        <v>4628</v>
      </c>
      <c r="L629" s="427">
        <f>F629+550</f>
        <v>4578</v>
      </c>
      <c r="M629" s="271">
        <f t="shared" ref="M629" si="1845">+L629*$X$1</f>
        <v>4578</v>
      </c>
      <c r="N629" s="427">
        <f>F629+450</f>
        <v>4478</v>
      </c>
      <c r="O629" s="271">
        <f t="shared" ref="O629" si="1846">+N629*$X$1</f>
        <v>4478</v>
      </c>
      <c r="P629" s="427">
        <f>F629+410</f>
        <v>4438</v>
      </c>
      <c r="Q629" s="271">
        <f t="shared" ref="Q629" si="1847">+P629*$X$1</f>
        <v>4438</v>
      </c>
      <c r="R629" s="427">
        <f>F629+360</f>
        <v>4388</v>
      </c>
      <c r="S629" s="271">
        <f t="shared" ref="S629" si="1848">+R629*$X$1</f>
        <v>4388</v>
      </c>
      <c r="T629" s="427">
        <f>F629+320</f>
        <v>4348</v>
      </c>
      <c r="U629" s="271">
        <f t="shared" ref="U629" si="1849">+T629*$X$1</f>
        <v>4348</v>
      </c>
      <c r="V629" s="427">
        <f>F629+290</f>
        <v>4318</v>
      </c>
      <c r="W629" s="271">
        <f t="shared" ref="W629" si="1850">+V629*$X$1</f>
        <v>4318</v>
      </c>
      <c r="X629" s="134"/>
      <c r="Y629" s="135"/>
      <c r="Z629" s="135"/>
      <c r="AA629" s="135"/>
      <c r="AB629" s="372" t="s">
        <v>749</v>
      </c>
    </row>
    <row r="630" spans="1:28" ht="12.6" customHeight="1" x14ac:dyDescent="0.2">
      <c r="A630" s="18"/>
      <c r="B630" s="1077" t="s">
        <v>281</v>
      </c>
      <c r="C630" s="1078"/>
      <c r="D630" s="1078"/>
      <c r="E630" s="1079"/>
      <c r="F630" s="541">
        <v>3318</v>
      </c>
      <c r="G630" s="246"/>
      <c r="H630" s="598"/>
      <c r="I630" s="270"/>
      <c r="J630" s="598">
        <f t="shared" ref="J630:J636" si="1851">F630+600</f>
        <v>3918</v>
      </c>
      <c r="K630" s="270">
        <f t="shared" ref="K630:K636" si="1852">+J630*$X$1</f>
        <v>3918</v>
      </c>
      <c r="L630" s="598">
        <f t="shared" ref="L630:L636" si="1853">F630+550</f>
        <v>3868</v>
      </c>
      <c r="M630" s="270">
        <f t="shared" ref="M630:M636" si="1854">+L630*$X$1</f>
        <v>3868</v>
      </c>
      <c r="N630" s="598">
        <f t="shared" ref="N630:N636" si="1855">F630+450</f>
        <v>3768</v>
      </c>
      <c r="O630" s="270">
        <f t="shared" ref="O630:O636" si="1856">+N630*$X$1</f>
        <v>3768</v>
      </c>
      <c r="P630" s="598">
        <f t="shared" ref="P630:P636" si="1857">F630+410</f>
        <v>3728</v>
      </c>
      <c r="Q630" s="270">
        <f t="shared" ref="Q630:Q636" si="1858">+P630*$X$1</f>
        <v>3728</v>
      </c>
      <c r="R630" s="598">
        <f t="shared" ref="R630:R636" si="1859">F630+360</f>
        <v>3678</v>
      </c>
      <c r="S630" s="270">
        <f t="shared" ref="S630:S636" si="1860">+R630*$X$1</f>
        <v>3678</v>
      </c>
      <c r="T630" s="598">
        <f t="shared" ref="T630:T636" si="1861">F630+320</f>
        <v>3638</v>
      </c>
      <c r="U630" s="270">
        <f t="shared" ref="U630:U636" si="1862">+T630*$X$1</f>
        <v>3638</v>
      </c>
      <c r="V630" s="598">
        <f t="shared" ref="V630:V636" si="1863">F630+290</f>
        <v>3608</v>
      </c>
      <c r="W630" s="270">
        <f t="shared" ref="W630:W636" si="1864">+V630*$X$1</f>
        <v>3608</v>
      </c>
      <c r="X630" s="134"/>
      <c r="Y630" s="135"/>
      <c r="Z630" s="135"/>
      <c r="AA630" s="135"/>
      <c r="AB630" s="372" t="s">
        <v>830</v>
      </c>
    </row>
    <row r="631" spans="1:28" ht="12.6" customHeight="1" x14ac:dyDescent="0.2">
      <c r="A631" s="18"/>
      <c r="B631" s="741" t="s">
        <v>282</v>
      </c>
      <c r="C631" s="755"/>
      <c r="D631" s="755"/>
      <c r="E631" s="755"/>
      <c r="F631" s="271">
        <v>3075</v>
      </c>
      <c r="G631" s="286"/>
      <c r="H631" s="427"/>
      <c r="I631" s="271"/>
      <c r="J631" s="427">
        <f t="shared" si="1851"/>
        <v>3675</v>
      </c>
      <c r="K631" s="271">
        <f t="shared" si="1852"/>
        <v>3675</v>
      </c>
      <c r="L631" s="427">
        <f t="shared" si="1853"/>
        <v>3625</v>
      </c>
      <c r="M631" s="271">
        <f t="shared" si="1854"/>
        <v>3625</v>
      </c>
      <c r="N631" s="427">
        <f t="shared" si="1855"/>
        <v>3525</v>
      </c>
      <c r="O631" s="271">
        <f t="shared" si="1856"/>
        <v>3525</v>
      </c>
      <c r="P631" s="427">
        <f t="shared" si="1857"/>
        <v>3485</v>
      </c>
      <c r="Q631" s="271">
        <f t="shared" si="1858"/>
        <v>3485</v>
      </c>
      <c r="R631" s="427">
        <f t="shared" si="1859"/>
        <v>3435</v>
      </c>
      <c r="S631" s="271">
        <f t="shared" si="1860"/>
        <v>3435</v>
      </c>
      <c r="T631" s="427">
        <f t="shared" si="1861"/>
        <v>3395</v>
      </c>
      <c r="U631" s="271">
        <f t="shared" si="1862"/>
        <v>3395</v>
      </c>
      <c r="V631" s="427">
        <f t="shared" si="1863"/>
        <v>3365</v>
      </c>
      <c r="W631" s="271">
        <f t="shared" si="1864"/>
        <v>3365</v>
      </c>
      <c r="X631" s="134"/>
      <c r="Y631" s="135"/>
      <c r="Z631" s="135"/>
      <c r="AA631" s="135"/>
      <c r="AB631" s="372" t="s">
        <v>750</v>
      </c>
    </row>
    <row r="632" spans="1:28" ht="12.6" customHeight="1" x14ac:dyDescent="0.2">
      <c r="A632" s="18"/>
      <c r="B632" s="752" t="s">
        <v>736</v>
      </c>
      <c r="C632" s="753"/>
      <c r="D632" s="753"/>
      <c r="E632" s="754"/>
      <c r="F632" s="287">
        <v>7740</v>
      </c>
      <c r="G632" s="246"/>
      <c r="H632" s="569">
        <f>F632+1300</f>
        <v>9040</v>
      </c>
      <c r="I632" s="270">
        <f t="shared" ref="I632:I633" si="1865">+H632*$X$1</f>
        <v>9040</v>
      </c>
      <c r="J632" s="569">
        <f t="shared" si="1851"/>
        <v>8340</v>
      </c>
      <c r="K632" s="270">
        <f t="shared" si="1852"/>
        <v>8340</v>
      </c>
      <c r="L632" s="569">
        <f t="shared" si="1853"/>
        <v>8290</v>
      </c>
      <c r="M632" s="270">
        <f t="shared" si="1854"/>
        <v>8290</v>
      </c>
      <c r="N632" s="569">
        <f t="shared" si="1855"/>
        <v>8190</v>
      </c>
      <c r="O632" s="270">
        <f t="shared" si="1856"/>
        <v>8190</v>
      </c>
      <c r="P632" s="569">
        <f t="shared" si="1857"/>
        <v>8150</v>
      </c>
      <c r="Q632" s="270">
        <f t="shared" si="1858"/>
        <v>8150</v>
      </c>
      <c r="R632" s="569">
        <f t="shared" si="1859"/>
        <v>8100</v>
      </c>
      <c r="S632" s="270">
        <f t="shared" si="1860"/>
        <v>8100</v>
      </c>
      <c r="T632" s="569">
        <f t="shared" si="1861"/>
        <v>8060</v>
      </c>
      <c r="U632" s="270">
        <f t="shared" si="1862"/>
        <v>8060</v>
      </c>
      <c r="V632" s="569">
        <f t="shared" si="1863"/>
        <v>8030</v>
      </c>
      <c r="W632" s="270">
        <f t="shared" si="1864"/>
        <v>8030</v>
      </c>
      <c r="X632" s="134"/>
      <c r="Y632" s="135"/>
      <c r="Z632" s="135"/>
      <c r="AA632" s="135"/>
      <c r="AB632" s="32"/>
    </row>
    <row r="633" spans="1:28" ht="12.6" customHeight="1" x14ac:dyDescent="0.2">
      <c r="A633" s="18"/>
      <c r="B633" s="708" t="s">
        <v>474</v>
      </c>
      <c r="C633" s="709"/>
      <c r="D633" s="709"/>
      <c r="E633" s="710"/>
      <c r="F633" s="298">
        <v>7420</v>
      </c>
      <c r="G633" s="286"/>
      <c r="H633" s="427">
        <f>F633+1300</f>
        <v>8720</v>
      </c>
      <c r="I633" s="271">
        <f t="shared" si="1865"/>
        <v>8720</v>
      </c>
      <c r="J633" s="427">
        <f t="shared" si="1851"/>
        <v>8020</v>
      </c>
      <c r="K633" s="271">
        <f t="shared" si="1852"/>
        <v>8020</v>
      </c>
      <c r="L633" s="427">
        <f t="shared" si="1853"/>
        <v>7970</v>
      </c>
      <c r="M633" s="271">
        <f t="shared" si="1854"/>
        <v>7970</v>
      </c>
      <c r="N633" s="427">
        <f t="shared" si="1855"/>
        <v>7870</v>
      </c>
      <c r="O633" s="271">
        <f t="shared" si="1856"/>
        <v>7870</v>
      </c>
      <c r="P633" s="427">
        <f t="shared" si="1857"/>
        <v>7830</v>
      </c>
      <c r="Q633" s="271">
        <f t="shared" si="1858"/>
        <v>7830</v>
      </c>
      <c r="R633" s="427">
        <f t="shared" si="1859"/>
        <v>7780</v>
      </c>
      <c r="S633" s="271">
        <f t="shared" si="1860"/>
        <v>7780</v>
      </c>
      <c r="T633" s="427">
        <f t="shared" si="1861"/>
        <v>7740</v>
      </c>
      <c r="U633" s="271">
        <f t="shared" si="1862"/>
        <v>7740</v>
      </c>
      <c r="V633" s="427">
        <f t="shared" si="1863"/>
        <v>7710</v>
      </c>
      <c r="W633" s="271">
        <f t="shared" si="1864"/>
        <v>7710</v>
      </c>
      <c r="X633" s="134"/>
      <c r="Y633" s="135"/>
      <c r="Z633" s="135"/>
      <c r="AA633" s="135"/>
      <c r="AB633" s="32"/>
    </row>
    <row r="634" spans="1:28" ht="12.6" customHeight="1" x14ac:dyDescent="0.2">
      <c r="A634" s="4"/>
      <c r="B634" s="716" t="s">
        <v>421</v>
      </c>
      <c r="C634" s="634"/>
      <c r="D634" s="634"/>
      <c r="E634" s="635"/>
      <c r="F634" s="270">
        <v>1900</v>
      </c>
      <c r="G634" s="246"/>
      <c r="H634" s="569"/>
      <c r="I634" s="270"/>
      <c r="J634" s="569">
        <f t="shared" si="1851"/>
        <v>2500</v>
      </c>
      <c r="K634" s="270">
        <f t="shared" si="1852"/>
        <v>2500</v>
      </c>
      <c r="L634" s="569">
        <f t="shared" si="1853"/>
        <v>2450</v>
      </c>
      <c r="M634" s="270">
        <f t="shared" si="1854"/>
        <v>2450</v>
      </c>
      <c r="N634" s="569">
        <f t="shared" si="1855"/>
        <v>2350</v>
      </c>
      <c r="O634" s="270">
        <f t="shared" si="1856"/>
        <v>2350</v>
      </c>
      <c r="P634" s="569">
        <f t="shared" si="1857"/>
        <v>2310</v>
      </c>
      <c r="Q634" s="270">
        <f t="shared" si="1858"/>
        <v>2310</v>
      </c>
      <c r="R634" s="569">
        <f t="shared" si="1859"/>
        <v>2260</v>
      </c>
      <c r="S634" s="270">
        <f t="shared" si="1860"/>
        <v>2260</v>
      </c>
      <c r="T634" s="569">
        <f t="shared" si="1861"/>
        <v>2220</v>
      </c>
      <c r="U634" s="270">
        <f t="shared" si="1862"/>
        <v>2220</v>
      </c>
      <c r="V634" s="569">
        <f t="shared" si="1863"/>
        <v>2190</v>
      </c>
      <c r="W634" s="270">
        <f t="shared" si="1864"/>
        <v>2190</v>
      </c>
      <c r="X634" s="134"/>
      <c r="Y634" s="123"/>
      <c r="Z634" s="136"/>
      <c r="AA634" s="136"/>
      <c r="AB634" s="372" t="s">
        <v>420</v>
      </c>
    </row>
    <row r="635" spans="1:28" ht="12.6" customHeight="1" x14ac:dyDescent="0.2">
      <c r="A635" s="4"/>
      <c r="B635" s="851" t="s">
        <v>419</v>
      </c>
      <c r="C635" s="709"/>
      <c r="D635" s="709"/>
      <c r="E635" s="710"/>
      <c r="F635" s="271">
        <v>1900</v>
      </c>
      <c r="G635" s="286"/>
      <c r="H635" s="427"/>
      <c r="I635" s="271"/>
      <c r="J635" s="427">
        <f t="shared" si="1851"/>
        <v>2500</v>
      </c>
      <c r="K635" s="271">
        <f t="shared" si="1852"/>
        <v>2500</v>
      </c>
      <c r="L635" s="427">
        <f t="shared" si="1853"/>
        <v>2450</v>
      </c>
      <c r="M635" s="271">
        <f t="shared" si="1854"/>
        <v>2450</v>
      </c>
      <c r="N635" s="427">
        <f t="shared" si="1855"/>
        <v>2350</v>
      </c>
      <c r="O635" s="271">
        <f t="shared" si="1856"/>
        <v>2350</v>
      </c>
      <c r="P635" s="427">
        <f t="shared" si="1857"/>
        <v>2310</v>
      </c>
      <c r="Q635" s="271">
        <f t="shared" si="1858"/>
        <v>2310</v>
      </c>
      <c r="R635" s="427">
        <f t="shared" si="1859"/>
        <v>2260</v>
      </c>
      <c r="S635" s="271">
        <f t="shared" si="1860"/>
        <v>2260</v>
      </c>
      <c r="T635" s="427">
        <f t="shared" si="1861"/>
        <v>2220</v>
      </c>
      <c r="U635" s="271">
        <f t="shared" si="1862"/>
        <v>2220</v>
      </c>
      <c r="V635" s="427">
        <f t="shared" si="1863"/>
        <v>2190</v>
      </c>
      <c r="W635" s="271">
        <f t="shared" si="1864"/>
        <v>2190</v>
      </c>
      <c r="X635" s="134"/>
      <c r="Y635" s="123"/>
      <c r="Z635" s="136"/>
      <c r="AA635" s="136"/>
      <c r="AB635" s="372" t="s">
        <v>416</v>
      </c>
    </row>
    <row r="636" spans="1:28" ht="12.6" customHeight="1" x14ac:dyDescent="0.2">
      <c r="A636" s="4"/>
      <c r="B636" s="716" t="s">
        <v>417</v>
      </c>
      <c r="C636" s="634"/>
      <c r="D636" s="634"/>
      <c r="E636" s="635"/>
      <c r="F636" s="270">
        <v>2800</v>
      </c>
      <c r="G636" s="246"/>
      <c r="H636" s="569"/>
      <c r="I636" s="270"/>
      <c r="J636" s="569">
        <f t="shared" si="1851"/>
        <v>3400</v>
      </c>
      <c r="K636" s="270">
        <f t="shared" si="1852"/>
        <v>3400</v>
      </c>
      <c r="L636" s="569">
        <f t="shared" si="1853"/>
        <v>3350</v>
      </c>
      <c r="M636" s="270">
        <f t="shared" si="1854"/>
        <v>3350</v>
      </c>
      <c r="N636" s="569">
        <f t="shared" si="1855"/>
        <v>3250</v>
      </c>
      <c r="O636" s="270">
        <f t="shared" si="1856"/>
        <v>3250</v>
      </c>
      <c r="P636" s="569">
        <f t="shared" si="1857"/>
        <v>3210</v>
      </c>
      <c r="Q636" s="270">
        <f t="shared" si="1858"/>
        <v>3210</v>
      </c>
      <c r="R636" s="569">
        <f t="shared" si="1859"/>
        <v>3160</v>
      </c>
      <c r="S636" s="270">
        <f t="shared" si="1860"/>
        <v>3160</v>
      </c>
      <c r="T636" s="569">
        <f t="shared" si="1861"/>
        <v>3120</v>
      </c>
      <c r="U636" s="270">
        <f t="shared" si="1862"/>
        <v>3120</v>
      </c>
      <c r="V636" s="569">
        <f t="shared" si="1863"/>
        <v>3090</v>
      </c>
      <c r="W636" s="270">
        <f t="shared" si="1864"/>
        <v>3090</v>
      </c>
      <c r="X636" s="134"/>
      <c r="Y636" s="123"/>
      <c r="Z636" s="136"/>
      <c r="AA636" s="136"/>
      <c r="AB636" s="372" t="s">
        <v>418</v>
      </c>
    </row>
    <row r="637" spans="1:28" ht="12.6" customHeight="1" x14ac:dyDescent="0.2">
      <c r="A637" s="4"/>
      <c r="B637" s="700" t="s">
        <v>283</v>
      </c>
      <c r="C637" s="630"/>
      <c r="D637" s="630"/>
      <c r="E637" s="630"/>
      <c r="F637" s="94"/>
      <c r="G637" s="89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131"/>
      <c r="Y637" s="126"/>
      <c r="Z637" s="132"/>
      <c r="AA637" s="133"/>
      <c r="AB637" s="372">
        <v>986</v>
      </c>
    </row>
    <row r="638" spans="1:28" ht="12.6" customHeight="1" x14ac:dyDescent="0.2">
      <c r="A638" s="4"/>
      <c r="B638" s="768" t="s">
        <v>342</v>
      </c>
      <c r="C638" s="746"/>
      <c r="D638" s="746"/>
      <c r="E638" s="746"/>
      <c r="F638" s="361"/>
      <c r="G638" s="91"/>
      <c r="H638" s="561"/>
      <c r="I638" s="561"/>
      <c r="J638" s="561"/>
      <c r="K638" s="561"/>
      <c r="L638" s="561"/>
      <c r="M638" s="561"/>
      <c r="N638" s="561"/>
      <c r="O638" s="561"/>
      <c r="P638" s="561"/>
      <c r="Q638" s="561"/>
      <c r="R638" s="561"/>
      <c r="S638" s="561"/>
      <c r="T638" s="561"/>
      <c r="U638" s="561"/>
      <c r="V638" s="561"/>
      <c r="W638" s="561"/>
      <c r="X638" s="131"/>
      <c r="Y638" s="126"/>
      <c r="Z638" s="132"/>
      <c r="AA638" s="133"/>
      <c r="AB638" s="372">
        <v>987</v>
      </c>
    </row>
    <row r="639" spans="1:28" ht="12.6" customHeight="1" x14ac:dyDescent="0.2">
      <c r="A639" s="4"/>
      <c r="B639" s="700" t="s">
        <v>284</v>
      </c>
      <c r="C639" s="638"/>
      <c r="D639" s="638"/>
      <c r="E639" s="638"/>
      <c r="F639" s="88"/>
      <c r="G639" s="89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131"/>
      <c r="Y639" s="126"/>
      <c r="Z639" s="132"/>
      <c r="AA639" s="133"/>
      <c r="AB639" s="372">
        <v>989</v>
      </c>
    </row>
    <row r="640" spans="1:28" ht="12.6" customHeight="1" x14ac:dyDescent="0.2">
      <c r="A640" s="4"/>
      <c r="B640" s="102"/>
      <c r="C640" s="190"/>
      <c r="D640" s="190"/>
      <c r="E640" s="190"/>
      <c r="F640" s="110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91"/>
      <c r="Y640" s="74"/>
      <c r="Z640" s="192"/>
      <c r="AA640" s="192"/>
      <c r="AB640" s="38"/>
    </row>
    <row r="641" spans="1:38" ht="12.6" customHeight="1" x14ac:dyDescent="0.2">
      <c r="A641" s="4"/>
      <c r="B641" s="102"/>
      <c r="C641" s="190"/>
      <c r="D641" s="190"/>
      <c r="E641" s="19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91"/>
      <c r="Y641" s="74"/>
      <c r="Z641" s="192"/>
      <c r="AA641" s="192"/>
      <c r="AB641" s="38"/>
    </row>
    <row r="642" spans="1:38" ht="15.75" customHeight="1" x14ac:dyDescent="0.2">
      <c r="B642" s="1008" t="s">
        <v>285</v>
      </c>
      <c r="C642" s="1009"/>
      <c r="D642" s="1009"/>
      <c r="E642" s="1009"/>
      <c r="F642" s="1009"/>
      <c r="G642" s="1009"/>
      <c r="H642" s="1009"/>
      <c r="I642" s="1009"/>
      <c r="J642" s="1009"/>
      <c r="K642" s="1009"/>
      <c r="L642" s="1009"/>
      <c r="M642" s="1009"/>
      <c r="N642" s="1009"/>
      <c r="O642" s="1009"/>
      <c r="P642" s="1009"/>
      <c r="Q642" s="1009"/>
      <c r="R642" s="1009"/>
      <c r="S642" s="1009"/>
      <c r="T642" s="1089"/>
      <c r="U642" s="1089"/>
      <c r="V642" s="1090"/>
      <c r="W642" s="1090"/>
      <c r="AB642" s="4"/>
    </row>
    <row r="643" spans="1:38" ht="14.25" customHeight="1" x14ac:dyDescent="0.2">
      <c r="B643" s="1091" t="s">
        <v>11</v>
      </c>
      <c r="C643" s="1091" t="s">
        <v>12</v>
      </c>
      <c r="D643" s="1092"/>
      <c r="E643" s="1092"/>
      <c r="F643" s="763" t="s">
        <v>277</v>
      </c>
      <c r="G643" s="763" t="s">
        <v>13</v>
      </c>
      <c r="H643" s="661" t="s">
        <v>770</v>
      </c>
      <c r="I643" s="661"/>
      <c r="J643" s="662"/>
      <c r="K643" s="662"/>
      <c r="L643" s="662"/>
      <c r="M643" s="662"/>
      <c r="N643" s="662"/>
      <c r="O643" s="662"/>
      <c r="P643" s="662"/>
      <c r="Q643" s="662"/>
      <c r="R643" s="662"/>
      <c r="S643" s="662"/>
      <c r="T643" s="662"/>
      <c r="U643" s="662"/>
      <c r="V643" s="662"/>
      <c r="W643" s="662"/>
      <c r="X643" s="679" t="s">
        <v>14</v>
      </c>
      <c r="Y643" s="1138"/>
      <c r="Z643" s="1138"/>
      <c r="AA643" s="1139"/>
      <c r="AB643" s="677" t="s">
        <v>15</v>
      </c>
      <c r="AF643" s="675" t="s">
        <v>3</v>
      </c>
      <c r="AG643" s="676"/>
      <c r="AH643" s="676"/>
    </row>
    <row r="644" spans="1:38" ht="12" customHeight="1" x14ac:dyDescent="0.2">
      <c r="B644" s="1092"/>
      <c r="C644" s="1092"/>
      <c r="D644" s="1092"/>
      <c r="E644" s="1092"/>
      <c r="F644" s="764"/>
      <c r="G644" s="764"/>
      <c r="H644" s="433"/>
      <c r="I644" s="434" t="s">
        <v>534</v>
      </c>
      <c r="J644" s="433"/>
      <c r="K644" s="434" t="s">
        <v>278</v>
      </c>
      <c r="L644" s="434"/>
      <c r="M644" s="434" t="s">
        <v>279</v>
      </c>
      <c r="N644" s="434"/>
      <c r="O644" s="434" t="s">
        <v>536</v>
      </c>
      <c r="P644" s="434"/>
      <c r="Q644" s="434" t="s">
        <v>17</v>
      </c>
      <c r="R644" s="434"/>
      <c r="S644" s="434" t="s">
        <v>18</v>
      </c>
      <c r="T644" s="434"/>
      <c r="U644" s="434" t="s">
        <v>19</v>
      </c>
      <c r="V644" s="434"/>
      <c r="W644" s="434" t="s">
        <v>537</v>
      </c>
      <c r="X644" s="1140"/>
      <c r="Y644" s="1141"/>
      <c r="Z644" s="1141"/>
      <c r="AA644" s="1142"/>
      <c r="AB644" s="678"/>
    </row>
    <row r="645" spans="1:38" ht="12.6" customHeight="1" x14ac:dyDescent="0.2">
      <c r="B645" s="775" t="s">
        <v>721</v>
      </c>
      <c r="C645" s="775"/>
      <c r="D645" s="775"/>
      <c r="E645" s="775"/>
      <c r="F645" s="615">
        <f>21.73*X2</f>
        <v>27162.5</v>
      </c>
      <c r="G645" s="298">
        <f>+F645*$X$1</f>
        <v>27162.5</v>
      </c>
      <c r="H645" s="96">
        <f>F645+4000</f>
        <v>31162.5</v>
      </c>
      <c r="I645" s="298">
        <f t="shared" ref="I645" si="1866">+H645*$X$1</f>
        <v>31162.5</v>
      </c>
      <c r="J645" s="85">
        <f>F645+1000</f>
        <v>28162.5</v>
      </c>
      <c r="K645" s="271">
        <f>+J645*$X$1</f>
        <v>28162.5</v>
      </c>
      <c r="L645" s="613">
        <f>F645+650</f>
        <v>27812.5</v>
      </c>
      <c r="M645" s="271">
        <f>+L645*$X$1</f>
        <v>27812.5</v>
      </c>
      <c r="N645" s="613">
        <f>F645+500</f>
        <v>27662.5</v>
      </c>
      <c r="O645" s="271">
        <f>+N645*$X$1</f>
        <v>27662.5</v>
      </c>
      <c r="P645" s="613">
        <f>F645+400</f>
        <v>27562.5</v>
      </c>
      <c r="Q645" s="271">
        <f>+P645*$X$1</f>
        <v>27562.5</v>
      </c>
      <c r="R645" s="613">
        <f>F645+330</f>
        <v>27492.5</v>
      </c>
      <c r="S645" s="271">
        <f>+R645*$X$1</f>
        <v>27492.5</v>
      </c>
      <c r="T645" s="613">
        <f>F645+280</f>
        <v>27442.5</v>
      </c>
      <c r="U645" s="271">
        <f>+T645*$X$1</f>
        <v>27442.5</v>
      </c>
      <c r="V645" s="613">
        <f>F645+230</f>
        <v>27392.5</v>
      </c>
      <c r="W645" s="271">
        <f>+V645*$X$1</f>
        <v>27392.5</v>
      </c>
      <c r="X645" s="424"/>
      <c r="Y645" s="128"/>
      <c r="Z645" s="126"/>
      <c r="AA645" s="129"/>
      <c r="AB645" s="392" t="s">
        <v>722</v>
      </c>
    </row>
    <row r="646" spans="1:38" ht="12.6" customHeight="1" x14ac:dyDescent="0.2">
      <c r="B646" s="768" t="s">
        <v>286</v>
      </c>
      <c r="C646" s="768"/>
      <c r="D646" s="768"/>
      <c r="E646" s="768"/>
      <c r="F646" s="109"/>
      <c r="G646" s="605"/>
      <c r="H646" s="95"/>
      <c r="I646" s="95"/>
      <c r="J646" s="605"/>
      <c r="K646" s="605"/>
      <c r="L646" s="605"/>
      <c r="M646" s="605"/>
      <c r="N646" s="107"/>
      <c r="O646" s="605"/>
      <c r="P646" s="605"/>
      <c r="Q646" s="605"/>
      <c r="R646" s="605"/>
      <c r="S646" s="605"/>
      <c r="T646" s="605"/>
      <c r="U646" s="605"/>
      <c r="V646" s="265"/>
      <c r="W646" s="538"/>
      <c r="X646" s="126"/>
      <c r="Y646" s="126"/>
      <c r="Z646" s="126"/>
      <c r="AA646" s="129"/>
      <c r="AB646" s="391" t="s">
        <v>287</v>
      </c>
    </row>
    <row r="647" spans="1:38" ht="12.6" customHeight="1" x14ac:dyDescent="0.2">
      <c r="B647" s="700" t="s">
        <v>288</v>
      </c>
      <c r="C647" s="700"/>
      <c r="D647" s="700"/>
      <c r="E647" s="700"/>
      <c r="F647" s="421"/>
      <c r="G647" s="613"/>
      <c r="H647" s="99"/>
      <c r="I647" s="99"/>
      <c r="J647" s="613"/>
      <c r="K647" s="613"/>
      <c r="L647" s="613"/>
      <c r="M647" s="613"/>
      <c r="N647" s="108"/>
      <c r="O647" s="613"/>
      <c r="P647" s="613"/>
      <c r="Q647" s="613"/>
      <c r="R647" s="613"/>
      <c r="S647" s="613"/>
      <c r="T647" s="613"/>
      <c r="U647" s="613"/>
      <c r="V647" s="264"/>
      <c r="W647" s="537"/>
      <c r="X647" s="126"/>
      <c r="Y647" s="126"/>
      <c r="Z647" s="126"/>
      <c r="AA647" s="129"/>
      <c r="AB647" s="391" t="s">
        <v>289</v>
      </c>
    </row>
    <row r="648" spans="1:38" ht="12.6" customHeight="1" x14ac:dyDescent="0.2">
      <c r="B648" s="768" t="s">
        <v>686</v>
      </c>
      <c r="C648" s="768"/>
      <c r="D648" s="768"/>
      <c r="E648" s="768"/>
      <c r="F648" s="422">
        <f>20.59*X2</f>
        <v>25737.5</v>
      </c>
      <c r="G648" s="270">
        <f>+F648*$X$1</f>
        <v>25737.5</v>
      </c>
      <c r="H648" s="605">
        <f>F648+4000</f>
        <v>29737.5</v>
      </c>
      <c r="I648" s="270">
        <f t="shared" ref="I648" si="1867">+H648*$X$1</f>
        <v>29737.5</v>
      </c>
      <c r="J648" s="605">
        <f>F648+1000</f>
        <v>26737.5</v>
      </c>
      <c r="K648" s="270">
        <f t="shared" ref="K648" si="1868">+J648*$X$1</f>
        <v>26737.5</v>
      </c>
      <c r="L648" s="605">
        <f>F648+700</f>
        <v>26437.5</v>
      </c>
      <c r="M648" s="270">
        <f t="shared" ref="M648" si="1869">+L648*$X$1</f>
        <v>26437.5</v>
      </c>
      <c r="N648" s="605">
        <f>F648+600</f>
        <v>26337.5</v>
      </c>
      <c r="O648" s="270">
        <f t="shared" ref="O648" si="1870">+N648*$X$1</f>
        <v>26337.5</v>
      </c>
      <c r="P648" s="605">
        <f>F648+500</f>
        <v>26237.5</v>
      </c>
      <c r="Q648" s="270">
        <f t="shared" ref="Q648" si="1871">+P648*$X$1</f>
        <v>26237.5</v>
      </c>
      <c r="R648" s="605">
        <f>F648+430</f>
        <v>26167.5</v>
      </c>
      <c r="S648" s="270">
        <f t="shared" ref="S648" si="1872">+R648*$X$1</f>
        <v>26167.5</v>
      </c>
      <c r="T648" s="605">
        <f>F648+370</f>
        <v>26107.5</v>
      </c>
      <c r="U648" s="270">
        <f t="shared" ref="U648" si="1873">+T648*$X$1</f>
        <v>26107.5</v>
      </c>
      <c r="V648" s="605">
        <f>F648+310</f>
        <v>26047.5</v>
      </c>
      <c r="W648" s="270">
        <f t="shared" ref="W648" si="1874">+V648*$X$1</f>
        <v>26047.5</v>
      </c>
      <c r="X648" s="418"/>
      <c r="Y648" s="128"/>
      <c r="Z648" s="126"/>
      <c r="AA648" s="129"/>
      <c r="AB648" s="391" t="s">
        <v>687</v>
      </c>
    </row>
    <row r="649" spans="1:38" ht="12.6" customHeight="1" x14ac:dyDescent="0.2">
      <c r="B649" s="700" t="s">
        <v>824</v>
      </c>
      <c r="C649" s="700"/>
      <c r="D649" s="700"/>
      <c r="E649" s="700"/>
      <c r="F649" s="423">
        <f>22.35*X2</f>
        <v>27937.5</v>
      </c>
      <c r="G649" s="271">
        <f>+F649*$X$1</f>
        <v>27937.5</v>
      </c>
      <c r="H649" s="96"/>
      <c r="I649" s="298"/>
      <c r="J649" s="96">
        <f>F649+1200</f>
        <v>29137.5</v>
      </c>
      <c r="K649" s="298">
        <f t="shared" ref="K649:K651" si="1875">+J649*$X$1</f>
        <v>29137.5</v>
      </c>
      <c r="L649" s="96">
        <f>F649+900</f>
        <v>28837.5</v>
      </c>
      <c r="M649" s="298">
        <f t="shared" ref="M649:M651" si="1876">+L649*$X$1</f>
        <v>28837.5</v>
      </c>
      <c r="N649" s="96">
        <f>F649+700</f>
        <v>28637.5</v>
      </c>
      <c r="O649" s="298">
        <f t="shared" ref="O649:O651" si="1877">+N649*$X$1</f>
        <v>28637.5</v>
      </c>
      <c r="P649" s="96">
        <f>F649+620</f>
        <v>28557.5</v>
      </c>
      <c r="Q649" s="298">
        <f t="shared" ref="Q649:Q651" si="1878">+P649*$X$1</f>
        <v>28557.5</v>
      </c>
      <c r="R649" s="96">
        <f>F649+550</f>
        <v>28487.5</v>
      </c>
      <c r="S649" s="298">
        <f t="shared" ref="S649:S651" si="1879">+R649*$X$1</f>
        <v>28487.5</v>
      </c>
      <c r="T649" s="96">
        <f>F649+480</f>
        <v>28417.5</v>
      </c>
      <c r="U649" s="298">
        <f t="shared" ref="U649:U651" si="1880">+T649*$X$1</f>
        <v>28417.5</v>
      </c>
      <c r="V649" s="96">
        <f>F649+420</f>
        <v>28357.5</v>
      </c>
      <c r="W649" s="298">
        <f t="shared" ref="W649:W651" si="1881">+V649*$X$1</f>
        <v>28357.5</v>
      </c>
      <c r="X649" s="476"/>
      <c r="Y649" s="128"/>
      <c r="Z649" s="126"/>
      <c r="AA649" s="129"/>
      <c r="AB649" s="391" t="s">
        <v>823</v>
      </c>
    </row>
    <row r="650" spans="1:38" ht="12.6" customHeight="1" x14ac:dyDescent="0.2">
      <c r="B650" s="768" t="s">
        <v>688</v>
      </c>
      <c r="C650" s="768"/>
      <c r="D650" s="768"/>
      <c r="E650" s="768"/>
      <c r="F650" s="422">
        <f>38.5*X2</f>
        <v>48125</v>
      </c>
      <c r="G650" s="270">
        <f>+F650*$X$1</f>
        <v>48125</v>
      </c>
      <c r="H650" s="605">
        <f>F650+4000</f>
        <v>52125</v>
      </c>
      <c r="I650" s="270">
        <f t="shared" ref="I650:I651" si="1882">+H650*$X$1</f>
        <v>52125</v>
      </c>
      <c r="J650" s="605">
        <f>F650+1000</f>
        <v>49125</v>
      </c>
      <c r="K650" s="270">
        <f t="shared" si="1875"/>
        <v>49125</v>
      </c>
      <c r="L650" s="605">
        <f>F650+700</f>
        <v>48825</v>
      </c>
      <c r="M650" s="270">
        <f t="shared" si="1876"/>
        <v>48825</v>
      </c>
      <c r="N650" s="605">
        <f>F650+600</f>
        <v>48725</v>
      </c>
      <c r="O650" s="270">
        <f t="shared" si="1877"/>
        <v>48725</v>
      </c>
      <c r="P650" s="605">
        <f>F650+500</f>
        <v>48625</v>
      </c>
      <c r="Q650" s="270">
        <f t="shared" si="1878"/>
        <v>48625</v>
      </c>
      <c r="R650" s="605">
        <f>F650+430</f>
        <v>48555</v>
      </c>
      <c r="S650" s="270">
        <f t="shared" si="1879"/>
        <v>48555</v>
      </c>
      <c r="T650" s="605">
        <f>F650+370</f>
        <v>48495</v>
      </c>
      <c r="U650" s="270">
        <f t="shared" si="1880"/>
        <v>48495</v>
      </c>
      <c r="V650" s="605">
        <f>F650+310</f>
        <v>48435</v>
      </c>
      <c r="W650" s="270">
        <f t="shared" si="1881"/>
        <v>48435</v>
      </c>
      <c r="X650" s="418"/>
      <c r="Y650" s="128"/>
      <c r="Z650" s="126"/>
      <c r="AA650" s="129"/>
      <c r="AB650" s="391" t="s">
        <v>689</v>
      </c>
    </row>
    <row r="651" spans="1:38" ht="12.6" customHeight="1" x14ac:dyDescent="0.2">
      <c r="B651" s="700" t="s">
        <v>817</v>
      </c>
      <c r="C651" s="700"/>
      <c r="D651" s="700"/>
      <c r="E651" s="700"/>
      <c r="F651" s="423">
        <f>30.6*X2</f>
        <v>38250</v>
      </c>
      <c r="G651" s="271">
        <f>+F651*$X$1</f>
        <v>38250</v>
      </c>
      <c r="H651" s="96">
        <f>F651+5000</f>
        <v>43250</v>
      </c>
      <c r="I651" s="298">
        <f t="shared" si="1882"/>
        <v>43250</v>
      </c>
      <c r="J651" s="96">
        <f>F651+2200</f>
        <v>40450</v>
      </c>
      <c r="K651" s="298">
        <f t="shared" si="1875"/>
        <v>40450</v>
      </c>
      <c r="L651" s="96">
        <f>F651+1900</f>
        <v>40150</v>
      </c>
      <c r="M651" s="298">
        <f t="shared" si="1876"/>
        <v>40150</v>
      </c>
      <c r="N651" s="96">
        <f>F651+1500</f>
        <v>39750</v>
      </c>
      <c r="O651" s="298">
        <f t="shared" si="1877"/>
        <v>39750</v>
      </c>
      <c r="P651" s="96">
        <f>F651+1350</f>
        <v>39600</v>
      </c>
      <c r="Q651" s="298">
        <f t="shared" si="1878"/>
        <v>39600</v>
      </c>
      <c r="R651" s="96">
        <f>F651+1250</f>
        <v>39500</v>
      </c>
      <c r="S651" s="298">
        <f t="shared" si="1879"/>
        <v>39500</v>
      </c>
      <c r="T651" s="96">
        <f>F651+1100</f>
        <v>39350</v>
      </c>
      <c r="U651" s="298">
        <f t="shared" si="1880"/>
        <v>39350</v>
      </c>
      <c r="V651" s="96">
        <f>F651+900</f>
        <v>39150</v>
      </c>
      <c r="W651" s="298">
        <f t="shared" si="1881"/>
        <v>39150</v>
      </c>
      <c r="X651" s="475"/>
      <c r="Y651" s="128"/>
      <c r="Z651" s="126"/>
      <c r="AA651" s="129"/>
      <c r="AB651" s="391" t="s">
        <v>838</v>
      </c>
    </row>
    <row r="652" spans="1:38" ht="12.6" customHeight="1" x14ac:dyDescent="0.2">
      <c r="B652" s="768" t="s">
        <v>290</v>
      </c>
      <c r="C652" s="768"/>
      <c r="D652" s="768"/>
      <c r="E652" s="768"/>
      <c r="F652" s="109"/>
      <c r="G652" s="605"/>
      <c r="H652" s="95"/>
      <c r="I652" s="95"/>
      <c r="J652" s="605"/>
      <c r="K652" s="605"/>
      <c r="L652" s="605"/>
      <c r="M652" s="605"/>
      <c r="N652" s="605"/>
      <c r="O652" s="605"/>
      <c r="P652" s="107"/>
      <c r="Q652" s="605"/>
      <c r="R652" s="107"/>
      <c r="S652" s="605"/>
      <c r="T652" s="107"/>
      <c r="U652" s="605"/>
      <c r="V652" s="265"/>
      <c r="W652" s="540"/>
      <c r="X652" s="154"/>
      <c r="Y652" s="154"/>
      <c r="Z652" s="154"/>
      <c r="AA652" s="155"/>
      <c r="AB652" s="391" t="s">
        <v>291</v>
      </c>
    </row>
    <row r="653" spans="1:38" ht="12.6" customHeight="1" x14ac:dyDescent="0.2">
      <c r="B653" s="700" t="s">
        <v>292</v>
      </c>
      <c r="C653" s="700"/>
      <c r="D653" s="700"/>
      <c r="E653" s="700"/>
      <c r="F653" s="421"/>
      <c r="G653" s="613"/>
      <c r="H653" s="99"/>
      <c r="I653" s="99"/>
      <c r="J653" s="613"/>
      <c r="K653" s="613"/>
      <c r="L653" s="613"/>
      <c r="M653" s="613"/>
      <c r="N653" s="613"/>
      <c r="O653" s="613"/>
      <c r="P653" s="108"/>
      <c r="Q653" s="613"/>
      <c r="R653" s="108"/>
      <c r="S653" s="613"/>
      <c r="T653" s="108"/>
      <c r="U653" s="613"/>
      <c r="V653" s="264"/>
      <c r="W653" s="539"/>
      <c r="X653" s="154"/>
      <c r="Y653" s="154"/>
      <c r="Z653" s="154"/>
      <c r="AA653" s="155"/>
      <c r="AB653" s="391" t="s">
        <v>293</v>
      </c>
    </row>
    <row r="654" spans="1:38" ht="12.6" customHeight="1" x14ac:dyDescent="0.2">
      <c r="B654" s="768" t="s">
        <v>294</v>
      </c>
      <c r="C654" s="768"/>
      <c r="D654" s="768"/>
      <c r="E654" s="768"/>
      <c r="F654" s="109"/>
      <c r="G654" s="605"/>
      <c r="H654" s="95"/>
      <c r="I654" s="95"/>
      <c r="J654" s="605"/>
      <c r="K654" s="605"/>
      <c r="L654" s="605"/>
      <c r="M654" s="605"/>
      <c r="N654" s="605"/>
      <c r="O654" s="605"/>
      <c r="P654" s="107"/>
      <c r="Q654" s="605"/>
      <c r="R654" s="107"/>
      <c r="S654" s="605"/>
      <c r="T654" s="107"/>
      <c r="U654" s="605"/>
      <c r="V654" s="265"/>
      <c r="W654" s="540"/>
      <c r="X654" s="128"/>
      <c r="Y654" s="128"/>
      <c r="Z654" s="128"/>
      <c r="AA654" s="128"/>
      <c r="AB654" s="391" t="s">
        <v>400</v>
      </c>
    </row>
    <row r="655" spans="1:38" ht="12.6" customHeight="1" x14ac:dyDescent="0.2">
      <c r="B655" s="700" t="s">
        <v>694</v>
      </c>
      <c r="C655" s="700"/>
      <c r="D655" s="700"/>
      <c r="E655" s="700"/>
      <c r="F655" s="423">
        <f>36*X2</f>
        <v>45000</v>
      </c>
      <c r="G655" s="271">
        <f t="shared" ref="G655:G657" si="1883">+F655*$X$1</f>
        <v>45000</v>
      </c>
      <c r="H655" s="96">
        <f>F655+5000</f>
        <v>50000</v>
      </c>
      <c r="I655" s="298">
        <f t="shared" ref="I655" si="1884">+H655*$X$1</f>
        <v>50000</v>
      </c>
      <c r="J655" s="96">
        <f>F655+1000</f>
        <v>46000</v>
      </c>
      <c r="K655" s="298">
        <f t="shared" ref="K655" si="1885">+J655*$X$1</f>
        <v>46000</v>
      </c>
      <c r="L655" s="96">
        <f t="shared" ref="L655" si="1886">F655+800</f>
        <v>45800</v>
      </c>
      <c r="M655" s="298">
        <f t="shared" ref="M655" si="1887">+L655*$X$1</f>
        <v>45800</v>
      </c>
      <c r="N655" s="96">
        <f t="shared" ref="N655" si="1888">F655+700</f>
        <v>45700</v>
      </c>
      <c r="O655" s="298">
        <f t="shared" ref="O655" si="1889">+N655*$X$1</f>
        <v>45700</v>
      </c>
      <c r="P655" s="96">
        <f t="shared" ref="P655" si="1890">F655+600</f>
        <v>45600</v>
      </c>
      <c r="Q655" s="298">
        <f t="shared" ref="Q655:Q663" si="1891">+P655*$X$1</f>
        <v>45600</v>
      </c>
      <c r="R655" s="96">
        <f t="shared" ref="R655" si="1892">F655+500</f>
        <v>45500</v>
      </c>
      <c r="S655" s="298">
        <f t="shared" ref="S655:S663" si="1893">+R655*$X$1</f>
        <v>45500</v>
      </c>
      <c r="T655" s="96">
        <f t="shared" ref="T655" si="1894">F655+450</f>
        <v>45450</v>
      </c>
      <c r="U655" s="298">
        <f t="shared" ref="U655:U663" si="1895">+T655*$X$1</f>
        <v>45450</v>
      </c>
      <c r="V655" s="96">
        <f t="shared" ref="V655" si="1896">F655+360</f>
        <v>45360</v>
      </c>
      <c r="W655" s="298">
        <f t="shared" ref="W655:W663" si="1897">+V655*$X$1</f>
        <v>45360</v>
      </c>
      <c r="X655" s="420"/>
      <c r="Y655" s="128"/>
      <c r="Z655" s="126"/>
      <c r="AA655" s="129"/>
      <c r="AB655" s="391" t="s">
        <v>695</v>
      </c>
    </row>
    <row r="656" spans="1:38" s="1" customFormat="1" ht="12.6" customHeight="1" x14ac:dyDescent="0.2">
      <c r="A656" s="19"/>
      <c r="B656" s="691" t="s">
        <v>193</v>
      </c>
      <c r="C656" s="692"/>
      <c r="D656" s="692"/>
      <c r="E656" s="692"/>
      <c r="F656" s="270">
        <v>4780</v>
      </c>
      <c r="G656" s="272">
        <f t="shared" si="1883"/>
        <v>4780</v>
      </c>
      <c r="H656" s="605"/>
      <c r="I656" s="270"/>
      <c r="J656" s="70"/>
      <c r="K656" s="270"/>
      <c r="L656" s="605"/>
      <c r="M656" s="270"/>
      <c r="N656" s="605"/>
      <c r="O656" s="270"/>
      <c r="P656" s="605">
        <f t="shared" ref="P656:P663" si="1898">F656+400</f>
        <v>5180</v>
      </c>
      <c r="Q656" s="270">
        <f t="shared" si="1891"/>
        <v>5180</v>
      </c>
      <c r="R656" s="605">
        <f t="shared" ref="R656:R663" si="1899">F656+330</f>
        <v>5110</v>
      </c>
      <c r="S656" s="270">
        <f t="shared" si="1893"/>
        <v>5110</v>
      </c>
      <c r="T656" s="605">
        <f t="shared" ref="T656:T663" si="1900">F656+280</f>
        <v>5060</v>
      </c>
      <c r="U656" s="270">
        <f t="shared" si="1895"/>
        <v>5060</v>
      </c>
      <c r="V656" s="605">
        <f t="shared" ref="V656:V663" si="1901">F656+220</f>
        <v>5000</v>
      </c>
      <c r="W656" s="270">
        <f t="shared" si="1897"/>
        <v>5000</v>
      </c>
      <c r="X656" s="685"/>
      <c r="Y656" s="771"/>
      <c r="Z656" s="771"/>
      <c r="AA656" s="687"/>
      <c r="AB656" s="184">
        <v>965</v>
      </c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1" customFormat="1" ht="12.6" customHeight="1" x14ac:dyDescent="0.2">
      <c r="A657" s="19"/>
      <c r="B657" s="708" t="s">
        <v>194</v>
      </c>
      <c r="C657" s="709"/>
      <c r="D657" s="709"/>
      <c r="E657" s="710"/>
      <c r="F657" s="271">
        <v>7340</v>
      </c>
      <c r="G657" s="273">
        <f t="shared" si="1883"/>
        <v>7340</v>
      </c>
      <c r="H657" s="613"/>
      <c r="I657" s="271"/>
      <c r="J657" s="85"/>
      <c r="K657" s="271"/>
      <c r="L657" s="613"/>
      <c r="M657" s="271"/>
      <c r="N657" s="613"/>
      <c r="O657" s="271"/>
      <c r="P657" s="613">
        <f t="shared" si="1898"/>
        <v>7740</v>
      </c>
      <c r="Q657" s="271">
        <f t="shared" si="1891"/>
        <v>7740</v>
      </c>
      <c r="R657" s="613">
        <f t="shared" si="1899"/>
        <v>7670</v>
      </c>
      <c r="S657" s="271">
        <f t="shared" si="1893"/>
        <v>7670</v>
      </c>
      <c r="T657" s="613">
        <f t="shared" si="1900"/>
        <v>7620</v>
      </c>
      <c r="U657" s="271">
        <f t="shared" si="1895"/>
        <v>7620</v>
      </c>
      <c r="V657" s="613">
        <f t="shared" si="1901"/>
        <v>7560</v>
      </c>
      <c r="W657" s="271">
        <f t="shared" si="1897"/>
        <v>7560</v>
      </c>
      <c r="X657" s="145"/>
      <c r="Y657" s="146"/>
      <c r="Z657" s="146"/>
      <c r="AA657" s="147"/>
      <c r="AB657" s="384">
        <v>967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633" t="s">
        <v>336</v>
      </c>
      <c r="C658" s="634"/>
      <c r="D658" s="634"/>
      <c r="E658" s="635"/>
      <c r="F658" s="270">
        <v>4485</v>
      </c>
      <c r="G658" s="272">
        <f t="shared" ref="G658" si="1902">+F658*$X$1</f>
        <v>4485</v>
      </c>
      <c r="H658" s="605"/>
      <c r="I658" s="270"/>
      <c r="J658" s="70"/>
      <c r="K658" s="270"/>
      <c r="L658" s="605"/>
      <c r="M658" s="270"/>
      <c r="N658" s="605"/>
      <c r="O658" s="270"/>
      <c r="P658" s="605">
        <f t="shared" si="1898"/>
        <v>4885</v>
      </c>
      <c r="Q658" s="270">
        <f t="shared" si="1891"/>
        <v>4885</v>
      </c>
      <c r="R658" s="605">
        <f t="shared" si="1899"/>
        <v>4815</v>
      </c>
      <c r="S658" s="270">
        <f t="shared" si="1893"/>
        <v>4815</v>
      </c>
      <c r="T658" s="605">
        <f t="shared" si="1900"/>
        <v>4765</v>
      </c>
      <c r="U658" s="270">
        <f t="shared" si="1895"/>
        <v>4765</v>
      </c>
      <c r="V658" s="605">
        <f t="shared" si="1901"/>
        <v>4705</v>
      </c>
      <c r="W658" s="270">
        <f t="shared" si="1897"/>
        <v>4705</v>
      </c>
      <c r="X658" s="685"/>
      <c r="Y658" s="771"/>
      <c r="Z658" s="771"/>
      <c r="AA658" s="687"/>
      <c r="AB658" s="384">
        <v>968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629" t="s">
        <v>195</v>
      </c>
      <c r="C659" s="638"/>
      <c r="D659" s="638"/>
      <c r="E659" s="638"/>
      <c r="F659" s="271">
        <v>12106</v>
      </c>
      <c r="G659" s="273">
        <f t="shared" ref="G659" si="1903">+F659*$X$1</f>
        <v>12106</v>
      </c>
      <c r="H659" s="613"/>
      <c r="I659" s="271"/>
      <c r="J659" s="85"/>
      <c r="K659" s="271"/>
      <c r="L659" s="613"/>
      <c r="M659" s="271"/>
      <c r="N659" s="613"/>
      <c r="O659" s="271"/>
      <c r="P659" s="613">
        <f t="shared" si="1898"/>
        <v>12506</v>
      </c>
      <c r="Q659" s="271">
        <f t="shared" si="1891"/>
        <v>12506</v>
      </c>
      <c r="R659" s="613">
        <f t="shared" si="1899"/>
        <v>12436</v>
      </c>
      <c r="S659" s="271">
        <f t="shared" si="1893"/>
        <v>12436</v>
      </c>
      <c r="T659" s="613">
        <f t="shared" si="1900"/>
        <v>12386</v>
      </c>
      <c r="U659" s="271">
        <f t="shared" si="1895"/>
        <v>12386</v>
      </c>
      <c r="V659" s="613">
        <f t="shared" si="1901"/>
        <v>12326</v>
      </c>
      <c r="W659" s="271">
        <f t="shared" si="1897"/>
        <v>12326</v>
      </c>
      <c r="X659" s="685"/>
      <c r="Y659" s="771"/>
      <c r="Z659" s="771"/>
      <c r="AA659" s="687"/>
      <c r="AB659" s="384">
        <v>969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633" t="s">
        <v>353</v>
      </c>
      <c r="C660" s="634"/>
      <c r="D660" s="634"/>
      <c r="E660" s="635"/>
      <c r="F660" s="270">
        <v>11100</v>
      </c>
      <c r="G660" s="272">
        <f t="shared" ref="G660" si="1904">+F660*$X$1</f>
        <v>11100</v>
      </c>
      <c r="H660" s="605"/>
      <c r="I660" s="270"/>
      <c r="J660" s="70"/>
      <c r="K660" s="270"/>
      <c r="L660" s="605"/>
      <c r="M660" s="270"/>
      <c r="N660" s="605"/>
      <c r="O660" s="270"/>
      <c r="P660" s="605">
        <f t="shared" si="1898"/>
        <v>11500</v>
      </c>
      <c r="Q660" s="270">
        <f t="shared" si="1891"/>
        <v>11500</v>
      </c>
      <c r="R660" s="605">
        <f t="shared" si="1899"/>
        <v>11430</v>
      </c>
      <c r="S660" s="270">
        <f t="shared" si="1893"/>
        <v>11430</v>
      </c>
      <c r="T660" s="605">
        <f t="shared" si="1900"/>
        <v>11380</v>
      </c>
      <c r="U660" s="270">
        <f t="shared" si="1895"/>
        <v>11380</v>
      </c>
      <c r="V660" s="605">
        <f t="shared" si="1901"/>
        <v>11320</v>
      </c>
      <c r="W660" s="270">
        <f t="shared" si="1897"/>
        <v>11320</v>
      </c>
      <c r="X660" s="207"/>
      <c r="Y660" s="209"/>
      <c r="Z660" s="209"/>
      <c r="AA660" s="208"/>
      <c r="AB660" s="384" t="s">
        <v>427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29" t="s">
        <v>196</v>
      </c>
      <c r="C661" s="638"/>
      <c r="D661" s="638"/>
      <c r="E661" s="638"/>
      <c r="F661" s="271">
        <v>3090</v>
      </c>
      <c r="G661" s="273">
        <f t="shared" ref="G661" si="1905">+F661*$X$1</f>
        <v>3090</v>
      </c>
      <c r="H661" s="613"/>
      <c r="I661" s="271"/>
      <c r="J661" s="85"/>
      <c r="K661" s="271"/>
      <c r="L661" s="613"/>
      <c r="M661" s="271"/>
      <c r="N661" s="613"/>
      <c r="O661" s="271"/>
      <c r="P661" s="613">
        <f t="shared" si="1898"/>
        <v>3490</v>
      </c>
      <c r="Q661" s="271">
        <f t="shared" si="1891"/>
        <v>3490</v>
      </c>
      <c r="R661" s="613">
        <f t="shared" si="1899"/>
        <v>3420</v>
      </c>
      <c r="S661" s="271">
        <f t="shared" si="1893"/>
        <v>3420</v>
      </c>
      <c r="T661" s="613">
        <f t="shared" si="1900"/>
        <v>3370</v>
      </c>
      <c r="U661" s="271">
        <f t="shared" si="1895"/>
        <v>3370</v>
      </c>
      <c r="V661" s="613">
        <f t="shared" si="1901"/>
        <v>3310</v>
      </c>
      <c r="W661" s="271">
        <f t="shared" si="1897"/>
        <v>3310</v>
      </c>
      <c r="X661" s="685"/>
      <c r="Y661" s="771"/>
      <c r="Z661" s="771"/>
      <c r="AA661" s="687"/>
      <c r="AB661" s="384">
        <v>970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91" t="s">
        <v>197</v>
      </c>
      <c r="C662" s="692"/>
      <c r="D662" s="692"/>
      <c r="E662" s="692"/>
      <c r="F662" s="270">
        <v>3193</v>
      </c>
      <c r="G662" s="272">
        <f t="shared" ref="G662" si="1906">+F662*$X$1</f>
        <v>3193</v>
      </c>
      <c r="H662" s="605"/>
      <c r="I662" s="270"/>
      <c r="J662" s="70"/>
      <c r="K662" s="270"/>
      <c r="L662" s="605"/>
      <c r="M662" s="270"/>
      <c r="N662" s="605"/>
      <c r="O662" s="270"/>
      <c r="P662" s="605">
        <f t="shared" si="1898"/>
        <v>3593</v>
      </c>
      <c r="Q662" s="270">
        <f t="shared" si="1891"/>
        <v>3593</v>
      </c>
      <c r="R662" s="605">
        <f t="shared" si="1899"/>
        <v>3523</v>
      </c>
      <c r="S662" s="270">
        <f t="shared" si="1893"/>
        <v>3523</v>
      </c>
      <c r="T662" s="605">
        <f t="shared" si="1900"/>
        <v>3473</v>
      </c>
      <c r="U662" s="270">
        <f t="shared" si="1895"/>
        <v>3473</v>
      </c>
      <c r="V662" s="605">
        <f t="shared" si="1901"/>
        <v>3413</v>
      </c>
      <c r="W662" s="270">
        <f t="shared" si="1897"/>
        <v>3413</v>
      </c>
      <c r="X662" s="685"/>
      <c r="Y662" s="771"/>
      <c r="Z662" s="771"/>
      <c r="AA662" s="687"/>
      <c r="AB662" s="384">
        <v>971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708" t="s">
        <v>354</v>
      </c>
      <c r="C663" s="709"/>
      <c r="D663" s="709"/>
      <c r="E663" s="710"/>
      <c r="F663" s="271">
        <v>5394</v>
      </c>
      <c r="G663" s="273">
        <f t="shared" ref="G663" si="1907">+F663*$X$1</f>
        <v>5394</v>
      </c>
      <c r="H663" s="613"/>
      <c r="I663" s="271"/>
      <c r="J663" s="85"/>
      <c r="K663" s="271"/>
      <c r="L663" s="613"/>
      <c r="M663" s="271"/>
      <c r="N663" s="613"/>
      <c r="O663" s="271"/>
      <c r="P663" s="613">
        <f t="shared" si="1898"/>
        <v>5794</v>
      </c>
      <c r="Q663" s="271">
        <f t="shared" si="1891"/>
        <v>5794</v>
      </c>
      <c r="R663" s="613">
        <f t="shared" si="1899"/>
        <v>5724</v>
      </c>
      <c r="S663" s="271">
        <f t="shared" si="1893"/>
        <v>5724</v>
      </c>
      <c r="T663" s="613">
        <f t="shared" si="1900"/>
        <v>5674</v>
      </c>
      <c r="U663" s="271">
        <f t="shared" si="1895"/>
        <v>5674</v>
      </c>
      <c r="V663" s="613">
        <f t="shared" si="1901"/>
        <v>5614</v>
      </c>
      <c r="W663" s="271">
        <f t="shared" si="1897"/>
        <v>5614</v>
      </c>
      <c r="X663" s="145"/>
      <c r="Y663" s="146"/>
      <c r="Z663" s="146"/>
      <c r="AA663" s="147"/>
      <c r="AB663" s="384">
        <v>972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91" t="s">
        <v>198</v>
      </c>
      <c r="C664" s="692"/>
      <c r="D664" s="692"/>
      <c r="E664" s="692"/>
      <c r="F664" s="605"/>
      <c r="G664" s="605"/>
      <c r="H664" s="265"/>
      <c r="I664" s="265"/>
      <c r="J664" s="70"/>
      <c r="K664" s="605"/>
      <c r="L664" s="605"/>
      <c r="M664" s="605"/>
      <c r="N664" s="605"/>
      <c r="O664" s="605"/>
      <c r="P664" s="605"/>
      <c r="Q664" s="605"/>
      <c r="R664" s="605"/>
      <c r="S664" s="605"/>
      <c r="T664" s="605"/>
      <c r="U664" s="605"/>
      <c r="V664" s="605"/>
      <c r="W664" s="605"/>
      <c r="X664" s="672"/>
      <c r="Y664" s="1118"/>
      <c r="Z664" s="1118"/>
      <c r="AA664" s="948"/>
      <c r="AB664" s="184">
        <v>980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29" t="s">
        <v>199</v>
      </c>
      <c r="C665" s="630"/>
      <c r="D665" s="630"/>
      <c r="E665" s="630"/>
      <c r="F665" s="96"/>
      <c r="G665" s="613"/>
      <c r="H665" s="264"/>
      <c r="I665" s="264"/>
      <c r="J665" s="85"/>
      <c r="K665" s="613"/>
      <c r="L665" s="613"/>
      <c r="M665" s="613"/>
      <c r="N665" s="613"/>
      <c r="O665" s="613"/>
      <c r="P665" s="613"/>
      <c r="Q665" s="613"/>
      <c r="R665" s="613"/>
      <c r="S665" s="613"/>
      <c r="T665" s="613"/>
      <c r="U665" s="613"/>
      <c r="V665" s="613"/>
      <c r="W665" s="613"/>
      <c r="X665" s="672"/>
      <c r="Y665" s="1118"/>
      <c r="Z665" s="1118"/>
      <c r="AA665" s="948"/>
      <c r="AB665" s="184">
        <v>981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633" t="s">
        <v>443</v>
      </c>
      <c r="C666" s="747"/>
      <c r="D666" s="747"/>
      <c r="E666" s="748"/>
      <c r="F666" s="97"/>
      <c r="G666" s="605"/>
      <c r="H666" s="265"/>
      <c r="I666" s="265"/>
      <c r="J666" s="70"/>
      <c r="K666" s="605"/>
      <c r="L666" s="605"/>
      <c r="M666" s="605"/>
      <c r="N666" s="605"/>
      <c r="O666" s="605"/>
      <c r="P666" s="605"/>
      <c r="Q666" s="605"/>
      <c r="R666" s="605"/>
      <c r="S666" s="605"/>
      <c r="T666" s="605"/>
      <c r="U666" s="605"/>
      <c r="V666" s="605"/>
      <c r="W666" s="605"/>
      <c r="X666" s="672"/>
      <c r="Y666" s="1118"/>
      <c r="Z666" s="1118"/>
      <c r="AA666" s="948"/>
      <c r="AB666" s="184">
        <v>982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708" t="s">
        <v>476</v>
      </c>
      <c r="C667" s="831"/>
      <c r="D667" s="831"/>
      <c r="E667" s="832"/>
      <c r="F667" s="96"/>
      <c r="G667" s="613"/>
      <c r="H667" s="264"/>
      <c r="I667" s="264"/>
      <c r="J667" s="85"/>
      <c r="K667" s="613"/>
      <c r="L667" s="613"/>
      <c r="M667" s="613"/>
      <c r="N667" s="613"/>
      <c r="O667" s="613"/>
      <c r="P667" s="613"/>
      <c r="Q667" s="613"/>
      <c r="R667" s="613"/>
      <c r="S667" s="613"/>
      <c r="T667" s="613"/>
      <c r="U667" s="613"/>
      <c r="V667" s="613"/>
      <c r="W667" s="613"/>
      <c r="X667" s="672"/>
      <c r="Y667" s="1118"/>
      <c r="Z667" s="1118"/>
      <c r="AA667" s="948"/>
      <c r="AB667" s="184">
        <v>983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633" t="s">
        <v>200</v>
      </c>
      <c r="C668" s="747"/>
      <c r="D668" s="747"/>
      <c r="E668" s="748"/>
      <c r="F668" s="605"/>
      <c r="G668" s="605"/>
      <c r="H668" s="265"/>
      <c r="I668" s="265"/>
      <c r="J668" s="70"/>
      <c r="K668" s="605"/>
      <c r="L668" s="605"/>
      <c r="M668" s="605"/>
      <c r="N668" s="605"/>
      <c r="O668" s="605"/>
      <c r="P668" s="605"/>
      <c r="Q668" s="605"/>
      <c r="R668" s="605"/>
      <c r="S668" s="605"/>
      <c r="T668" s="605"/>
      <c r="U668" s="605"/>
      <c r="V668" s="605"/>
      <c r="W668" s="605"/>
      <c r="X668" s="672"/>
      <c r="Y668" s="1118"/>
      <c r="Z668" s="1118"/>
      <c r="AA668" s="948"/>
      <c r="AB668" s="184">
        <v>984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708" t="s">
        <v>201</v>
      </c>
      <c r="C669" s="831"/>
      <c r="D669" s="831"/>
      <c r="E669" s="832"/>
      <c r="F669" s="613"/>
      <c r="G669" s="613"/>
      <c r="H669" s="264"/>
      <c r="I669" s="264"/>
      <c r="J669" s="85"/>
      <c r="K669" s="613"/>
      <c r="L669" s="613"/>
      <c r="M669" s="613"/>
      <c r="N669" s="613"/>
      <c r="O669" s="613"/>
      <c r="P669" s="613"/>
      <c r="Q669" s="613"/>
      <c r="R669" s="613"/>
      <c r="S669" s="613"/>
      <c r="T669" s="613"/>
      <c r="U669" s="613"/>
      <c r="V669" s="613"/>
      <c r="W669" s="613"/>
      <c r="X669" s="672"/>
      <c r="Y669" s="1118"/>
      <c r="Z669" s="1118"/>
      <c r="AA669" s="948"/>
      <c r="AB669" s="184">
        <v>985</v>
      </c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s="1" customFormat="1" ht="12.6" customHeight="1" x14ac:dyDescent="0.2">
      <c r="A670" s="19"/>
      <c r="B670" s="735" t="s">
        <v>898</v>
      </c>
      <c r="C670" s="736"/>
      <c r="D670" s="736"/>
      <c r="E670" s="737"/>
      <c r="F670" s="422">
        <f>21.75*X2</f>
        <v>27187.5</v>
      </c>
      <c r="G670" s="270">
        <f>+F670*$X$1</f>
        <v>27187.5</v>
      </c>
      <c r="H670" s="605">
        <f>F670+3000</f>
        <v>30187.5</v>
      </c>
      <c r="I670" s="270">
        <f t="shared" ref="I670" si="1908">+H670*$X$1</f>
        <v>30187.5</v>
      </c>
      <c r="J670" s="605">
        <f>F670+900</f>
        <v>28087.5</v>
      </c>
      <c r="K670" s="270">
        <f t="shared" ref="K670" si="1909">+J670*$X$1</f>
        <v>28087.5</v>
      </c>
      <c r="L670" s="605">
        <f>F670+700</f>
        <v>27887.5</v>
      </c>
      <c r="M670" s="270">
        <f t="shared" ref="M670" si="1910">+L670*$X$1</f>
        <v>27887.5</v>
      </c>
      <c r="N670" s="605">
        <f>F670+500</f>
        <v>27687.5</v>
      </c>
      <c r="O670" s="270">
        <f t="shared" ref="O670" si="1911">+N670*$X$1</f>
        <v>27687.5</v>
      </c>
      <c r="P670" s="605">
        <f>F670+400</f>
        <v>27587.5</v>
      </c>
      <c r="Q670" s="270">
        <f t="shared" ref="Q670" si="1912">+P670*$X$1</f>
        <v>27587.5</v>
      </c>
      <c r="R670" s="605">
        <f>F670+330</f>
        <v>27517.5</v>
      </c>
      <c r="S670" s="270">
        <f t="shared" ref="S670" si="1913">+R670*$X$1</f>
        <v>27517.5</v>
      </c>
      <c r="T670" s="605">
        <f>F670+280</f>
        <v>27467.5</v>
      </c>
      <c r="U670" s="270">
        <f t="shared" ref="U670" si="1914">+T670*$X$1</f>
        <v>27467.5</v>
      </c>
      <c r="V670" s="605">
        <f>F670+220</f>
        <v>27407.5</v>
      </c>
      <c r="W670" s="270">
        <f t="shared" ref="W670" si="1915">+V670*$X$1</f>
        <v>27407.5</v>
      </c>
      <c r="X670" s="685"/>
      <c r="Y670" s="686"/>
      <c r="Z670" s="686"/>
      <c r="AA670" s="687"/>
      <c r="AB670" s="184">
        <v>990</v>
      </c>
      <c r="AC670" s="4"/>
      <c r="AD670" s="4"/>
      <c r="AE670" s="4"/>
      <c r="AF670" s="4"/>
      <c r="AG670" s="4"/>
      <c r="AH670" s="120"/>
      <c r="AI670" s="4"/>
      <c r="AJ670" s="4"/>
      <c r="AK670" s="4"/>
      <c r="AL670" s="4"/>
    </row>
    <row r="671" spans="1:38" ht="12.6" customHeight="1" x14ac:dyDescent="0.2">
      <c r="B671" s="700" t="s">
        <v>691</v>
      </c>
      <c r="C671" s="700"/>
      <c r="D671" s="700"/>
      <c r="E671" s="700"/>
      <c r="F671" s="423">
        <f>23*X2</f>
        <v>28750</v>
      </c>
      <c r="G671" s="271">
        <f>+F671*$X$1</f>
        <v>28750</v>
      </c>
      <c r="H671" s="613">
        <f>F671+4500</f>
        <v>33250</v>
      </c>
      <c r="I671" s="271">
        <f t="shared" ref="I671:I672" si="1916">+H671*$X$1</f>
        <v>33250</v>
      </c>
      <c r="J671" s="613">
        <f>F671+1500</f>
        <v>30250</v>
      </c>
      <c r="K671" s="271">
        <f t="shared" ref="K671:K672" si="1917">+J671*$X$1</f>
        <v>30250</v>
      </c>
      <c r="L671" s="613">
        <f>F671+1200</f>
        <v>29950</v>
      </c>
      <c r="M671" s="271">
        <f t="shared" ref="M671:M672" si="1918">+L671*$X$1</f>
        <v>29950</v>
      </c>
      <c r="N671" s="613">
        <f>F671+900</f>
        <v>29650</v>
      </c>
      <c r="O671" s="271">
        <f t="shared" ref="O671:O672" si="1919">+N671*$X$1</f>
        <v>29650</v>
      </c>
      <c r="P671" s="613">
        <f>F671+750</f>
        <v>29500</v>
      </c>
      <c r="Q671" s="271">
        <f t="shared" ref="Q671:Q672" si="1920">+P671*$X$1</f>
        <v>29500</v>
      </c>
      <c r="R671" s="613">
        <f>F671+650</f>
        <v>29400</v>
      </c>
      <c r="S671" s="271">
        <f t="shared" ref="S671:S672" si="1921">+R671*$X$1</f>
        <v>29400</v>
      </c>
      <c r="T671" s="613">
        <f>F671+500</f>
        <v>29250</v>
      </c>
      <c r="U671" s="271">
        <f t="shared" ref="U671:U672" si="1922">+T671*$X$1</f>
        <v>29250</v>
      </c>
      <c r="V671" s="613">
        <f>F671+400</f>
        <v>29150</v>
      </c>
      <c r="W671" s="271">
        <f t="shared" ref="W671:W672" si="1923">+V671*$X$1</f>
        <v>29150</v>
      </c>
      <c r="X671" s="420"/>
      <c r="Y671" s="128"/>
      <c r="Z671" s="126"/>
      <c r="AA671" s="129"/>
      <c r="AB671" s="391" t="s">
        <v>690</v>
      </c>
    </row>
    <row r="672" spans="1:38" s="1" customFormat="1" ht="12.6" customHeight="1" x14ac:dyDescent="0.2">
      <c r="A672" s="19"/>
      <c r="B672" s="735" t="s">
        <v>874</v>
      </c>
      <c r="C672" s="736"/>
      <c r="D672" s="736"/>
      <c r="E672" s="737"/>
      <c r="F672" s="422">
        <f>18.44*X2</f>
        <v>23050</v>
      </c>
      <c r="G672" s="270">
        <f>+F672*$X$1</f>
        <v>23050</v>
      </c>
      <c r="H672" s="605">
        <f>F672+3000</f>
        <v>26050</v>
      </c>
      <c r="I672" s="270">
        <f t="shared" si="1916"/>
        <v>26050</v>
      </c>
      <c r="J672" s="605">
        <f>F672+900</f>
        <v>23950</v>
      </c>
      <c r="K672" s="270">
        <f t="shared" si="1917"/>
        <v>23950</v>
      </c>
      <c r="L672" s="605">
        <f>F672+700</f>
        <v>23750</v>
      </c>
      <c r="M672" s="270">
        <f t="shared" si="1918"/>
        <v>23750</v>
      </c>
      <c r="N672" s="605">
        <f>F672+500</f>
        <v>23550</v>
      </c>
      <c r="O672" s="270">
        <f t="shared" si="1919"/>
        <v>23550</v>
      </c>
      <c r="P672" s="605">
        <f>F672+400</f>
        <v>23450</v>
      </c>
      <c r="Q672" s="270">
        <f t="shared" si="1920"/>
        <v>23450</v>
      </c>
      <c r="R672" s="605">
        <f>F672+330</f>
        <v>23380</v>
      </c>
      <c r="S672" s="270">
        <f t="shared" si="1921"/>
        <v>23380</v>
      </c>
      <c r="T672" s="605">
        <f>F672+280</f>
        <v>23330</v>
      </c>
      <c r="U672" s="270">
        <f t="shared" si="1922"/>
        <v>23330</v>
      </c>
      <c r="V672" s="605">
        <f>F672+220</f>
        <v>23270</v>
      </c>
      <c r="W672" s="270">
        <f t="shared" si="1923"/>
        <v>23270</v>
      </c>
      <c r="X672" s="685"/>
      <c r="Y672" s="686"/>
      <c r="Z672" s="686"/>
      <c r="AA672" s="687"/>
      <c r="AB672" s="184">
        <v>993</v>
      </c>
      <c r="AC672" s="4"/>
      <c r="AD672" s="4"/>
      <c r="AE672" s="4"/>
      <c r="AF672" s="4"/>
      <c r="AG672" s="4"/>
      <c r="AH672" s="120"/>
      <c r="AI672" s="4"/>
      <c r="AJ672" s="4"/>
      <c r="AK672" s="4"/>
      <c r="AL672" s="4"/>
    </row>
    <row r="673" spans="1:38" ht="12.6" customHeight="1" x14ac:dyDescent="0.2">
      <c r="B673" s="700" t="s">
        <v>692</v>
      </c>
      <c r="C673" s="700"/>
      <c r="D673" s="700"/>
      <c r="E673" s="700"/>
      <c r="F673" s="423">
        <f>36.3*X2</f>
        <v>45375</v>
      </c>
      <c r="G673" s="271">
        <f t="shared" ref="G673:G687" si="1924">+F673*$X$1</f>
        <v>45375</v>
      </c>
      <c r="H673" s="427">
        <f>F673+4500</f>
        <v>49875</v>
      </c>
      <c r="I673" s="271">
        <f t="shared" ref="I673" si="1925">+H673*$X$1</f>
        <v>49875</v>
      </c>
      <c r="J673" s="427">
        <f>F673+1500</f>
        <v>46875</v>
      </c>
      <c r="K673" s="271">
        <f t="shared" ref="K673" si="1926">+J673*$X$1</f>
        <v>46875</v>
      </c>
      <c r="L673" s="427">
        <f>F673+1200</f>
        <v>46575</v>
      </c>
      <c r="M673" s="271">
        <f t="shared" ref="M673:M674" si="1927">+L673*$X$1</f>
        <v>46575</v>
      </c>
      <c r="N673" s="427">
        <f>F673+900</f>
        <v>46275</v>
      </c>
      <c r="O673" s="271">
        <f t="shared" ref="O673:O674" si="1928">+N673*$X$1</f>
        <v>46275</v>
      </c>
      <c r="P673" s="427">
        <f>F673+750</f>
        <v>46125</v>
      </c>
      <c r="Q673" s="271">
        <f t="shared" ref="Q673:Q674" si="1929">+P673*$X$1</f>
        <v>46125</v>
      </c>
      <c r="R673" s="427">
        <f>F673+650</f>
        <v>46025</v>
      </c>
      <c r="S673" s="271">
        <f t="shared" ref="S673:S678" si="1930">+R673*$X$1</f>
        <v>46025</v>
      </c>
      <c r="T673" s="427">
        <f>F673+500</f>
        <v>45875</v>
      </c>
      <c r="U673" s="271">
        <f t="shared" ref="U673:U678" si="1931">+T673*$X$1</f>
        <v>45875</v>
      </c>
      <c r="V673" s="427">
        <f>F673+400</f>
        <v>45775</v>
      </c>
      <c r="W673" s="271">
        <f t="shared" ref="W673:W678" si="1932">+V673*$X$1</f>
        <v>45775</v>
      </c>
      <c r="X673" s="420"/>
      <c r="Y673" s="128"/>
      <c r="Z673" s="126"/>
      <c r="AA673" s="129"/>
      <c r="AB673" s="391" t="s">
        <v>693</v>
      </c>
    </row>
    <row r="674" spans="1:38" s="1" customFormat="1" ht="12.6" customHeight="1" x14ac:dyDescent="0.2">
      <c r="A674" s="19"/>
      <c r="B674" s="633" t="s">
        <v>202</v>
      </c>
      <c r="C674" s="769"/>
      <c r="D674" s="769"/>
      <c r="E674" s="770"/>
      <c r="F674" s="270">
        <v>1400</v>
      </c>
      <c r="G674" s="287">
        <f t="shared" ref="G674" si="1933">+F674*$X$1</f>
        <v>1400</v>
      </c>
      <c r="H674" s="569"/>
      <c r="I674" s="270"/>
      <c r="J674" s="569"/>
      <c r="K674" s="270"/>
      <c r="L674" s="569">
        <f>F674+700</f>
        <v>2100</v>
      </c>
      <c r="M674" s="270">
        <f t="shared" si="1927"/>
        <v>2100</v>
      </c>
      <c r="N674" s="569">
        <f>F674+500</f>
        <v>1900</v>
      </c>
      <c r="O674" s="270">
        <f t="shared" si="1928"/>
        <v>1900</v>
      </c>
      <c r="P674" s="569">
        <f>F674+400</f>
        <v>1800</v>
      </c>
      <c r="Q674" s="270">
        <f t="shared" si="1929"/>
        <v>1800</v>
      </c>
      <c r="R674" s="569">
        <f>F674+330</f>
        <v>1730</v>
      </c>
      <c r="S674" s="270">
        <f t="shared" si="1930"/>
        <v>1730</v>
      </c>
      <c r="T674" s="569">
        <f>F674+280</f>
        <v>1680</v>
      </c>
      <c r="U674" s="270">
        <f t="shared" si="1931"/>
        <v>1680</v>
      </c>
      <c r="V674" s="569">
        <f>F674+220</f>
        <v>1620</v>
      </c>
      <c r="W674" s="270">
        <f t="shared" si="1932"/>
        <v>1620</v>
      </c>
      <c r="X674" s="685"/>
      <c r="Y674" s="686"/>
      <c r="Z674" s="686"/>
      <c r="AA674" s="687"/>
      <c r="AB674" s="184">
        <v>1001</v>
      </c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spans="1:38" s="1" customFormat="1" ht="12.6" customHeight="1" x14ac:dyDescent="0.2">
      <c r="A675" s="19"/>
      <c r="B675" s="708" t="s">
        <v>203</v>
      </c>
      <c r="C675" s="952"/>
      <c r="D675" s="952"/>
      <c r="E675" s="953"/>
      <c r="F675" s="298">
        <v>1400</v>
      </c>
      <c r="G675" s="271">
        <f>+F675*$X$1</f>
        <v>1400</v>
      </c>
      <c r="H675" s="587"/>
      <c r="I675" s="572"/>
      <c r="J675" s="572"/>
      <c r="K675" s="572"/>
      <c r="L675" s="427"/>
      <c r="M675" s="271"/>
      <c r="N675" s="427"/>
      <c r="O675" s="271"/>
      <c r="P675" s="427"/>
      <c r="Q675" s="271"/>
      <c r="R675" s="427">
        <f>F675+330</f>
        <v>1730</v>
      </c>
      <c r="S675" s="271">
        <f t="shared" si="1930"/>
        <v>1730</v>
      </c>
      <c r="T675" s="427">
        <f>F675+280</f>
        <v>1680</v>
      </c>
      <c r="U675" s="271">
        <f t="shared" si="1931"/>
        <v>1680</v>
      </c>
      <c r="V675" s="427">
        <f>F675+220</f>
        <v>1620</v>
      </c>
      <c r="W675" s="271">
        <f t="shared" si="1932"/>
        <v>1620</v>
      </c>
      <c r="X675" s="685"/>
      <c r="Y675" s="686"/>
      <c r="Z675" s="686"/>
      <c r="AA675" s="687"/>
      <c r="AB675" s="184">
        <v>1002</v>
      </c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s="1" customFormat="1" ht="12.6" customHeight="1" x14ac:dyDescent="0.2">
      <c r="A676" s="19"/>
      <c r="B676" s="633" t="s">
        <v>600</v>
      </c>
      <c r="C676" s="769"/>
      <c r="D676" s="769"/>
      <c r="E676" s="770"/>
      <c r="F676" s="270">
        <v>1400</v>
      </c>
      <c r="G676" s="270">
        <f>+F676*$X$1</f>
        <v>1400</v>
      </c>
      <c r="H676" s="588"/>
      <c r="I676" s="568"/>
      <c r="J676" s="568"/>
      <c r="K676" s="568"/>
      <c r="L676" s="569"/>
      <c r="M676" s="270"/>
      <c r="N676" s="569"/>
      <c r="O676" s="270"/>
      <c r="P676" s="569"/>
      <c r="Q676" s="270"/>
      <c r="R676" s="569">
        <f>F676+330</f>
        <v>1730</v>
      </c>
      <c r="S676" s="270">
        <f t="shared" si="1930"/>
        <v>1730</v>
      </c>
      <c r="T676" s="569">
        <f>F676+280</f>
        <v>1680</v>
      </c>
      <c r="U676" s="270">
        <f t="shared" si="1931"/>
        <v>1680</v>
      </c>
      <c r="V676" s="569">
        <f>F676+220</f>
        <v>1620</v>
      </c>
      <c r="W676" s="270">
        <f t="shared" si="1932"/>
        <v>1620</v>
      </c>
      <c r="X676" s="685"/>
      <c r="Y676" s="686"/>
      <c r="Z676" s="686"/>
      <c r="AA676" s="687"/>
      <c r="AB676" s="184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s="1" customFormat="1" ht="12.6" customHeight="1" x14ac:dyDescent="0.2">
      <c r="A677" s="19"/>
      <c r="B677" s="629" t="s">
        <v>654</v>
      </c>
      <c r="C677" s="638"/>
      <c r="D677" s="638"/>
      <c r="E677" s="638"/>
      <c r="F677" s="271">
        <v>1650</v>
      </c>
      <c r="G677" s="271">
        <f>+F677*$X$1</f>
        <v>1650</v>
      </c>
      <c r="H677" s="587"/>
      <c r="I677" s="572"/>
      <c r="J677" s="572"/>
      <c r="K677" s="572"/>
      <c r="L677" s="427"/>
      <c r="M677" s="271"/>
      <c r="N677" s="427"/>
      <c r="O677" s="271"/>
      <c r="P677" s="427"/>
      <c r="Q677" s="271"/>
      <c r="R677" s="427">
        <f>F677+330</f>
        <v>1980</v>
      </c>
      <c r="S677" s="271">
        <f t="shared" si="1930"/>
        <v>1980</v>
      </c>
      <c r="T677" s="427">
        <f>F677+280</f>
        <v>1930</v>
      </c>
      <c r="U677" s="271">
        <f t="shared" si="1931"/>
        <v>1930</v>
      </c>
      <c r="V677" s="427">
        <f>F677+220</f>
        <v>1870</v>
      </c>
      <c r="W677" s="271">
        <f t="shared" si="1932"/>
        <v>1870</v>
      </c>
      <c r="X677" s="685"/>
      <c r="Y677" s="771"/>
      <c r="Z677" s="771"/>
      <c r="AA677" s="687"/>
      <c r="AB677" s="184">
        <v>1004</v>
      </c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s="1" customFormat="1" ht="12.6" customHeight="1" x14ac:dyDescent="0.2">
      <c r="A678" s="19"/>
      <c r="B678" s="633" t="s">
        <v>653</v>
      </c>
      <c r="C678" s="769"/>
      <c r="D678" s="769"/>
      <c r="E678" s="770"/>
      <c r="F678" s="270">
        <v>1650</v>
      </c>
      <c r="G678" s="270">
        <f>+F678*$X$1</f>
        <v>1650</v>
      </c>
      <c r="H678" s="588"/>
      <c r="I678" s="568"/>
      <c r="J678" s="568"/>
      <c r="K678" s="568"/>
      <c r="L678" s="569"/>
      <c r="M678" s="270"/>
      <c r="N678" s="569"/>
      <c r="O678" s="270"/>
      <c r="P678" s="569"/>
      <c r="Q678" s="270"/>
      <c r="R678" s="569">
        <f>F678+330</f>
        <v>1980</v>
      </c>
      <c r="S678" s="270">
        <f t="shared" si="1930"/>
        <v>1980</v>
      </c>
      <c r="T678" s="569">
        <f>F678+280</f>
        <v>1930</v>
      </c>
      <c r="U678" s="270">
        <f t="shared" si="1931"/>
        <v>1930</v>
      </c>
      <c r="V678" s="569">
        <f>F678+220</f>
        <v>1870</v>
      </c>
      <c r="W678" s="270">
        <f t="shared" si="1932"/>
        <v>1870</v>
      </c>
      <c r="X678" s="685"/>
      <c r="Y678" s="686"/>
      <c r="Z678" s="686"/>
      <c r="AA678" s="687"/>
      <c r="AB678" s="184">
        <v>1005</v>
      </c>
      <c r="AC678" s="4"/>
      <c r="AD678" s="4"/>
      <c r="AE678" s="4"/>
      <c r="AF678" s="4"/>
      <c r="AG678" s="4"/>
      <c r="AH678" s="120"/>
      <c r="AI678" s="4"/>
      <c r="AJ678" s="4"/>
      <c r="AK678" s="4"/>
      <c r="AL678" s="4"/>
    </row>
    <row r="679" spans="1:38" s="1" customFormat="1" ht="12.6" customHeight="1" x14ac:dyDescent="0.2">
      <c r="A679" s="19"/>
      <c r="B679" s="708" t="s">
        <v>204</v>
      </c>
      <c r="C679" s="709"/>
      <c r="D679" s="709"/>
      <c r="E679" s="710"/>
      <c r="F679" s="271"/>
      <c r="G679" s="271"/>
      <c r="H679" s="589"/>
      <c r="I679" s="572"/>
      <c r="J679" s="572"/>
      <c r="K679" s="572"/>
      <c r="L679" s="572"/>
      <c r="M679" s="572"/>
      <c r="N679" s="427"/>
      <c r="O679" s="271"/>
      <c r="P679" s="427"/>
      <c r="Q679" s="271"/>
      <c r="R679" s="427"/>
      <c r="S679" s="271"/>
      <c r="T679" s="427"/>
      <c r="U679" s="271"/>
      <c r="V679" s="427"/>
      <c r="W679" s="271"/>
      <c r="X679" s="685"/>
      <c r="Y679" s="686"/>
      <c r="Z679" s="686"/>
      <c r="AA679" s="687"/>
      <c r="AB679" s="184">
        <v>1006</v>
      </c>
      <c r="AC679" s="4"/>
      <c r="AD679" s="4"/>
      <c r="AE679" s="4"/>
      <c r="AF679" s="4"/>
      <c r="AG679" s="4"/>
      <c r="AH679" s="120"/>
      <c r="AI679" s="4"/>
      <c r="AJ679" s="4"/>
      <c r="AK679" s="4"/>
      <c r="AL679" s="4"/>
    </row>
    <row r="680" spans="1:38" s="1" customFormat="1" ht="12.6" customHeight="1" x14ac:dyDescent="0.2">
      <c r="A680" s="19"/>
      <c r="B680" s="633" t="s">
        <v>527</v>
      </c>
      <c r="C680" s="634"/>
      <c r="D680" s="634"/>
      <c r="E680" s="635"/>
      <c r="F680" s="272">
        <v>9116</v>
      </c>
      <c r="G680" s="272">
        <f t="shared" si="1924"/>
        <v>9116</v>
      </c>
      <c r="H680" s="569">
        <f>F680+3000</f>
        <v>12116</v>
      </c>
      <c r="I680" s="270">
        <f t="shared" ref="I680:I681" si="1934">+H680*$X$1</f>
        <v>12116</v>
      </c>
      <c r="J680" s="569">
        <f>F680+900</f>
        <v>10016</v>
      </c>
      <c r="K680" s="270">
        <f t="shared" ref="K680:K681" si="1935">+J680*$X$1</f>
        <v>10016</v>
      </c>
      <c r="L680" s="569">
        <f>F680+700</f>
        <v>9816</v>
      </c>
      <c r="M680" s="270">
        <f t="shared" ref="M680:M681" si="1936">+L680*$X$1</f>
        <v>9816</v>
      </c>
      <c r="N680" s="569">
        <f>F680+500</f>
        <v>9616</v>
      </c>
      <c r="O680" s="270">
        <f t="shared" ref="O680:O681" si="1937">+N680*$X$1</f>
        <v>9616</v>
      </c>
      <c r="P680" s="569">
        <f>F680+400</f>
        <v>9516</v>
      </c>
      <c r="Q680" s="270">
        <f t="shared" ref="Q680:Q681" si="1938">+P680*$X$1</f>
        <v>9516</v>
      </c>
      <c r="R680" s="569">
        <f>F680+330</f>
        <v>9446</v>
      </c>
      <c r="S680" s="270">
        <f t="shared" ref="S680:S681" si="1939">+R680*$X$1</f>
        <v>9446</v>
      </c>
      <c r="T680" s="569">
        <f>F680+280</f>
        <v>9396</v>
      </c>
      <c r="U680" s="270">
        <f t="shared" ref="U680:U681" si="1940">+T680*$X$1</f>
        <v>9396</v>
      </c>
      <c r="V680" s="569">
        <f>F680+220</f>
        <v>9336</v>
      </c>
      <c r="W680" s="270">
        <f t="shared" ref="W680:W681" si="1941">+V680*$X$1</f>
        <v>9336</v>
      </c>
      <c r="X680" s="685"/>
      <c r="Y680" s="686"/>
      <c r="Z680" s="686"/>
      <c r="AA680" s="687"/>
      <c r="AB680" s="184">
        <v>1010</v>
      </c>
      <c r="AC680" s="4"/>
      <c r="AD680" s="4"/>
      <c r="AE680" s="4"/>
      <c r="AF680" s="4"/>
      <c r="AG680" s="4"/>
      <c r="AH680" s="120"/>
      <c r="AI680" s="4"/>
      <c r="AJ680" s="4"/>
      <c r="AK680" s="4"/>
      <c r="AL680" s="4"/>
    </row>
    <row r="681" spans="1:38" s="1" customFormat="1" ht="12.6" customHeight="1" x14ac:dyDescent="0.2">
      <c r="A681" s="19"/>
      <c r="B681" s="708" t="s">
        <v>528</v>
      </c>
      <c r="C681" s="709"/>
      <c r="D681" s="709"/>
      <c r="E681" s="710"/>
      <c r="F681" s="271">
        <v>20824</v>
      </c>
      <c r="G681" s="271">
        <f t="shared" si="1924"/>
        <v>20824</v>
      </c>
      <c r="H681" s="427">
        <f>F681+3000</f>
        <v>23824</v>
      </c>
      <c r="I681" s="271">
        <f t="shared" si="1934"/>
        <v>23824</v>
      </c>
      <c r="J681" s="427">
        <f>F681+900</f>
        <v>21724</v>
      </c>
      <c r="K681" s="271">
        <f t="shared" si="1935"/>
        <v>21724</v>
      </c>
      <c r="L681" s="427">
        <f>F681+700</f>
        <v>21524</v>
      </c>
      <c r="M681" s="271">
        <f t="shared" si="1936"/>
        <v>21524</v>
      </c>
      <c r="N681" s="427">
        <f>F681+500</f>
        <v>21324</v>
      </c>
      <c r="O681" s="271">
        <f t="shared" si="1937"/>
        <v>21324</v>
      </c>
      <c r="P681" s="427">
        <f>F681+400</f>
        <v>21224</v>
      </c>
      <c r="Q681" s="271">
        <f t="shared" si="1938"/>
        <v>21224</v>
      </c>
      <c r="R681" s="427">
        <f>F681+330</f>
        <v>21154</v>
      </c>
      <c r="S681" s="271">
        <f t="shared" si="1939"/>
        <v>21154</v>
      </c>
      <c r="T681" s="427">
        <f>F681+280</f>
        <v>21104</v>
      </c>
      <c r="U681" s="271">
        <f t="shared" si="1940"/>
        <v>21104</v>
      </c>
      <c r="V681" s="427">
        <f>F681+220</f>
        <v>21044</v>
      </c>
      <c r="W681" s="271">
        <f t="shared" si="1941"/>
        <v>21044</v>
      </c>
      <c r="X681" s="685"/>
      <c r="Y681" s="686"/>
      <c r="Z681" s="686"/>
      <c r="AA681" s="687"/>
      <c r="AB681" s="184">
        <v>1011</v>
      </c>
      <c r="AC681" s="4"/>
      <c r="AD681" s="4"/>
      <c r="AE681" s="4"/>
      <c r="AF681" s="4"/>
      <c r="AG681" s="4"/>
      <c r="AH681" s="120"/>
      <c r="AI681" s="4"/>
      <c r="AJ681" s="4"/>
      <c r="AK681" s="4"/>
      <c r="AL681" s="4"/>
    </row>
    <row r="682" spans="1:38" s="1" customFormat="1" ht="12.6" customHeight="1" x14ac:dyDescent="0.2">
      <c r="A682" s="19"/>
      <c r="B682" s="735" t="s">
        <v>899</v>
      </c>
      <c r="C682" s="736"/>
      <c r="D682" s="736"/>
      <c r="E682" s="737"/>
      <c r="F682" s="422">
        <f>9.45*X2</f>
        <v>11812.5</v>
      </c>
      <c r="G682" s="270">
        <f>+F682*$X$1</f>
        <v>11812.5</v>
      </c>
      <c r="H682" s="569"/>
      <c r="I682" s="270"/>
      <c r="J682" s="569">
        <f>F682+2000</f>
        <v>13812.5</v>
      </c>
      <c r="K682" s="270">
        <f t="shared" ref="K682" si="1942">+J682*$X$1</f>
        <v>13812.5</v>
      </c>
      <c r="L682" s="569">
        <f>F682+1500</f>
        <v>13312.5</v>
      </c>
      <c r="M682" s="270">
        <f t="shared" ref="M682:M684" si="1943">+L682*$X$1</f>
        <v>13312.5</v>
      </c>
      <c r="N682" s="569">
        <f>F682+1200</f>
        <v>13012.5</v>
      </c>
      <c r="O682" s="270">
        <f t="shared" ref="O682:O684" si="1944">+N682*$X$1</f>
        <v>13012.5</v>
      </c>
      <c r="P682" s="569">
        <f>F682+1050</f>
        <v>12862.5</v>
      </c>
      <c r="Q682" s="270">
        <f t="shared" ref="Q682:Q684" si="1945">+P682*$X$1</f>
        <v>12862.5</v>
      </c>
      <c r="R682" s="569">
        <f>F682+950</f>
        <v>12762.5</v>
      </c>
      <c r="S682" s="270">
        <f t="shared" ref="S682:S684" si="1946">+R682*$X$1</f>
        <v>12762.5</v>
      </c>
      <c r="T682" s="569">
        <f>F682+800</f>
        <v>12612.5</v>
      </c>
      <c r="U682" s="270">
        <f t="shared" ref="U682:U684" si="1947">+T682*$X$1</f>
        <v>12612.5</v>
      </c>
      <c r="V682" s="569">
        <f>F682+650</f>
        <v>12462.5</v>
      </c>
      <c r="W682" s="270">
        <f t="shared" ref="W682:W684" si="1948">+V682*$X$1</f>
        <v>12462.5</v>
      </c>
      <c r="X682" s="685"/>
      <c r="Y682" s="686"/>
      <c r="Z682" s="686"/>
      <c r="AA682" s="687"/>
      <c r="AB682" s="184">
        <v>1020</v>
      </c>
      <c r="AC682" s="4"/>
      <c r="AD682" s="4"/>
      <c r="AE682" s="4"/>
      <c r="AF682" s="4"/>
      <c r="AG682" s="4"/>
      <c r="AH682" s="120"/>
      <c r="AI682" s="4"/>
      <c r="AJ682" s="4"/>
      <c r="AK682" s="4"/>
      <c r="AL682" s="4"/>
    </row>
    <row r="683" spans="1:38" ht="12.6" customHeight="1" x14ac:dyDescent="0.2">
      <c r="B683" s="700" t="s">
        <v>621</v>
      </c>
      <c r="C683" s="700"/>
      <c r="D683" s="700"/>
      <c r="E683" s="700"/>
      <c r="F683" s="352">
        <f>3.04*X2</f>
        <v>3800</v>
      </c>
      <c r="G683" s="271">
        <f t="shared" si="1924"/>
        <v>3800</v>
      </c>
      <c r="H683" s="99"/>
      <c r="I683" s="99"/>
      <c r="J683" s="264"/>
      <c r="K683" s="264"/>
      <c r="L683" s="427">
        <f>F683+700</f>
        <v>4500</v>
      </c>
      <c r="M683" s="271">
        <f t="shared" si="1943"/>
        <v>4500</v>
      </c>
      <c r="N683" s="427">
        <f>F683+500</f>
        <v>4300</v>
      </c>
      <c r="O683" s="271">
        <f t="shared" si="1944"/>
        <v>4300</v>
      </c>
      <c r="P683" s="427">
        <f>F683+400</f>
        <v>4200</v>
      </c>
      <c r="Q683" s="271">
        <f t="shared" si="1945"/>
        <v>4200</v>
      </c>
      <c r="R683" s="427">
        <f>F683+330</f>
        <v>4130</v>
      </c>
      <c r="S683" s="271">
        <f t="shared" si="1946"/>
        <v>4130</v>
      </c>
      <c r="T683" s="427">
        <f>F683+280</f>
        <v>4080</v>
      </c>
      <c r="U683" s="271">
        <f t="shared" si="1947"/>
        <v>4080</v>
      </c>
      <c r="V683" s="427">
        <f>F683+220</f>
        <v>4020</v>
      </c>
      <c r="W683" s="271">
        <f t="shared" si="1948"/>
        <v>4020</v>
      </c>
      <c r="X683" s="393"/>
      <c r="Y683" s="128"/>
      <c r="Z683" s="126"/>
      <c r="AA683" s="129"/>
      <c r="AB683" s="391" t="s">
        <v>622</v>
      </c>
    </row>
    <row r="684" spans="1:38" ht="12.6" customHeight="1" x14ac:dyDescent="0.2">
      <c r="B684" s="768" t="s">
        <v>626</v>
      </c>
      <c r="C684" s="768"/>
      <c r="D684" s="768"/>
      <c r="E684" s="768"/>
      <c r="F684" s="351">
        <f>11.3*X2</f>
        <v>14125</v>
      </c>
      <c r="G684" s="270">
        <f t="shared" si="1924"/>
        <v>14125</v>
      </c>
      <c r="H684" s="95"/>
      <c r="I684" s="95"/>
      <c r="J684" s="70">
        <f>F684+900</f>
        <v>15025</v>
      </c>
      <c r="K684" s="270">
        <f>+J684*$X$1</f>
        <v>15025</v>
      </c>
      <c r="L684" s="569">
        <f>F684+700</f>
        <v>14825</v>
      </c>
      <c r="M684" s="270">
        <f t="shared" si="1943"/>
        <v>14825</v>
      </c>
      <c r="N684" s="569">
        <f>F684+500</f>
        <v>14625</v>
      </c>
      <c r="O684" s="270">
        <f t="shared" si="1944"/>
        <v>14625</v>
      </c>
      <c r="P684" s="569">
        <f>F684+400</f>
        <v>14525</v>
      </c>
      <c r="Q684" s="270">
        <f t="shared" si="1945"/>
        <v>14525</v>
      </c>
      <c r="R684" s="569">
        <f>F684+330</f>
        <v>14455</v>
      </c>
      <c r="S684" s="270">
        <f t="shared" si="1946"/>
        <v>14455</v>
      </c>
      <c r="T684" s="569">
        <f>F684+280</f>
        <v>14405</v>
      </c>
      <c r="U684" s="270">
        <f t="shared" si="1947"/>
        <v>14405</v>
      </c>
      <c r="V684" s="569">
        <f>F684+220</f>
        <v>14345</v>
      </c>
      <c r="W684" s="270">
        <f t="shared" si="1948"/>
        <v>14345</v>
      </c>
      <c r="X684" s="394"/>
      <c r="Y684" s="128"/>
      <c r="Z684" s="126"/>
      <c r="AA684" s="129"/>
      <c r="AB684" s="391" t="s">
        <v>627</v>
      </c>
    </row>
    <row r="685" spans="1:38" ht="12.6" customHeight="1" x14ac:dyDescent="0.2">
      <c r="B685" s="700" t="s">
        <v>464</v>
      </c>
      <c r="C685" s="700"/>
      <c r="D685" s="700"/>
      <c r="E685" s="700"/>
      <c r="F685" s="352">
        <f>4.3*X2</f>
        <v>5375</v>
      </c>
      <c r="G685" s="271">
        <f t="shared" si="1924"/>
        <v>5375</v>
      </c>
      <c r="H685" s="99"/>
      <c r="I685" s="99"/>
      <c r="J685" s="427">
        <f>F685+1000</f>
        <v>6375</v>
      </c>
      <c r="K685" s="271">
        <f t="shared" ref="K685:K687" si="1949">+J685*$X$1</f>
        <v>6375</v>
      </c>
      <c r="L685" s="427">
        <f>F685+600</f>
        <v>5975</v>
      </c>
      <c r="M685" s="271">
        <f t="shared" ref="M685:M687" si="1950">+L685*$X$1</f>
        <v>5975</v>
      </c>
      <c r="N685" s="427">
        <f>F685+380</f>
        <v>5755</v>
      </c>
      <c r="O685" s="271">
        <f t="shared" ref="O685:O687" si="1951">+N685*$X$1</f>
        <v>5755</v>
      </c>
      <c r="P685" s="427">
        <f>F685+270</f>
        <v>5645</v>
      </c>
      <c r="Q685" s="271">
        <f t="shared" ref="Q685:Q687" si="1952">+P685*$X$1</f>
        <v>5645</v>
      </c>
      <c r="R685" s="427">
        <f>F685+180</f>
        <v>5555</v>
      </c>
      <c r="S685" s="271">
        <f t="shared" ref="S685:S687" si="1953">+R685*$X$1</f>
        <v>5555</v>
      </c>
      <c r="T685" s="427">
        <f>F685+140</f>
        <v>5515</v>
      </c>
      <c r="U685" s="271">
        <f t="shared" ref="U685:U687" si="1954">+T685*$X$1</f>
        <v>5515</v>
      </c>
      <c r="V685" s="427">
        <f>F685+110</f>
        <v>5485</v>
      </c>
      <c r="W685" s="271">
        <f t="shared" ref="W685:W687" si="1955">+V685*$X$1</f>
        <v>5485</v>
      </c>
      <c r="X685" s="223"/>
      <c r="Y685" s="128"/>
      <c r="Z685" s="126"/>
      <c r="AA685" s="129"/>
      <c r="AB685" s="391" t="s">
        <v>396</v>
      </c>
    </row>
    <row r="686" spans="1:38" s="1" customFormat="1" ht="12.6" customHeight="1" x14ac:dyDescent="0.2">
      <c r="A686" s="19"/>
      <c r="B686" s="735" t="s">
        <v>897</v>
      </c>
      <c r="C686" s="736"/>
      <c r="D686" s="736"/>
      <c r="E686" s="737"/>
      <c r="F686" s="351">
        <f>22.49*X2</f>
        <v>28112.499999999996</v>
      </c>
      <c r="G686" s="270">
        <f t="shared" ref="G686" si="1956">+F686*$X$1</f>
        <v>28112.499999999996</v>
      </c>
      <c r="H686" s="569">
        <f>F686+3000</f>
        <v>31112.499999999996</v>
      </c>
      <c r="I686" s="270">
        <f t="shared" ref="I686:I687" si="1957">+H686*$X$1</f>
        <v>31112.499999999996</v>
      </c>
      <c r="J686" s="569">
        <f>F686+900</f>
        <v>29012.499999999996</v>
      </c>
      <c r="K686" s="270">
        <f t="shared" si="1949"/>
        <v>29012.499999999996</v>
      </c>
      <c r="L686" s="569">
        <f>F686+700</f>
        <v>28812.499999999996</v>
      </c>
      <c r="M686" s="270">
        <f t="shared" si="1950"/>
        <v>28812.499999999996</v>
      </c>
      <c r="N686" s="569">
        <f>F686+500</f>
        <v>28612.499999999996</v>
      </c>
      <c r="O686" s="270">
        <f t="shared" si="1951"/>
        <v>28612.499999999996</v>
      </c>
      <c r="P686" s="569">
        <f>F686+400</f>
        <v>28512.499999999996</v>
      </c>
      <c r="Q686" s="270">
        <f t="shared" si="1952"/>
        <v>28512.499999999996</v>
      </c>
      <c r="R686" s="569">
        <f>F686+330</f>
        <v>28442.499999999996</v>
      </c>
      <c r="S686" s="270">
        <f t="shared" si="1953"/>
        <v>28442.499999999996</v>
      </c>
      <c r="T686" s="569">
        <f>F686+280</f>
        <v>28392.499999999996</v>
      </c>
      <c r="U686" s="270">
        <f t="shared" si="1954"/>
        <v>28392.499999999996</v>
      </c>
      <c r="V686" s="569">
        <f>F686+220</f>
        <v>28332.499999999996</v>
      </c>
      <c r="W686" s="270">
        <f t="shared" si="1955"/>
        <v>28332.499999999996</v>
      </c>
      <c r="X686" s="685"/>
      <c r="Y686" s="686"/>
      <c r="Z686" s="686"/>
      <c r="AA686" s="687"/>
      <c r="AB686" s="184">
        <v>10506</v>
      </c>
      <c r="AC686" s="4"/>
      <c r="AD686" s="4"/>
      <c r="AE686" s="4"/>
      <c r="AF686" s="4"/>
      <c r="AG686" s="4"/>
      <c r="AH686" s="120"/>
      <c r="AI686" s="4"/>
      <c r="AJ686" s="4"/>
      <c r="AK686" s="4"/>
      <c r="AL686" s="4"/>
    </row>
    <row r="687" spans="1:38" s="1" customFormat="1" ht="12.6" customHeight="1" x14ac:dyDescent="0.2">
      <c r="A687" s="19"/>
      <c r="B687" s="735" t="s">
        <v>873</v>
      </c>
      <c r="C687" s="736"/>
      <c r="D687" s="736"/>
      <c r="E687" s="737"/>
      <c r="F687" s="352">
        <f>29.6*X2</f>
        <v>37000</v>
      </c>
      <c r="G687" s="271">
        <f t="shared" si="1924"/>
        <v>37000</v>
      </c>
      <c r="H687" s="427">
        <f>F687+3000</f>
        <v>40000</v>
      </c>
      <c r="I687" s="271">
        <f t="shared" si="1957"/>
        <v>40000</v>
      </c>
      <c r="J687" s="427">
        <f>F687+900</f>
        <v>37900</v>
      </c>
      <c r="K687" s="271">
        <f t="shared" si="1949"/>
        <v>37900</v>
      </c>
      <c r="L687" s="427">
        <f>F687+700</f>
        <v>37700</v>
      </c>
      <c r="M687" s="271">
        <f t="shared" si="1950"/>
        <v>37700</v>
      </c>
      <c r="N687" s="427">
        <f>F687+500</f>
        <v>37500</v>
      </c>
      <c r="O687" s="271">
        <f t="shared" si="1951"/>
        <v>37500</v>
      </c>
      <c r="P687" s="427">
        <f>F687+400</f>
        <v>37400</v>
      </c>
      <c r="Q687" s="271">
        <f t="shared" si="1952"/>
        <v>37400</v>
      </c>
      <c r="R687" s="427">
        <f>F687+330</f>
        <v>37330</v>
      </c>
      <c r="S687" s="271">
        <f t="shared" si="1953"/>
        <v>37330</v>
      </c>
      <c r="T687" s="427">
        <f>F687+280</f>
        <v>37280</v>
      </c>
      <c r="U687" s="271">
        <f t="shared" si="1954"/>
        <v>37280</v>
      </c>
      <c r="V687" s="427">
        <f>F687+220</f>
        <v>37220</v>
      </c>
      <c r="W687" s="271">
        <f t="shared" si="1955"/>
        <v>37220</v>
      </c>
      <c r="X687" s="685"/>
      <c r="Y687" s="686"/>
      <c r="Z687" s="686"/>
      <c r="AA687" s="687"/>
      <c r="AB687" s="184">
        <v>10507</v>
      </c>
      <c r="AC687" s="4"/>
      <c r="AD687" s="4"/>
      <c r="AE687" s="4"/>
      <c r="AF687" s="4"/>
      <c r="AG687" s="4"/>
      <c r="AH687" s="120"/>
      <c r="AI687" s="4"/>
      <c r="AJ687" s="4"/>
      <c r="AK687" s="4"/>
      <c r="AL687" s="4"/>
    </row>
    <row r="688" spans="1:38" ht="12.6" customHeight="1" x14ac:dyDescent="0.2">
      <c r="A688" s="10"/>
      <c r="B688" s="1137" t="s">
        <v>295</v>
      </c>
      <c r="C688" s="1137"/>
      <c r="D688" s="1137"/>
      <c r="E688" s="1137"/>
      <c r="F688" s="351">
        <f>35.1*X2</f>
        <v>43875</v>
      </c>
      <c r="G688" s="270">
        <f t="shared" ref="G688" si="1958">+F688*$X$1</f>
        <v>43875</v>
      </c>
      <c r="H688" s="95"/>
      <c r="I688" s="95"/>
      <c r="J688" s="70">
        <f>F688+900</f>
        <v>44775</v>
      </c>
      <c r="K688" s="270">
        <f>+J688*$X$1</f>
        <v>44775</v>
      </c>
      <c r="L688" s="569">
        <f>F688+500</f>
        <v>44375</v>
      </c>
      <c r="M688" s="270">
        <f t="shared" ref="M688" si="1959">+L688*$X$1</f>
        <v>44375</v>
      </c>
      <c r="N688" s="569">
        <f>F688+300</f>
        <v>44175</v>
      </c>
      <c r="O688" s="270">
        <f t="shared" ref="O688" si="1960">+N688*$X$1</f>
        <v>44175</v>
      </c>
      <c r="P688" s="569">
        <f>F688+190</f>
        <v>44065</v>
      </c>
      <c r="Q688" s="270">
        <f t="shared" ref="Q688" si="1961">+P688*$X$1</f>
        <v>44065</v>
      </c>
      <c r="R688" s="569">
        <f>F688+150</f>
        <v>44025</v>
      </c>
      <c r="S688" s="270">
        <f t="shared" ref="S688" si="1962">+R688*$X$1</f>
        <v>44025</v>
      </c>
      <c r="T688" s="569">
        <f>F688+120</f>
        <v>43995</v>
      </c>
      <c r="U688" s="270">
        <f t="shared" ref="U688" si="1963">+T688*$X$1</f>
        <v>43995</v>
      </c>
      <c r="V688" s="569"/>
      <c r="W688" s="270"/>
      <c r="X688" s="126"/>
      <c r="Y688" s="130"/>
      <c r="Z688" s="126"/>
      <c r="AA688" s="129"/>
      <c r="AB688" s="391" t="s">
        <v>410</v>
      </c>
    </row>
    <row r="689" spans="1:38" ht="12.6" customHeight="1" x14ac:dyDescent="0.2">
      <c r="A689" s="10"/>
      <c r="B689" s="1060" t="s">
        <v>409</v>
      </c>
      <c r="C689" s="1060"/>
      <c r="D689" s="1060"/>
      <c r="E689" s="1060"/>
      <c r="F689" s="271"/>
      <c r="G689" s="271"/>
      <c r="H689" s="99"/>
      <c r="I689" s="99"/>
      <c r="J689" s="427"/>
      <c r="K689" s="271"/>
      <c r="L689" s="427"/>
      <c r="M689" s="271"/>
      <c r="N689" s="427"/>
      <c r="O689" s="271"/>
      <c r="P689" s="427"/>
      <c r="Q689" s="271"/>
      <c r="R689" s="427"/>
      <c r="S689" s="271"/>
      <c r="T689" s="427"/>
      <c r="U689" s="271"/>
      <c r="V689" s="544"/>
      <c r="W689" s="539"/>
      <c r="X689" s="126"/>
      <c r="Y689" s="130"/>
      <c r="Z689" s="126"/>
      <c r="AA689" s="129"/>
      <c r="AB689" s="391" t="s">
        <v>296</v>
      </c>
    </row>
    <row r="690" spans="1:38" s="1" customFormat="1" ht="12.6" customHeight="1" x14ac:dyDescent="0.2">
      <c r="A690" s="19"/>
      <c r="B690" s="691" t="s">
        <v>960</v>
      </c>
      <c r="C690" s="692"/>
      <c r="D690" s="692"/>
      <c r="E690" s="692"/>
      <c r="F690" s="270">
        <v>25940</v>
      </c>
      <c r="G690" s="270">
        <f t="shared" ref="G690" si="1964">+F690*$X$1</f>
        <v>25940</v>
      </c>
      <c r="H690" s="569"/>
      <c r="I690" s="270"/>
      <c r="J690" s="70"/>
      <c r="K690" s="270"/>
      <c r="L690" s="569">
        <f>F690+600</f>
        <v>26540</v>
      </c>
      <c r="M690" s="270">
        <f t="shared" ref="M690:M691" si="1965">+L690*$X$1</f>
        <v>26540</v>
      </c>
      <c r="N690" s="569">
        <f>F690+380</f>
        <v>26320</v>
      </c>
      <c r="O690" s="270">
        <f t="shared" ref="O690:O691" si="1966">+N690*$X$1</f>
        <v>26320</v>
      </c>
      <c r="P690" s="569">
        <f>F690+270</f>
        <v>26210</v>
      </c>
      <c r="Q690" s="270">
        <f t="shared" ref="Q690:Q691" si="1967">+P690*$X$1</f>
        <v>26210</v>
      </c>
      <c r="R690" s="569">
        <f>F690+180</f>
        <v>26120</v>
      </c>
      <c r="S690" s="270">
        <f t="shared" ref="S690:S691" si="1968">+R690*$X$1</f>
        <v>26120</v>
      </c>
      <c r="T690" s="569">
        <f>F690+140</f>
        <v>26080</v>
      </c>
      <c r="U690" s="270">
        <f t="shared" ref="U690:U691" si="1969">+T690*$X$1</f>
        <v>26080</v>
      </c>
      <c r="V690" s="569">
        <f>F690+110</f>
        <v>26050</v>
      </c>
      <c r="W690" s="270">
        <f t="shared" ref="W690:W691" si="1970">+V690*$X$1</f>
        <v>26050</v>
      </c>
      <c r="X690" s="685"/>
      <c r="Y690" s="686"/>
      <c r="Z690" s="686"/>
      <c r="AA690" s="687"/>
      <c r="AB690" s="184" t="s">
        <v>809</v>
      </c>
      <c r="AC690" s="4"/>
      <c r="AD690" s="4"/>
      <c r="AE690" s="4"/>
      <c r="AF690" s="4"/>
      <c r="AG690" s="4"/>
      <c r="AH690" s="120"/>
      <c r="AI690" s="4"/>
      <c r="AJ690" s="4"/>
      <c r="AK690" s="4"/>
      <c r="AL690" s="4"/>
    </row>
    <row r="691" spans="1:38" s="1" customFormat="1" ht="12.6" customHeight="1" x14ac:dyDescent="0.2">
      <c r="A691" s="19"/>
      <c r="B691" s="629" t="s">
        <v>959</v>
      </c>
      <c r="C691" s="638"/>
      <c r="D691" s="638"/>
      <c r="E691" s="638"/>
      <c r="F691" s="271">
        <v>14073</v>
      </c>
      <c r="G691" s="271">
        <f t="shared" ref="G691" si="1971">+F691*$X$1</f>
        <v>14073</v>
      </c>
      <c r="H691" s="427"/>
      <c r="I691" s="271"/>
      <c r="J691" s="85"/>
      <c r="K691" s="271"/>
      <c r="L691" s="427">
        <f>F691+600</f>
        <v>14673</v>
      </c>
      <c r="M691" s="271">
        <f t="shared" si="1965"/>
        <v>14673</v>
      </c>
      <c r="N691" s="427">
        <f>F691+380</f>
        <v>14453</v>
      </c>
      <c r="O691" s="271">
        <f t="shared" si="1966"/>
        <v>14453</v>
      </c>
      <c r="P691" s="427">
        <f>F691+270</f>
        <v>14343</v>
      </c>
      <c r="Q691" s="271">
        <f t="shared" si="1967"/>
        <v>14343</v>
      </c>
      <c r="R691" s="427">
        <f>F691+180</f>
        <v>14253</v>
      </c>
      <c r="S691" s="271">
        <f t="shared" si="1968"/>
        <v>14253</v>
      </c>
      <c r="T691" s="427">
        <f>F691+140</f>
        <v>14213</v>
      </c>
      <c r="U691" s="271">
        <f t="shared" si="1969"/>
        <v>14213</v>
      </c>
      <c r="V691" s="427">
        <f>F691+110</f>
        <v>14183</v>
      </c>
      <c r="W691" s="271">
        <f t="shared" si="1970"/>
        <v>14183</v>
      </c>
      <c r="X691" s="685"/>
      <c r="Y691" s="686"/>
      <c r="Z691" s="686"/>
      <c r="AA691" s="687"/>
      <c r="AB691" s="184" t="s">
        <v>810</v>
      </c>
      <c r="AC691" s="4"/>
      <c r="AD691" s="4"/>
      <c r="AE691" s="4"/>
      <c r="AF691" s="4"/>
      <c r="AG691" s="4"/>
      <c r="AH691" s="120"/>
      <c r="AI691" s="4"/>
      <c r="AJ691" s="4"/>
      <c r="AK691" s="4"/>
      <c r="AL691" s="4"/>
    </row>
    <row r="692" spans="1:38" ht="12.6" customHeight="1" x14ac:dyDescent="0.2">
      <c r="A692" s="194"/>
      <c r="B692" s="768" t="s">
        <v>507</v>
      </c>
      <c r="C692" s="692"/>
      <c r="D692" s="692"/>
      <c r="E692" s="692"/>
      <c r="F692" s="270">
        <v>18624</v>
      </c>
      <c r="G692" s="270">
        <f t="shared" ref="G692" si="1972">+F692*$X$1</f>
        <v>18624</v>
      </c>
      <c r="H692" s="265"/>
      <c r="I692" s="265"/>
      <c r="J692" s="97">
        <f>F692+1000</f>
        <v>19624</v>
      </c>
      <c r="K692" s="287">
        <f t="shared" ref="K692" si="1973">+J692*$X$1</f>
        <v>19624</v>
      </c>
      <c r="L692" s="97">
        <f t="shared" ref="L692" si="1974">F692+800</f>
        <v>19424</v>
      </c>
      <c r="M692" s="287">
        <f t="shared" ref="M692:M695" si="1975">+L692*$X$1</f>
        <v>19424</v>
      </c>
      <c r="N692" s="97">
        <f t="shared" ref="N692" si="1976">F692+700</f>
        <v>19324</v>
      </c>
      <c r="O692" s="287">
        <f t="shared" ref="O692:O695" si="1977">+N692*$X$1</f>
        <v>19324</v>
      </c>
      <c r="P692" s="97">
        <f t="shared" ref="P692" si="1978">F692+600</f>
        <v>19224</v>
      </c>
      <c r="Q692" s="287">
        <f t="shared" ref="Q692:Q695" si="1979">+P692*$X$1</f>
        <v>19224</v>
      </c>
      <c r="R692" s="97">
        <f t="shared" ref="R692" si="1980">F692+500</f>
        <v>19124</v>
      </c>
      <c r="S692" s="287">
        <f t="shared" ref="S692:S695" si="1981">+R692*$X$1</f>
        <v>19124</v>
      </c>
      <c r="T692" s="97">
        <f t="shared" ref="T692" si="1982">F692+450</f>
        <v>19074</v>
      </c>
      <c r="U692" s="287">
        <f t="shared" ref="U692:U695" si="1983">+T692*$X$1</f>
        <v>19074</v>
      </c>
      <c r="V692" s="543"/>
      <c r="W692" s="270"/>
      <c r="X692" s="289"/>
      <c r="Y692" s="289"/>
      <c r="Z692" s="289"/>
      <c r="AA692" s="289"/>
      <c r="AB692" s="391" t="s">
        <v>628</v>
      </c>
    </row>
    <row r="693" spans="1:38" ht="12.6" customHeight="1" x14ac:dyDescent="0.2">
      <c r="A693" s="194"/>
      <c r="B693" s="775" t="s">
        <v>392</v>
      </c>
      <c r="C693" s="664"/>
      <c r="D693" s="664"/>
      <c r="E693" s="664"/>
      <c r="F693" s="271">
        <v>20890</v>
      </c>
      <c r="G693" s="271">
        <f t="shared" ref="G693:G698" si="1984">+F693*$X$1</f>
        <v>20890</v>
      </c>
      <c r="H693" s="264"/>
      <c r="I693" s="264"/>
      <c r="J693" s="427"/>
      <c r="K693" s="271"/>
      <c r="L693" s="427">
        <f>F693+600</f>
        <v>21490</v>
      </c>
      <c r="M693" s="271">
        <f t="shared" si="1975"/>
        <v>21490</v>
      </c>
      <c r="N693" s="427">
        <f>F693+380</f>
        <v>21270</v>
      </c>
      <c r="O693" s="271">
        <f t="shared" si="1977"/>
        <v>21270</v>
      </c>
      <c r="P693" s="427">
        <f>F693+270</f>
        <v>21160</v>
      </c>
      <c r="Q693" s="271">
        <f t="shared" si="1979"/>
        <v>21160</v>
      </c>
      <c r="R693" s="427">
        <f>F693+180</f>
        <v>21070</v>
      </c>
      <c r="S693" s="271">
        <f t="shared" si="1981"/>
        <v>21070</v>
      </c>
      <c r="T693" s="427">
        <f>F693+140</f>
        <v>21030</v>
      </c>
      <c r="U693" s="271">
        <f t="shared" si="1983"/>
        <v>21030</v>
      </c>
      <c r="V693" s="427">
        <f>F693+110</f>
        <v>21000</v>
      </c>
      <c r="W693" s="271">
        <f t="shared" ref="W693:W695" si="1985">+V693*$X$1</f>
        <v>21000</v>
      </c>
      <c r="X693" s="143"/>
      <c r="Y693" s="143"/>
      <c r="Z693" s="143"/>
      <c r="AA693" s="143"/>
      <c r="AB693" s="391" t="s">
        <v>395</v>
      </c>
    </row>
    <row r="694" spans="1:38" ht="12.6" customHeight="1" x14ac:dyDescent="0.2">
      <c r="A694" s="194"/>
      <c r="B694" s="809" t="s">
        <v>506</v>
      </c>
      <c r="C694" s="640"/>
      <c r="D694" s="640"/>
      <c r="E694" s="640"/>
      <c r="F694" s="270">
        <v>21780</v>
      </c>
      <c r="G694" s="270">
        <f t="shared" ref="G694:G695" si="1986">+F694*$X$1</f>
        <v>21780</v>
      </c>
      <c r="H694" s="569">
        <f>F694+3000</f>
        <v>24780</v>
      </c>
      <c r="I694" s="270">
        <f t="shared" ref="I694" si="1987">+H694*$X$1</f>
        <v>24780</v>
      </c>
      <c r="J694" s="569">
        <f t="shared" ref="J694:J700" si="1988">F694+1000</f>
        <v>22780</v>
      </c>
      <c r="K694" s="270">
        <f t="shared" ref="K694" si="1989">+J694*$X$1</f>
        <v>22780</v>
      </c>
      <c r="L694" s="569">
        <f>F694+600</f>
        <v>22380</v>
      </c>
      <c r="M694" s="270">
        <f t="shared" si="1975"/>
        <v>22380</v>
      </c>
      <c r="N694" s="569">
        <f>F694+380</f>
        <v>22160</v>
      </c>
      <c r="O694" s="270">
        <f t="shared" si="1977"/>
        <v>22160</v>
      </c>
      <c r="P694" s="569">
        <f>F694+270</f>
        <v>22050</v>
      </c>
      <c r="Q694" s="270">
        <f t="shared" si="1979"/>
        <v>22050</v>
      </c>
      <c r="R694" s="569">
        <f>F694+180</f>
        <v>21960</v>
      </c>
      <c r="S694" s="270">
        <f t="shared" si="1981"/>
        <v>21960</v>
      </c>
      <c r="T694" s="569">
        <f>F694+140</f>
        <v>21920</v>
      </c>
      <c r="U694" s="270">
        <f t="shared" si="1983"/>
        <v>21920</v>
      </c>
      <c r="V694" s="569">
        <f>F694+110</f>
        <v>21890</v>
      </c>
      <c r="W694" s="270">
        <f t="shared" si="1985"/>
        <v>21890</v>
      </c>
      <c r="X694" s="289"/>
      <c r="Y694" s="289"/>
      <c r="Z694" s="289"/>
      <c r="AA694" s="289"/>
      <c r="AB694" s="391" t="s">
        <v>508</v>
      </c>
    </row>
    <row r="695" spans="1:38" ht="12.6" customHeight="1" x14ac:dyDescent="0.2">
      <c r="A695" s="194"/>
      <c r="B695" s="775" t="s">
        <v>724</v>
      </c>
      <c r="C695" s="664"/>
      <c r="D695" s="664"/>
      <c r="E695" s="664"/>
      <c r="F695" s="271">
        <v>21603</v>
      </c>
      <c r="G695" s="271">
        <f t="shared" si="1986"/>
        <v>21603</v>
      </c>
      <c r="H695" s="427">
        <f>F695+3000</f>
        <v>24603</v>
      </c>
      <c r="I695" s="271">
        <f t="shared" ref="I695" si="1990">+H695*$X$1</f>
        <v>24603</v>
      </c>
      <c r="J695" s="427">
        <f t="shared" si="1988"/>
        <v>22603</v>
      </c>
      <c r="K695" s="271">
        <f t="shared" ref="K695:K700" si="1991">+J695*$X$1</f>
        <v>22603</v>
      </c>
      <c r="L695" s="427">
        <f>F695+600</f>
        <v>22203</v>
      </c>
      <c r="M695" s="271">
        <f t="shared" si="1975"/>
        <v>22203</v>
      </c>
      <c r="N695" s="427">
        <f>F695+380</f>
        <v>21983</v>
      </c>
      <c r="O695" s="271">
        <f t="shared" si="1977"/>
        <v>21983</v>
      </c>
      <c r="P695" s="427">
        <f>F695+270</f>
        <v>21873</v>
      </c>
      <c r="Q695" s="271">
        <f t="shared" si="1979"/>
        <v>21873</v>
      </c>
      <c r="R695" s="427">
        <f>F695+180</f>
        <v>21783</v>
      </c>
      <c r="S695" s="271">
        <f t="shared" si="1981"/>
        <v>21783</v>
      </c>
      <c r="T695" s="427">
        <f>F695+140</f>
        <v>21743</v>
      </c>
      <c r="U695" s="271">
        <f t="shared" si="1983"/>
        <v>21743</v>
      </c>
      <c r="V695" s="427">
        <f>F695+110</f>
        <v>21713</v>
      </c>
      <c r="W695" s="271">
        <f t="shared" si="1985"/>
        <v>21713</v>
      </c>
      <c r="X695" s="425"/>
      <c r="Y695" s="425"/>
      <c r="Z695" s="425"/>
      <c r="AA695" s="425"/>
      <c r="AB695" s="391" t="s">
        <v>725</v>
      </c>
    </row>
    <row r="696" spans="1:38" ht="12.6" customHeight="1" x14ac:dyDescent="0.2">
      <c r="A696" s="194"/>
      <c r="B696" s="809" t="s">
        <v>391</v>
      </c>
      <c r="C696" s="640"/>
      <c r="D696" s="640"/>
      <c r="E696" s="640"/>
      <c r="F696" s="270">
        <v>23148</v>
      </c>
      <c r="G696" s="270">
        <f t="shared" si="1984"/>
        <v>23148</v>
      </c>
      <c r="H696" s="265"/>
      <c r="I696" s="265"/>
      <c r="J696" s="97">
        <f t="shared" si="1988"/>
        <v>24148</v>
      </c>
      <c r="K696" s="287">
        <f t="shared" si="1991"/>
        <v>24148</v>
      </c>
      <c r="L696" s="97">
        <f t="shared" ref="L696:L700" si="1992">F696+800</f>
        <v>23948</v>
      </c>
      <c r="M696" s="287">
        <f t="shared" ref="M696:M700" si="1993">+L696*$X$1</f>
        <v>23948</v>
      </c>
      <c r="N696" s="97">
        <f t="shared" ref="N696:N700" si="1994">F696+700</f>
        <v>23848</v>
      </c>
      <c r="O696" s="287">
        <f t="shared" ref="O696:O700" si="1995">+N696*$X$1</f>
        <v>23848</v>
      </c>
      <c r="P696" s="97">
        <f t="shared" ref="P696:P700" si="1996">F696+600</f>
        <v>23748</v>
      </c>
      <c r="Q696" s="287">
        <f t="shared" ref="Q696:Q700" si="1997">+P696*$X$1</f>
        <v>23748</v>
      </c>
      <c r="R696" s="97">
        <f t="shared" ref="R696:R700" si="1998">F696+500</f>
        <v>23648</v>
      </c>
      <c r="S696" s="287">
        <f t="shared" ref="S696:S700" si="1999">+R696*$X$1</f>
        <v>23648</v>
      </c>
      <c r="T696" s="97">
        <f t="shared" ref="T696:T700" si="2000">F696+450</f>
        <v>23598</v>
      </c>
      <c r="U696" s="287">
        <f t="shared" ref="U696:U700" si="2001">+T696*$X$1</f>
        <v>23598</v>
      </c>
      <c r="V696" s="290"/>
      <c r="W696" s="270"/>
      <c r="X696" s="143"/>
      <c r="Y696" s="143"/>
      <c r="Z696" s="143"/>
      <c r="AA696" s="143"/>
      <c r="AB696" s="391" t="s">
        <v>394</v>
      </c>
    </row>
    <row r="697" spans="1:38" ht="12.6" customHeight="1" x14ac:dyDescent="0.2">
      <c r="A697" s="194"/>
      <c r="B697" s="775" t="s">
        <v>509</v>
      </c>
      <c r="C697" s="664"/>
      <c r="D697" s="664"/>
      <c r="E697" s="664"/>
      <c r="F697" s="352">
        <f>15.3*X2</f>
        <v>19125</v>
      </c>
      <c r="G697" s="271">
        <f t="shared" ref="G697" si="2002">+F697*$X$1</f>
        <v>19125</v>
      </c>
      <c r="H697" s="264"/>
      <c r="I697" s="264"/>
      <c r="J697" s="96">
        <f t="shared" si="1988"/>
        <v>20125</v>
      </c>
      <c r="K697" s="298">
        <f t="shared" si="1991"/>
        <v>20125</v>
      </c>
      <c r="L697" s="96">
        <f t="shared" si="1992"/>
        <v>19925</v>
      </c>
      <c r="M697" s="298">
        <f t="shared" si="1993"/>
        <v>19925</v>
      </c>
      <c r="N697" s="96">
        <f t="shared" si="1994"/>
        <v>19825</v>
      </c>
      <c r="O697" s="298">
        <f t="shared" si="1995"/>
        <v>19825</v>
      </c>
      <c r="P697" s="96">
        <f t="shared" si="1996"/>
        <v>19725</v>
      </c>
      <c r="Q697" s="298">
        <f t="shared" si="1997"/>
        <v>19725</v>
      </c>
      <c r="R697" s="96">
        <f t="shared" si="1998"/>
        <v>19625</v>
      </c>
      <c r="S697" s="298">
        <f t="shared" si="1999"/>
        <v>19625</v>
      </c>
      <c r="T697" s="96">
        <f t="shared" si="2000"/>
        <v>19575</v>
      </c>
      <c r="U697" s="298">
        <f t="shared" si="2001"/>
        <v>19575</v>
      </c>
      <c r="V697" s="458"/>
      <c r="W697" s="271"/>
      <c r="X697" s="291"/>
      <c r="Y697" s="291"/>
      <c r="Z697" s="291"/>
      <c r="AA697" s="291"/>
      <c r="AB697" s="391" t="s">
        <v>629</v>
      </c>
    </row>
    <row r="698" spans="1:38" ht="12.6" customHeight="1" x14ac:dyDescent="0.2">
      <c r="A698" s="194"/>
      <c r="B698" s="809" t="s">
        <v>440</v>
      </c>
      <c r="C698" s="640"/>
      <c r="D698" s="640"/>
      <c r="E698" s="640"/>
      <c r="F698" s="351">
        <f>9.7*X2</f>
        <v>12125</v>
      </c>
      <c r="G698" s="270">
        <f t="shared" si="1984"/>
        <v>12125</v>
      </c>
      <c r="H698" s="265"/>
      <c r="I698" s="265"/>
      <c r="J698" s="97">
        <f t="shared" si="1988"/>
        <v>13125</v>
      </c>
      <c r="K698" s="287">
        <f t="shared" si="1991"/>
        <v>13125</v>
      </c>
      <c r="L698" s="97">
        <f t="shared" si="1992"/>
        <v>12925</v>
      </c>
      <c r="M698" s="287">
        <f t="shared" si="1993"/>
        <v>12925</v>
      </c>
      <c r="N698" s="97">
        <f t="shared" si="1994"/>
        <v>12825</v>
      </c>
      <c r="O698" s="287">
        <f t="shared" si="1995"/>
        <v>12825</v>
      </c>
      <c r="P698" s="97">
        <f t="shared" si="1996"/>
        <v>12725</v>
      </c>
      <c r="Q698" s="287">
        <f t="shared" si="1997"/>
        <v>12725</v>
      </c>
      <c r="R698" s="97">
        <f t="shared" si="1998"/>
        <v>12625</v>
      </c>
      <c r="S698" s="287">
        <f t="shared" si="1999"/>
        <v>12625</v>
      </c>
      <c r="T698" s="97">
        <f t="shared" si="2000"/>
        <v>12575</v>
      </c>
      <c r="U698" s="287">
        <f t="shared" si="2001"/>
        <v>12575</v>
      </c>
      <c r="V698" s="569"/>
      <c r="W698" s="270"/>
      <c r="X698" s="143"/>
      <c r="Y698" s="143"/>
      <c r="Z698" s="143"/>
      <c r="AA698" s="143"/>
      <c r="AB698" s="391" t="s">
        <v>611</v>
      </c>
    </row>
    <row r="699" spans="1:38" ht="12.6" customHeight="1" x14ac:dyDescent="0.2">
      <c r="A699" s="194"/>
      <c r="B699" s="775" t="s">
        <v>632</v>
      </c>
      <c r="C699" s="664"/>
      <c r="D699" s="664"/>
      <c r="E699" s="664"/>
      <c r="F699" s="352">
        <f>16.8*X2</f>
        <v>21000</v>
      </c>
      <c r="G699" s="271">
        <f t="shared" ref="G699" si="2003">+F699*$X$1</f>
        <v>21000</v>
      </c>
      <c r="H699" s="264"/>
      <c r="I699" s="264"/>
      <c r="J699" s="96">
        <f t="shared" si="1988"/>
        <v>22000</v>
      </c>
      <c r="K699" s="298">
        <f t="shared" si="1991"/>
        <v>22000</v>
      </c>
      <c r="L699" s="96">
        <f t="shared" si="1992"/>
        <v>21800</v>
      </c>
      <c r="M699" s="298">
        <f t="shared" si="1993"/>
        <v>21800</v>
      </c>
      <c r="N699" s="96">
        <f t="shared" si="1994"/>
        <v>21700</v>
      </c>
      <c r="O699" s="298">
        <f t="shared" si="1995"/>
        <v>21700</v>
      </c>
      <c r="P699" s="96">
        <f t="shared" si="1996"/>
        <v>21600</v>
      </c>
      <c r="Q699" s="298">
        <f t="shared" si="1997"/>
        <v>21600</v>
      </c>
      <c r="R699" s="96">
        <f t="shared" si="1998"/>
        <v>21500</v>
      </c>
      <c r="S699" s="298">
        <f t="shared" si="1999"/>
        <v>21500</v>
      </c>
      <c r="T699" s="96">
        <f t="shared" si="2000"/>
        <v>21450</v>
      </c>
      <c r="U699" s="298">
        <f t="shared" si="2001"/>
        <v>21450</v>
      </c>
      <c r="V699" s="427"/>
      <c r="W699" s="271"/>
      <c r="X699" s="362"/>
      <c r="Y699" s="362"/>
      <c r="Z699" s="362"/>
      <c r="AA699" s="362"/>
      <c r="AB699" s="391" t="s">
        <v>612</v>
      </c>
    </row>
    <row r="700" spans="1:38" ht="12.6" customHeight="1" x14ac:dyDescent="0.2">
      <c r="A700" s="194"/>
      <c r="B700" s="809" t="s">
        <v>439</v>
      </c>
      <c r="C700" s="640"/>
      <c r="D700" s="640"/>
      <c r="E700" s="640"/>
      <c r="F700" s="351">
        <f>12.63*X2</f>
        <v>15787.500000000002</v>
      </c>
      <c r="G700" s="270">
        <f t="shared" ref="G700" si="2004">+F700*$X$1</f>
        <v>15787.500000000002</v>
      </c>
      <c r="H700" s="265"/>
      <c r="I700" s="265"/>
      <c r="J700" s="97">
        <f t="shared" si="1988"/>
        <v>16787.5</v>
      </c>
      <c r="K700" s="287">
        <f t="shared" si="1991"/>
        <v>16787.5</v>
      </c>
      <c r="L700" s="97">
        <f t="shared" si="1992"/>
        <v>16587.5</v>
      </c>
      <c r="M700" s="287">
        <f t="shared" si="1993"/>
        <v>16587.5</v>
      </c>
      <c r="N700" s="97">
        <f t="shared" si="1994"/>
        <v>16487.5</v>
      </c>
      <c r="O700" s="287">
        <f t="shared" si="1995"/>
        <v>16487.5</v>
      </c>
      <c r="P700" s="97">
        <f t="shared" si="1996"/>
        <v>16387.5</v>
      </c>
      <c r="Q700" s="287">
        <f t="shared" si="1997"/>
        <v>16387.5</v>
      </c>
      <c r="R700" s="97">
        <f t="shared" si="1998"/>
        <v>16287.500000000002</v>
      </c>
      <c r="S700" s="287">
        <f t="shared" si="1999"/>
        <v>16287.500000000002</v>
      </c>
      <c r="T700" s="97">
        <f t="shared" si="2000"/>
        <v>16237.500000000002</v>
      </c>
      <c r="U700" s="287">
        <f t="shared" si="2001"/>
        <v>16237.500000000002</v>
      </c>
      <c r="V700" s="569"/>
      <c r="W700" s="270"/>
      <c r="X700" s="143"/>
      <c r="Y700" s="143"/>
      <c r="Z700" s="143"/>
      <c r="AA700" s="143"/>
      <c r="AB700" s="391" t="s">
        <v>613</v>
      </c>
    </row>
    <row r="701" spans="1:38" ht="14.25" customHeight="1" x14ac:dyDescent="0.2">
      <c r="A701" s="194"/>
      <c r="B701" s="102"/>
      <c r="C701" s="470"/>
      <c r="D701" s="470"/>
      <c r="E701" s="470"/>
      <c r="F701" s="396"/>
      <c r="G701" s="313"/>
      <c r="H701" s="110"/>
      <c r="I701" s="313"/>
      <c r="J701" s="110"/>
      <c r="K701" s="313"/>
      <c r="L701" s="110"/>
      <c r="M701" s="313"/>
      <c r="N701" s="110"/>
      <c r="O701" s="313"/>
      <c r="P701" s="110"/>
      <c r="Q701" s="313"/>
      <c r="R701" s="110"/>
      <c r="S701" s="313"/>
      <c r="T701" s="110"/>
      <c r="U701" s="313"/>
      <c r="V701" s="74"/>
      <c r="W701" s="430"/>
      <c r="X701" s="469"/>
      <c r="Y701" s="469"/>
      <c r="Z701" s="469"/>
      <c r="AA701" s="469"/>
      <c r="AB701" s="397"/>
    </row>
    <row r="702" spans="1:38" ht="19.5" customHeight="1" x14ac:dyDescent="0.2">
      <c r="A702" s="28"/>
      <c r="B702" s="1115" t="s">
        <v>297</v>
      </c>
      <c r="C702" s="1116"/>
      <c r="D702" s="1116"/>
      <c r="E702" s="1116"/>
      <c r="F702" s="1116"/>
      <c r="G702" s="1116"/>
      <c r="H702" s="1116"/>
      <c r="I702" s="1116"/>
      <c r="J702" s="1116"/>
      <c r="K702" s="1116"/>
      <c r="L702" s="1116"/>
      <c r="M702" s="1116"/>
      <c r="N702" s="1116"/>
      <c r="O702" s="1116"/>
      <c r="P702" s="1116"/>
      <c r="Q702" s="1116"/>
      <c r="R702" s="1116"/>
      <c r="S702" s="1116"/>
      <c r="T702" s="1116"/>
      <c r="U702" s="1116"/>
      <c r="V702" s="1116"/>
      <c r="W702" s="1117"/>
      <c r="AF702" s="675"/>
      <c r="AG702" s="676"/>
      <c r="AH702" s="676"/>
    </row>
    <row r="703" spans="1:38" ht="12.6" customHeight="1" x14ac:dyDescent="0.2">
      <c r="A703" s="18"/>
      <c r="B703" s="970"/>
      <c r="C703" s="971"/>
      <c r="D703" s="971"/>
      <c r="E703" s="971"/>
      <c r="F703" s="971"/>
      <c r="G703" s="972"/>
      <c r="H703" s="449"/>
      <c r="I703" s="450" t="s">
        <v>279</v>
      </c>
      <c r="J703" s="450"/>
      <c r="K703" s="450" t="s">
        <v>17</v>
      </c>
      <c r="L703" s="450"/>
      <c r="M703" s="450" t="s">
        <v>18</v>
      </c>
      <c r="N703" s="450"/>
      <c r="O703" s="450" t="s">
        <v>19</v>
      </c>
      <c r="P703" s="450"/>
      <c r="Q703" s="450" t="s">
        <v>280</v>
      </c>
      <c r="R703" s="450"/>
      <c r="S703" s="450" t="s">
        <v>20</v>
      </c>
      <c r="T703" s="450"/>
      <c r="U703" s="450" t="s">
        <v>21</v>
      </c>
      <c r="V703" s="450"/>
      <c r="W703" s="450" t="s">
        <v>22</v>
      </c>
    </row>
    <row r="704" spans="1:38" ht="12.6" customHeight="1" x14ac:dyDescent="0.2">
      <c r="A704" s="963"/>
      <c r="B704" s="973" t="s">
        <v>481</v>
      </c>
      <c r="C704" s="974"/>
      <c r="D704" s="974"/>
      <c r="E704" s="974"/>
      <c r="F704" s="974"/>
      <c r="G704" s="975"/>
      <c r="H704" s="573"/>
      <c r="I704" s="363"/>
      <c r="J704" s="364"/>
      <c r="K704" s="339"/>
      <c r="L704" s="275">
        <v>130</v>
      </c>
      <c r="M704" s="339">
        <f>+L704*$X$1</f>
        <v>130</v>
      </c>
      <c r="N704" s="427">
        <v>70</v>
      </c>
      <c r="O704" s="339">
        <f>+N704*$X$1</f>
        <v>70</v>
      </c>
      <c r="P704" s="427">
        <v>50</v>
      </c>
      <c r="Q704" s="339">
        <v>55</v>
      </c>
      <c r="R704" s="427">
        <v>50</v>
      </c>
      <c r="S704" s="339">
        <f>+R704*$X$1</f>
        <v>50</v>
      </c>
      <c r="T704" s="427">
        <v>40</v>
      </c>
      <c r="U704" s="340">
        <f>+T704*$X$1</f>
        <v>40</v>
      </c>
      <c r="V704" s="427">
        <v>35</v>
      </c>
      <c r="W704" s="339">
        <f>+V704*$X$1</f>
        <v>35</v>
      </c>
    </row>
    <row r="705" spans="1:35" ht="12.6" customHeight="1" x14ac:dyDescent="0.2">
      <c r="A705" s="963"/>
      <c r="B705" s="1112" t="s">
        <v>298</v>
      </c>
      <c r="C705" s="1113"/>
      <c r="D705" s="1113"/>
      <c r="E705" s="1113"/>
      <c r="F705" s="1113"/>
      <c r="G705" s="1114"/>
      <c r="H705" s="574"/>
      <c r="I705" s="365"/>
      <c r="J705" s="366">
        <v>220</v>
      </c>
      <c r="K705" s="341">
        <f>+J705*$X$1</f>
        <v>220</v>
      </c>
      <c r="L705" s="367">
        <v>160</v>
      </c>
      <c r="M705" s="368">
        <f>+L705*$X$1</f>
        <v>160</v>
      </c>
      <c r="N705" s="106">
        <v>130</v>
      </c>
      <c r="O705" s="368">
        <f>+N705*$X$1</f>
        <v>130</v>
      </c>
      <c r="P705" s="106">
        <v>110</v>
      </c>
      <c r="Q705" s="368">
        <f>+P705*$X$1</f>
        <v>110</v>
      </c>
      <c r="R705" s="106">
        <v>90</v>
      </c>
      <c r="S705" s="368">
        <f>+R705*$X$1</f>
        <v>90</v>
      </c>
      <c r="T705" s="106">
        <v>70</v>
      </c>
      <c r="U705" s="368">
        <f>+T705*$X$1</f>
        <v>70</v>
      </c>
      <c r="V705" s="106">
        <v>55</v>
      </c>
      <c r="W705" s="368">
        <f>+V705*$X$1</f>
        <v>55</v>
      </c>
    </row>
    <row r="706" spans="1:35" ht="12.6" customHeight="1" x14ac:dyDescent="0.2">
      <c r="A706" s="963"/>
      <c r="B706" s="973" t="s">
        <v>482</v>
      </c>
      <c r="C706" s="974"/>
      <c r="D706" s="974"/>
      <c r="E706" s="974"/>
      <c r="F706" s="974"/>
      <c r="G706" s="975"/>
      <c r="H706" s="275"/>
      <c r="I706" s="339"/>
      <c r="J706" s="275"/>
      <c r="K706" s="339"/>
      <c r="L706" s="275">
        <v>130</v>
      </c>
      <c r="M706" s="339">
        <f>+L706*$X$1</f>
        <v>130</v>
      </c>
      <c r="N706" s="427">
        <v>80</v>
      </c>
      <c r="O706" s="339">
        <f>+N706*$X$1</f>
        <v>80</v>
      </c>
      <c r="P706" s="427">
        <v>75</v>
      </c>
      <c r="Q706" s="339">
        <f>+P706*$X$1</f>
        <v>75</v>
      </c>
      <c r="R706" s="427">
        <v>65</v>
      </c>
      <c r="S706" s="339">
        <f>+R706*$X$1</f>
        <v>65</v>
      </c>
      <c r="T706" s="427">
        <v>55</v>
      </c>
      <c r="U706" s="340">
        <f>+T706*$X$1</f>
        <v>55</v>
      </c>
      <c r="V706" s="427">
        <v>50</v>
      </c>
      <c r="W706" s="339">
        <f>+V706*$X$1</f>
        <v>50</v>
      </c>
    </row>
    <row r="707" spans="1:35" ht="12.6" customHeight="1" x14ac:dyDescent="0.2">
      <c r="A707" s="963"/>
      <c r="B707" s="1123" t="s">
        <v>480</v>
      </c>
      <c r="C707" s="1124"/>
      <c r="D707" s="1124"/>
      <c r="E707" s="1124"/>
      <c r="F707" s="1124"/>
      <c r="G707" s="1125"/>
      <c r="H707" s="369">
        <v>400</v>
      </c>
      <c r="I707" s="341">
        <f>+H707*$X$1</f>
        <v>400</v>
      </c>
      <c r="J707" s="369">
        <v>220</v>
      </c>
      <c r="K707" s="341">
        <f>+J707*$X$1</f>
        <v>220</v>
      </c>
      <c r="L707" s="369">
        <v>160</v>
      </c>
      <c r="M707" s="341">
        <f>+L707*$X$1</f>
        <v>160</v>
      </c>
      <c r="N707" s="565">
        <v>130</v>
      </c>
      <c r="O707" s="341">
        <f>+N707*$X$1</f>
        <v>130</v>
      </c>
      <c r="P707" s="565">
        <v>120</v>
      </c>
      <c r="Q707" s="341">
        <f>+P707*$X$1</f>
        <v>120</v>
      </c>
      <c r="R707" s="565">
        <v>90</v>
      </c>
      <c r="S707" s="341">
        <f>+R707*$X$1</f>
        <v>90</v>
      </c>
      <c r="T707" s="565">
        <v>80</v>
      </c>
      <c r="U707" s="368">
        <f>+T707*$X$1</f>
        <v>80</v>
      </c>
      <c r="V707" s="565">
        <v>70</v>
      </c>
      <c r="W707" s="341">
        <f>+V707*$X$1</f>
        <v>70</v>
      </c>
    </row>
    <row r="708" spans="1:35" ht="12.75" customHeight="1" x14ac:dyDescent="0.2">
      <c r="A708" s="963"/>
      <c r="B708" s="1086" t="s">
        <v>801</v>
      </c>
      <c r="C708" s="1087"/>
      <c r="D708" s="1087"/>
      <c r="E708" s="1087"/>
      <c r="F708" s="1087"/>
      <c r="G708" s="1087"/>
      <c r="H708" s="1087"/>
      <c r="I708" s="1087"/>
      <c r="J708" s="1087"/>
      <c r="K708" s="1087"/>
      <c r="L708" s="1087"/>
      <c r="M708" s="1087"/>
      <c r="N708" s="1087"/>
      <c r="O708" s="1087"/>
      <c r="P708" s="1087"/>
      <c r="Q708" s="1087"/>
      <c r="R708" s="1087"/>
      <c r="S708" s="1087"/>
      <c r="T708" s="1087"/>
      <c r="U708" s="1087"/>
      <c r="V708" s="1087"/>
      <c r="W708" s="1088"/>
    </row>
    <row r="709" spans="1:35" ht="13.5" customHeight="1" x14ac:dyDescent="0.2">
      <c r="A709" s="963"/>
      <c r="B709" s="1126" t="s">
        <v>548</v>
      </c>
      <c r="C709" s="1094"/>
      <c r="D709" s="1094"/>
      <c r="E709" s="1094"/>
      <c r="F709" s="1094"/>
      <c r="G709" s="1127"/>
      <c r="H709" s="1058"/>
      <c r="I709" s="1053" t="s">
        <v>279</v>
      </c>
      <c r="J709" s="1058"/>
      <c r="K709" s="1053" t="s">
        <v>17</v>
      </c>
      <c r="L709" s="1053"/>
      <c r="M709" s="1053" t="s">
        <v>18</v>
      </c>
      <c r="N709" s="1053"/>
      <c r="O709" s="1053" t="s">
        <v>19</v>
      </c>
      <c r="P709" s="1053"/>
      <c r="Q709" s="1053" t="s">
        <v>280</v>
      </c>
      <c r="R709" s="1053"/>
      <c r="S709" s="1053" t="s">
        <v>20</v>
      </c>
      <c r="T709" s="1053"/>
      <c r="U709" s="1053" t="s">
        <v>21</v>
      </c>
      <c r="V709" s="1053"/>
      <c r="W709" s="1053" t="s">
        <v>22</v>
      </c>
    </row>
    <row r="710" spans="1:35" ht="11.25" customHeight="1" x14ac:dyDescent="0.2">
      <c r="A710" s="963"/>
      <c r="B710" s="881"/>
      <c r="C710" s="882"/>
      <c r="D710" s="882"/>
      <c r="E710" s="882"/>
      <c r="F710" s="882"/>
      <c r="G710" s="883"/>
      <c r="H710" s="1059"/>
      <c r="I710" s="1119"/>
      <c r="J710" s="1059"/>
      <c r="K710" s="1119"/>
      <c r="L710" s="1054"/>
      <c r="M710" s="1054"/>
      <c r="N710" s="1054"/>
      <c r="O710" s="1054"/>
      <c r="P710" s="1054"/>
      <c r="Q710" s="1054"/>
      <c r="R710" s="1054"/>
      <c r="S710" s="1054"/>
      <c r="T710" s="1054"/>
      <c r="U710" s="1054"/>
      <c r="V710" s="1054"/>
      <c r="W710" s="1054"/>
      <c r="AB710" s="58"/>
      <c r="AC710" s="58"/>
      <c r="AD710" s="58"/>
      <c r="AE710" s="58"/>
      <c r="AF710" s="58"/>
      <c r="AG710" s="58"/>
      <c r="AH710" s="58"/>
      <c r="AI710" s="58"/>
    </row>
    <row r="711" spans="1:35" ht="12.6" customHeight="1" x14ac:dyDescent="0.2">
      <c r="A711" s="963"/>
      <c r="B711" s="967" t="s">
        <v>546</v>
      </c>
      <c r="C711" s="968"/>
      <c r="D711" s="968"/>
      <c r="E711" s="968"/>
      <c r="F711" s="968"/>
      <c r="G711" s="969"/>
      <c r="H711" s="85">
        <v>700</v>
      </c>
      <c r="I711" s="342">
        <f>+H711*$X$1</f>
        <v>700</v>
      </c>
      <c r="J711" s="85">
        <v>600</v>
      </c>
      <c r="K711" s="342">
        <f>+J711*$X$1</f>
        <v>600</v>
      </c>
      <c r="L711" s="427">
        <v>450</v>
      </c>
      <c r="M711" s="339">
        <f>+L711*$X$1</f>
        <v>450</v>
      </c>
      <c r="N711" s="427">
        <v>390</v>
      </c>
      <c r="O711" s="339">
        <f>+N711*$X$1</f>
        <v>390</v>
      </c>
      <c r="P711" s="427">
        <v>360</v>
      </c>
      <c r="Q711" s="339">
        <f>+P711*$X$1</f>
        <v>360</v>
      </c>
      <c r="R711" s="427">
        <v>320</v>
      </c>
      <c r="S711" s="339">
        <f>+R711*$X$1</f>
        <v>320</v>
      </c>
      <c r="T711" s="427">
        <v>300</v>
      </c>
      <c r="U711" s="339">
        <f>+T711*$X$1</f>
        <v>300</v>
      </c>
      <c r="V711" s="427">
        <v>290</v>
      </c>
      <c r="W711" s="339">
        <f>+V711*$X$1</f>
        <v>290</v>
      </c>
    </row>
    <row r="712" spans="1:35" ht="12.6" customHeight="1" x14ac:dyDescent="0.2">
      <c r="A712" s="963"/>
      <c r="B712" s="964" t="s">
        <v>543</v>
      </c>
      <c r="C712" s="965"/>
      <c r="D712" s="965"/>
      <c r="E712" s="965"/>
      <c r="F712" s="965"/>
      <c r="G712" s="966"/>
      <c r="H712" s="70">
        <v>750</v>
      </c>
      <c r="I712" s="370">
        <f>+H712*$X$1</f>
        <v>750</v>
      </c>
      <c r="J712" s="70">
        <v>650</v>
      </c>
      <c r="K712" s="370">
        <f>+J712*$X$1</f>
        <v>650</v>
      </c>
      <c r="L712" s="565">
        <v>600</v>
      </c>
      <c r="M712" s="341">
        <f>+L712*$X$1</f>
        <v>600</v>
      </c>
      <c r="N712" s="565">
        <v>540</v>
      </c>
      <c r="O712" s="341">
        <f>+N712*$X$1</f>
        <v>540</v>
      </c>
      <c r="P712" s="565">
        <v>500</v>
      </c>
      <c r="Q712" s="341">
        <f>+P712*$X$1</f>
        <v>500</v>
      </c>
      <c r="R712" s="565">
        <v>460</v>
      </c>
      <c r="S712" s="341">
        <f>+R712*$X$1</f>
        <v>460</v>
      </c>
      <c r="T712" s="565">
        <v>430</v>
      </c>
      <c r="U712" s="341">
        <f>+T712*$X$1</f>
        <v>430</v>
      </c>
      <c r="V712" s="565">
        <v>400</v>
      </c>
      <c r="W712" s="341">
        <f>+V712*$X$1</f>
        <v>400</v>
      </c>
    </row>
    <row r="713" spans="1:35" ht="12.6" customHeight="1" x14ac:dyDescent="0.2">
      <c r="A713" s="963"/>
      <c r="B713" s="967" t="s">
        <v>545</v>
      </c>
      <c r="C713" s="968"/>
      <c r="D713" s="968"/>
      <c r="E713" s="968"/>
      <c r="F713" s="968"/>
      <c r="G713" s="969"/>
      <c r="H713" s="85">
        <v>1000</v>
      </c>
      <c r="I713" s="342">
        <f>+H713*$X$1</f>
        <v>1000</v>
      </c>
      <c r="J713" s="85">
        <v>910</v>
      </c>
      <c r="K713" s="342">
        <f>+J713*$X$1</f>
        <v>910</v>
      </c>
      <c r="L713" s="427">
        <v>800</v>
      </c>
      <c r="M713" s="339">
        <f>+L713*$X$1</f>
        <v>800</v>
      </c>
      <c r="N713" s="427">
        <v>720</v>
      </c>
      <c r="O713" s="339">
        <f>+N713*$X$1</f>
        <v>720</v>
      </c>
      <c r="P713" s="427">
        <v>670</v>
      </c>
      <c r="Q713" s="339">
        <f>+P713*$X$1</f>
        <v>670</v>
      </c>
      <c r="R713" s="427">
        <v>640</v>
      </c>
      <c r="S713" s="339">
        <f>+R713*$X$1</f>
        <v>640</v>
      </c>
      <c r="T713" s="427">
        <v>625</v>
      </c>
      <c r="U713" s="339">
        <f>+T713*$X$1</f>
        <v>625</v>
      </c>
      <c r="V713" s="427">
        <v>600</v>
      </c>
      <c r="W713" s="339">
        <f>+V713*$X$1</f>
        <v>600</v>
      </c>
    </row>
    <row r="714" spans="1:35" ht="12.6" customHeight="1" x14ac:dyDescent="0.2">
      <c r="A714" s="963"/>
      <c r="B714" s="964" t="s">
        <v>544</v>
      </c>
      <c r="C714" s="965"/>
      <c r="D714" s="965"/>
      <c r="E714" s="965"/>
      <c r="F714" s="965"/>
      <c r="G714" s="966"/>
      <c r="H714" s="70">
        <v>1330</v>
      </c>
      <c r="I714" s="447">
        <f>+H714*$X$1</f>
        <v>1330</v>
      </c>
      <c r="J714" s="70">
        <v>1200</v>
      </c>
      <c r="K714" s="448">
        <f>+J714*$X$1</f>
        <v>1200</v>
      </c>
      <c r="L714" s="565">
        <v>1050</v>
      </c>
      <c r="M714" s="341">
        <f>+L714*$X$1</f>
        <v>1050</v>
      </c>
      <c r="N714" s="565">
        <v>960</v>
      </c>
      <c r="O714" s="341">
        <f>+N714*$X$1</f>
        <v>960</v>
      </c>
      <c r="P714" s="565">
        <v>920</v>
      </c>
      <c r="Q714" s="341">
        <f>+P714*$X$1</f>
        <v>920</v>
      </c>
      <c r="R714" s="565">
        <v>890</v>
      </c>
      <c r="S714" s="341">
        <f>+R714*$X$1</f>
        <v>890</v>
      </c>
      <c r="T714" s="565">
        <v>870</v>
      </c>
      <c r="U714" s="341">
        <f>+T714*$X$1</f>
        <v>870</v>
      </c>
      <c r="V714" s="565">
        <v>850</v>
      </c>
      <c r="W714" s="341">
        <f>+V714*$X$1</f>
        <v>850</v>
      </c>
    </row>
    <row r="715" spans="1:35" ht="9" customHeight="1" x14ac:dyDescent="0.2">
      <c r="A715" s="194"/>
      <c r="B715" s="195"/>
      <c r="C715" s="195"/>
      <c r="D715" s="195"/>
      <c r="E715" s="195"/>
      <c r="F715" s="196"/>
      <c r="G715" s="196"/>
      <c r="H715" s="74"/>
      <c r="I715" s="197"/>
      <c r="J715" s="197"/>
      <c r="K715" s="197"/>
      <c r="L715" s="197"/>
      <c r="M715" s="197"/>
      <c r="N715" s="197"/>
      <c r="O715" s="197"/>
      <c r="P715" s="197"/>
      <c r="Q715" s="197"/>
      <c r="R715" s="197"/>
      <c r="S715" s="197"/>
      <c r="T715" s="197"/>
      <c r="U715" s="197"/>
      <c r="V715" s="74"/>
      <c r="W715" s="189"/>
      <c r="X715" s="188"/>
      <c r="Y715" s="188"/>
      <c r="Z715" s="188"/>
      <c r="AA715" s="188"/>
      <c r="AB715" s="198"/>
    </row>
    <row r="716" spans="1:35" ht="17.25" customHeight="1" x14ac:dyDescent="0.2">
      <c r="B716" s="1110" t="s">
        <v>487</v>
      </c>
      <c r="C716" s="1111"/>
      <c r="D716" s="1111"/>
      <c r="E716" s="1111"/>
      <c r="F716" s="1111"/>
      <c r="G716" s="1111"/>
      <c r="H716" s="1111"/>
      <c r="I716" s="1111"/>
      <c r="J716" s="1111"/>
      <c r="K716" s="68" t="s">
        <v>483</v>
      </c>
      <c r="L716" s="69">
        <v>30</v>
      </c>
      <c r="M716" s="338">
        <f>+L716*$X$1</f>
        <v>30</v>
      </c>
      <c r="N716" s="67"/>
      <c r="O716" s="68" t="s">
        <v>484</v>
      </c>
      <c r="P716" s="69">
        <v>28</v>
      </c>
      <c r="Q716" s="338">
        <f>+P716*$X$1</f>
        <v>28</v>
      </c>
      <c r="R716" s="45"/>
      <c r="S716" s="45"/>
      <c r="T716" s="45"/>
      <c r="U716" s="45"/>
      <c r="V716" s="45"/>
      <c r="W716" s="45"/>
    </row>
    <row r="717" spans="1:35" ht="12.6" customHeight="1" x14ac:dyDescent="0.2">
      <c r="B717" s="48"/>
      <c r="C717" s="163"/>
      <c r="D717" s="163"/>
      <c r="E717" s="163"/>
      <c r="F717" s="163"/>
      <c r="G717" s="163"/>
      <c r="H717" s="163"/>
      <c r="I717" s="163"/>
      <c r="J717" s="163"/>
      <c r="K717" s="49"/>
      <c r="L717" s="50"/>
      <c r="M717" s="51"/>
      <c r="N717" s="45"/>
      <c r="O717" s="49"/>
      <c r="P717" s="50"/>
      <c r="Q717" s="51"/>
      <c r="R717" s="45"/>
      <c r="S717" s="45"/>
      <c r="T717" s="45"/>
      <c r="U717" s="45"/>
      <c r="V717" s="45"/>
      <c r="W717" s="45"/>
    </row>
    <row r="718" spans="1:35" ht="12.6" customHeight="1" x14ac:dyDescent="0.2">
      <c r="B718" s="48"/>
      <c r="C718" s="163"/>
      <c r="D718" s="163"/>
      <c r="E718" s="163"/>
      <c r="F718" s="163"/>
      <c r="G718" s="163"/>
      <c r="H718" s="163"/>
      <c r="I718" s="163"/>
      <c r="J718" s="163"/>
      <c r="K718" s="49"/>
      <c r="L718" s="50"/>
      <c r="M718" s="51"/>
      <c r="N718" s="45"/>
      <c r="O718" s="49"/>
      <c r="P718" s="50"/>
      <c r="Q718" s="51"/>
      <c r="R718" s="45"/>
      <c r="S718" s="45"/>
      <c r="T718" s="45"/>
      <c r="U718" s="45"/>
      <c r="V718" s="45"/>
      <c r="W718" s="45"/>
    </row>
    <row r="719" spans="1:35" ht="12.6" customHeight="1" x14ac:dyDescent="0.2">
      <c r="B719" s="48"/>
      <c r="C719" s="163"/>
      <c r="D719" s="163"/>
      <c r="E719" s="163"/>
      <c r="F719" s="163"/>
      <c r="G719" s="163"/>
      <c r="H719" s="163"/>
      <c r="I719" s="163"/>
      <c r="J719" s="163"/>
      <c r="K719" s="49"/>
      <c r="L719" s="50"/>
      <c r="M719" s="51"/>
      <c r="N719" s="45"/>
      <c r="O719" s="49"/>
      <c r="P719" s="50"/>
      <c r="Q719" s="51"/>
      <c r="R719" s="45"/>
      <c r="S719" s="45"/>
      <c r="T719" s="45"/>
      <c r="U719" s="45"/>
      <c r="V719" s="45"/>
      <c r="W719" s="45"/>
    </row>
    <row r="720" spans="1:35" ht="12.6" customHeight="1" x14ac:dyDescent="0.2">
      <c r="B720" s="48"/>
      <c r="C720" s="163"/>
      <c r="D720" s="163"/>
      <c r="E720" s="163"/>
      <c r="F720" s="163"/>
      <c r="G720" s="163"/>
      <c r="H720" s="163"/>
      <c r="I720" s="163"/>
      <c r="J720" s="163"/>
      <c r="K720" s="49"/>
      <c r="L720" s="50"/>
      <c r="M720" s="51"/>
      <c r="N720" s="45"/>
      <c r="O720" s="49"/>
      <c r="P720" s="50"/>
      <c r="Q720" s="51"/>
      <c r="R720" s="45"/>
      <c r="S720" s="45"/>
      <c r="T720" s="45"/>
      <c r="U720" s="45"/>
      <c r="V720" s="45"/>
      <c r="W720" s="45"/>
    </row>
    <row r="721" spans="2:34" x14ac:dyDescent="0.2">
      <c r="B721" s="3"/>
      <c r="C721" s="1108" t="s">
        <v>299</v>
      </c>
      <c r="D721" s="1109"/>
      <c r="E721" s="1109"/>
      <c r="F721" s="1109"/>
      <c r="G721" s="1109"/>
      <c r="H721" s="1109"/>
      <c r="I721" s="1109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"/>
      <c r="W721" s="7"/>
    </row>
    <row r="722" spans="2:34" ht="12.6" customHeight="1" x14ac:dyDescent="0.2">
      <c r="B722" s="3"/>
      <c r="C722" s="1055" t="s">
        <v>300</v>
      </c>
      <c r="D722" s="1056"/>
      <c r="E722" s="1056"/>
      <c r="F722" s="1056"/>
      <c r="G722" s="1057"/>
      <c r="H722" s="398"/>
      <c r="I722" s="395"/>
      <c r="J722" s="4"/>
      <c r="K722" s="4"/>
      <c r="L722" s="36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34" ht="12.6" customHeight="1" x14ac:dyDescent="0.2">
      <c r="B723" s="3"/>
      <c r="C723" s="1120" t="s">
        <v>301</v>
      </c>
      <c r="D723" s="1121"/>
      <c r="E723" s="1121"/>
      <c r="F723" s="1121"/>
      <c r="G723" s="1122"/>
      <c r="H723" s="40"/>
      <c r="I723" s="399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34" ht="12.6" customHeight="1" x14ac:dyDescent="0.2">
      <c r="B724" s="3"/>
      <c r="C724" s="1120" t="s">
        <v>302</v>
      </c>
      <c r="D724" s="1121"/>
      <c r="E724" s="1121"/>
      <c r="F724" s="1121"/>
      <c r="G724" s="1122"/>
      <c r="H724" s="42"/>
      <c r="I724" s="337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15.95" customHeight="1" x14ac:dyDescent="0.2">
      <c r="B725" s="3"/>
      <c r="C725" s="1093" t="s">
        <v>541</v>
      </c>
      <c r="D725" s="1094"/>
      <c r="E725" s="1094"/>
      <c r="F725" s="1094"/>
      <c r="G725" s="1094"/>
      <c r="H725" s="1095"/>
      <c r="I725" s="1096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34" ht="15.75" customHeight="1" x14ac:dyDescent="0.2">
      <c r="B726" s="3"/>
      <c r="C726" s="881"/>
      <c r="D726" s="882"/>
      <c r="E726" s="882"/>
      <c r="F726" s="882"/>
      <c r="G726" s="882"/>
      <c r="H726" s="1097"/>
      <c r="I726" s="1098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34" ht="12.6" customHeight="1" thickBot="1" x14ac:dyDescent="0.25">
      <c r="B727" s="4"/>
      <c r="C727" s="47"/>
      <c r="D727" s="47"/>
      <c r="E727" s="47"/>
      <c r="F727" s="47"/>
      <c r="G727" s="47"/>
      <c r="H727" s="41"/>
      <c r="I727" s="319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3.5" customHeight="1" x14ac:dyDescent="0.2">
      <c r="B728" s="1128" t="s">
        <v>788</v>
      </c>
      <c r="C728" s="1129"/>
      <c r="D728" s="1129"/>
      <c r="E728" s="1129"/>
      <c r="F728" s="1129"/>
      <c r="G728" s="1129"/>
      <c r="H728" s="1129"/>
      <c r="I728" s="1129"/>
      <c r="J728" s="1129"/>
      <c r="K728" s="1129"/>
      <c r="L728" s="1129"/>
      <c r="M728" s="1129"/>
      <c r="N728" s="1129"/>
      <c r="O728" s="1129"/>
      <c r="P728" s="1129"/>
      <c r="Q728" s="1129"/>
      <c r="R728" s="1129"/>
      <c r="S728" s="1129"/>
      <c r="T728" s="1129"/>
      <c r="U728" s="1129"/>
      <c r="V728" s="1129"/>
      <c r="W728" s="1130"/>
    </row>
    <row r="729" spans="2:34" ht="13.5" customHeight="1" x14ac:dyDescent="0.2">
      <c r="B729" s="1131"/>
      <c r="C729" s="1132"/>
      <c r="D729" s="1132"/>
      <c r="E729" s="1132"/>
      <c r="F729" s="1132"/>
      <c r="G729" s="1132"/>
      <c r="H729" s="1132"/>
      <c r="I729" s="1132"/>
      <c r="J729" s="1132"/>
      <c r="K729" s="1132"/>
      <c r="L729" s="1132"/>
      <c r="M729" s="1132"/>
      <c r="N729" s="1132"/>
      <c r="O729" s="1132"/>
      <c r="P729" s="1132"/>
      <c r="Q729" s="1132"/>
      <c r="R729" s="1132"/>
      <c r="S729" s="1132"/>
      <c r="T729" s="1132"/>
      <c r="U729" s="1132"/>
      <c r="V729" s="1132"/>
      <c r="W729" s="1133"/>
    </row>
    <row r="730" spans="2:34" ht="13.5" customHeight="1" thickBot="1" x14ac:dyDescent="0.25">
      <c r="B730" s="1134"/>
      <c r="C730" s="1135"/>
      <c r="D730" s="1135"/>
      <c r="E730" s="1135"/>
      <c r="F730" s="1135"/>
      <c r="G730" s="1135"/>
      <c r="H730" s="1135"/>
      <c r="I730" s="1135"/>
      <c r="J730" s="1135"/>
      <c r="K730" s="1135"/>
      <c r="L730" s="1135"/>
      <c r="M730" s="1135"/>
      <c r="N730" s="1135"/>
      <c r="O730" s="1135"/>
      <c r="P730" s="1135"/>
      <c r="Q730" s="1135"/>
      <c r="R730" s="1135"/>
      <c r="S730" s="1135"/>
      <c r="T730" s="1135"/>
      <c r="U730" s="1135"/>
      <c r="V730" s="1135"/>
      <c r="W730" s="1136"/>
    </row>
    <row r="731" spans="2:34" ht="12.6" customHeight="1" x14ac:dyDescent="0.2">
      <c r="B731" s="4"/>
      <c r="C731" s="39"/>
      <c r="D731" s="39"/>
      <c r="E731" s="39"/>
      <c r="F731" s="39"/>
      <c r="G731" s="39"/>
      <c r="H731" s="41"/>
      <c r="I731" s="41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34" ht="23.25" customHeight="1" x14ac:dyDescent="0.2">
      <c r="B732" s="3"/>
      <c r="C732" s="1080" t="s">
        <v>630</v>
      </c>
      <c r="D732" s="1081"/>
      <c r="E732" s="1081"/>
      <c r="F732" s="1081"/>
      <c r="G732" s="1081"/>
      <c r="H732" s="1081"/>
      <c r="I732" s="1082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AF732" s="675" t="s">
        <v>3</v>
      </c>
      <c r="AG732" s="676"/>
      <c r="AH732" s="676"/>
    </row>
    <row r="733" spans="2:34" ht="12.95" customHeight="1" x14ac:dyDescent="0.2">
      <c r="B733" s="3"/>
      <c r="C733" s="1099"/>
      <c r="D733" s="1100"/>
      <c r="E733" s="1100"/>
      <c r="F733" s="1100"/>
      <c r="G733" s="1100"/>
      <c r="H733" s="1100"/>
      <c r="I733" s="1101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34" ht="12.95" customHeight="1" x14ac:dyDescent="0.2">
      <c r="B734" s="3"/>
      <c r="C734" s="1102"/>
      <c r="D734" s="1103"/>
      <c r="E734" s="1103"/>
      <c r="F734" s="1103"/>
      <c r="G734" s="1103"/>
      <c r="H734" s="1103"/>
      <c r="I734" s="1104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95" customHeight="1" x14ac:dyDescent="0.2">
      <c r="B735" s="3"/>
      <c r="C735" s="1102"/>
      <c r="D735" s="1103"/>
      <c r="E735" s="1103"/>
      <c r="F735" s="1103"/>
      <c r="G735" s="1103"/>
      <c r="H735" s="1103"/>
      <c r="I735" s="1104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2.95" customHeight="1" x14ac:dyDescent="0.2">
      <c r="B736" s="3"/>
      <c r="C736" s="1102"/>
      <c r="D736" s="1103"/>
      <c r="E736" s="1103"/>
      <c r="F736" s="1103"/>
      <c r="G736" s="1103"/>
      <c r="H736" s="1103"/>
      <c r="I736" s="1104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34" ht="12.95" customHeight="1" x14ac:dyDescent="0.2">
      <c r="B737" s="3"/>
      <c r="C737" s="1102"/>
      <c r="D737" s="1103"/>
      <c r="E737" s="1103"/>
      <c r="F737" s="1103"/>
      <c r="G737" s="1103"/>
      <c r="H737" s="1103"/>
      <c r="I737" s="1104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34" ht="12.95" customHeight="1" x14ac:dyDescent="0.2">
      <c r="B738" s="3"/>
      <c r="C738" s="1102"/>
      <c r="D738" s="1103"/>
      <c r="E738" s="1103"/>
      <c r="F738" s="1103"/>
      <c r="G738" s="1103"/>
      <c r="H738" s="1103"/>
      <c r="I738" s="1104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34" ht="10.5" customHeight="1" x14ac:dyDescent="0.2">
      <c r="B739" s="3"/>
      <c r="C739" s="1105"/>
      <c r="D739" s="1106"/>
      <c r="E739" s="1106"/>
      <c r="F739" s="1106"/>
      <c r="G739" s="1106"/>
      <c r="H739" s="1106"/>
      <c r="I739" s="1107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34" ht="12.6" customHeight="1" x14ac:dyDescent="0.2">
      <c r="B740" s="3"/>
      <c r="C740" s="1083" t="s">
        <v>387</v>
      </c>
      <c r="D740" s="1083"/>
      <c r="E740" s="1084"/>
      <c r="F740" s="1084"/>
      <c r="G740" s="1085"/>
      <c r="H740" s="42">
        <v>1500</v>
      </c>
      <c r="I740" s="341">
        <f>+H740*$X$1</f>
        <v>1500</v>
      </c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34" ht="12.6" customHeight="1" x14ac:dyDescent="0.2">
      <c r="B741" s="3"/>
      <c r="C741" s="1083" t="s">
        <v>631</v>
      </c>
      <c r="D741" s="1083"/>
      <c r="E741" s="1084"/>
      <c r="F741" s="1084"/>
      <c r="G741" s="1085"/>
      <c r="H741" s="42">
        <v>1400</v>
      </c>
      <c r="I741" s="341">
        <f>+H741*$X$1</f>
        <v>1400</v>
      </c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34" ht="12.6" customHeight="1" x14ac:dyDescent="0.2">
      <c r="B742" s="3"/>
      <c r="C742" s="46"/>
      <c r="D742" s="44"/>
      <c r="E742" s="44"/>
      <c r="F742" s="44"/>
      <c r="G742" s="39"/>
      <c r="H742" s="41"/>
      <c r="I742" s="41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34" ht="18" customHeight="1" x14ac:dyDescent="0.2">
      <c r="B743" s="1018" t="s">
        <v>542</v>
      </c>
      <c r="C743" s="1019"/>
      <c r="D743" s="1019"/>
      <c r="E743" s="1019"/>
      <c r="F743" s="1019"/>
      <c r="G743" s="1019"/>
      <c r="H743" s="1019"/>
      <c r="I743" s="1019"/>
      <c r="J743" s="1019"/>
      <c r="K743" s="1019"/>
      <c r="L743" s="1019"/>
      <c r="M743" s="1019"/>
      <c r="N743" s="1019"/>
      <c r="O743" s="1019"/>
      <c r="P743" s="1019"/>
      <c r="Q743" s="1019"/>
      <c r="R743" s="1019"/>
      <c r="S743" s="1019"/>
      <c r="T743" s="1019"/>
      <c r="U743" s="1019"/>
      <c r="V743" s="1019"/>
      <c r="W743" s="1020"/>
    </row>
    <row r="744" spans="2:34" ht="12.6" customHeight="1" x14ac:dyDescent="0.2">
      <c r="B744" s="26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</row>
    <row r="745" spans="2:34" ht="15.75" customHeight="1" x14ac:dyDescent="0.2">
      <c r="B745" s="1016" t="s">
        <v>303</v>
      </c>
      <c r="C745" s="1017"/>
      <c r="D745" s="1017"/>
      <c r="E745" s="1017"/>
      <c r="F745" s="1017"/>
      <c r="G745" s="1017"/>
      <c r="H745" s="1017"/>
      <c r="I745" s="1017"/>
      <c r="J745" s="1017"/>
      <c r="K745" s="1017"/>
      <c r="L745" s="1017"/>
      <c r="M745" s="1017"/>
      <c r="N745" s="1017"/>
      <c r="O745" s="1017"/>
      <c r="P745" s="1017"/>
      <c r="Q745" s="1017"/>
      <c r="R745" s="1017"/>
      <c r="S745" s="1017"/>
      <c r="T745" s="1017"/>
      <c r="U745" s="1017"/>
      <c r="V745" s="1017"/>
      <c r="W745" s="1017"/>
    </row>
    <row r="746" spans="2:34" ht="15.75" customHeight="1" x14ac:dyDescent="0.2">
      <c r="B746" s="1016" t="s">
        <v>304</v>
      </c>
      <c r="C746" s="1017"/>
      <c r="D746" s="1017"/>
      <c r="E746" s="1017"/>
      <c r="F746" s="1017"/>
      <c r="G746" s="1017"/>
      <c r="H746" s="1017"/>
      <c r="I746" s="1017"/>
      <c r="J746" s="1017"/>
      <c r="K746" s="1017"/>
      <c r="L746" s="1017"/>
      <c r="M746" s="1017"/>
      <c r="N746" s="1017"/>
      <c r="O746" s="1017"/>
      <c r="P746" s="1017"/>
      <c r="Q746" s="1017"/>
      <c r="R746" s="1017"/>
      <c r="S746" s="1017"/>
      <c r="T746" s="1017"/>
      <c r="U746" s="1017"/>
      <c r="V746" s="1017"/>
      <c r="W746" s="1017"/>
      <c r="AF746" s="675"/>
      <c r="AG746" s="676"/>
      <c r="AH746" s="676"/>
    </row>
    <row r="747" spans="2:34" ht="15.75" customHeight="1" x14ac:dyDescent="0.2">
      <c r="B747" s="1016" t="s">
        <v>305</v>
      </c>
      <c r="C747" s="1017"/>
      <c r="D747" s="1017"/>
      <c r="E747" s="1017"/>
      <c r="F747" s="1017"/>
      <c r="G747" s="1017"/>
      <c r="H747" s="1017"/>
      <c r="I747" s="1017"/>
      <c r="J747" s="1017"/>
      <c r="K747" s="1017"/>
      <c r="L747" s="1017"/>
      <c r="M747" s="1017"/>
      <c r="N747" s="1017"/>
      <c r="O747" s="1017"/>
      <c r="P747" s="1017"/>
      <c r="Q747" s="1017"/>
      <c r="R747" s="1017"/>
      <c r="S747" s="1017"/>
      <c r="T747" s="1017"/>
      <c r="U747" s="1017"/>
      <c r="V747" s="1017"/>
      <c r="W747" s="1017"/>
    </row>
    <row r="748" spans="2:34" ht="12.6" customHeight="1" x14ac:dyDescent="0.2">
      <c r="B748" s="11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 spans="2:34" ht="18" customHeight="1" thickBot="1" x14ac:dyDescent="0.25">
      <c r="B749" s="1050" t="s">
        <v>306</v>
      </c>
      <c r="C749" s="1051"/>
      <c r="D749" s="1051"/>
      <c r="E749" s="1051"/>
      <c r="F749" s="1051"/>
      <c r="G749" s="1051"/>
      <c r="H749" s="1051"/>
      <c r="I749" s="1051"/>
      <c r="J749" s="1051"/>
      <c r="K749" s="1051"/>
      <c r="L749" s="1051"/>
      <c r="M749" s="1051"/>
      <c r="N749" s="1051"/>
      <c r="O749" s="1051"/>
      <c r="P749" s="1051"/>
      <c r="Q749" s="1051"/>
      <c r="R749" s="1051"/>
      <c r="S749" s="1051"/>
      <c r="T749" s="1051"/>
      <c r="U749" s="1051"/>
      <c r="V749" s="1051"/>
      <c r="W749" s="1052"/>
    </row>
    <row r="750" spans="2:34" x14ac:dyDescent="0.2">
      <c r="B750" s="1039" t="s">
        <v>934</v>
      </c>
      <c r="C750" s="1040"/>
      <c r="D750" s="1040"/>
      <c r="E750" s="1040"/>
      <c r="F750" s="1040"/>
      <c r="G750" s="1040"/>
      <c r="H750" s="1040"/>
      <c r="I750" s="1040"/>
      <c r="J750" s="1040"/>
      <c r="K750" s="1040"/>
      <c r="L750" s="1040"/>
      <c r="M750" s="1040"/>
      <c r="N750" s="1041"/>
      <c r="O750" s="1041"/>
      <c r="P750" s="1041"/>
      <c r="Q750" s="1041"/>
      <c r="R750" s="1041"/>
      <c r="S750" s="1041"/>
      <c r="T750" s="1041"/>
      <c r="U750" s="1041"/>
      <c r="V750" s="1041"/>
      <c r="W750" s="1042"/>
    </row>
    <row r="751" spans="2:34" ht="12.75" customHeight="1" x14ac:dyDescent="0.2">
      <c r="B751" s="1043"/>
      <c r="C751" s="1040"/>
      <c r="D751" s="1040"/>
      <c r="E751" s="1040"/>
      <c r="F751" s="1040"/>
      <c r="G751" s="1040"/>
      <c r="H751" s="1040"/>
      <c r="I751" s="1040"/>
      <c r="J751" s="1040"/>
      <c r="K751" s="1040"/>
      <c r="L751" s="1040"/>
      <c r="M751" s="1040"/>
      <c r="N751" s="1041"/>
      <c r="O751" s="1041"/>
      <c r="P751" s="1041"/>
      <c r="Q751" s="1041"/>
      <c r="R751" s="1041"/>
      <c r="S751" s="1041"/>
      <c r="T751" s="1041"/>
      <c r="U751" s="1041"/>
      <c r="V751" s="1041"/>
      <c r="W751" s="1042"/>
    </row>
    <row r="752" spans="2:34" x14ac:dyDescent="0.2">
      <c r="B752" s="1043"/>
      <c r="C752" s="1040"/>
      <c r="D752" s="1040"/>
      <c r="E752" s="1040"/>
      <c r="F752" s="1040"/>
      <c r="G752" s="1040"/>
      <c r="H752" s="1040"/>
      <c r="I752" s="1040"/>
      <c r="J752" s="1040"/>
      <c r="K752" s="1040"/>
      <c r="L752" s="1040"/>
      <c r="M752" s="1040"/>
      <c r="N752" s="1041"/>
      <c r="O752" s="1041"/>
      <c r="P752" s="1041"/>
      <c r="Q752" s="1041"/>
      <c r="R752" s="1041"/>
      <c r="S752" s="1041"/>
      <c r="T752" s="1041"/>
      <c r="U752" s="1041"/>
      <c r="V752" s="1041"/>
      <c r="W752" s="1042"/>
    </row>
    <row r="753" spans="2:24" x14ac:dyDescent="0.2">
      <c r="B753" s="1044"/>
      <c r="C753" s="1045"/>
      <c r="D753" s="1045"/>
      <c r="E753" s="1045"/>
      <c r="F753" s="1045"/>
      <c r="G753" s="1045"/>
      <c r="H753" s="1045"/>
      <c r="I753" s="1045"/>
      <c r="J753" s="1045"/>
      <c r="K753" s="1045"/>
      <c r="L753" s="1045"/>
      <c r="M753" s="1045"/>
      <c r="N753" s="1046"/>
      <c r="O753" s="1046"/>
      <c r="P753" s="1046"/>
      <c r="Q753" s="1046"/>
      <c r="R753" s="1046"/>
      <c r="S753" s="1046"/>
      <c r="T753" s="1046"/>
      <c r="U753" s="1046"/>
      <c r="V753" s="1046"/>
      <c r="W753" s="1047"/>
    </row>
    <row r="754" spans="2:24" ht="12.6" customHeight="1" x14ac:dyDescent="0.2">
      <c r="B754" s="200"/>
      <c r="C754" s="200"/>
      <c r="D754" s="200"/>
      <c r="E754" s="200"/>
      <c r="F754" s="200"/>
      <c r="G754" s="200"/>
      <c r="H754" s="200"/>
      <c r="I754" s="200"/>
      <c r="J754" s="200"/>
      <c r="K754" s="200"/>
      <c r="L754" s="200"/>
      <c r="M754" s="201"/>
      <c r="N754" s="61"/>
      <c r="O754" s="61"/>
      <c r="P754" s="61"/>
      <c r="Q754" s="61"/>
      <c r="R754" s="61"/>
      <c r="S754" s="61"/>
      <c r="T754" s="61"/>
      <c r="U754" s="61"/>
      <c r="V754" s="61"/>
      <c r="W754" s="61"/>
    </row>
    <row r="755" spans="2:24" x14ac:dyDescent="0.2">
      <c r="B755" s="1048" t="s">
        <v>307</v>
      </c>
      <c r="C755" s="1049"/>
      <c r="D755" s="1049"/>
      <c r="E755" s="1049"/>
      <c r="F755" s="1049"/>
      <c r="G755" s="1049"/>
      <c r="H755" s="1049"/>
      <c r="I755" s="1049"/>
      <c r="J755" s="1049"/>
      <c r="K755" s="1049"/>
      <c r="L755" s="1049"/>
      <c r="M755" s="1049"/>
      <c r="N755" s="1049"/>
      <c r="O755" s="1049"/>
      <c r="P755" s="1049"/>
      <c r="Q755" s="1049"/>
      <c r="R755" s="1049"/>
      <c r="S755" s="1049"/>
      <c r="T755" s="1049"/>
      <c r="U755" s="1049"/>
      <c r="V755" s="1049"/>
      <c r="W755" s="1049"/>
    </row>
    <row r="756" spans="2:24" x14ac:dyDescent="0.2">
      <c r="B756" s="1049"/>
      <c r="C756" s="1049"/>
      <c r="D756" s="1049"/>
      <c r="E756" s="1049"/>
      <c r="F756" s="1049"/>
      <c r="G756" s="1049"/>
      <c r="H756" s="1049"/>
      <c r="I756" s="1049"/>
      <c r="J756" s="1049"/>
      <c r="K756" s="1049"/>
      <c r="L756" s="1049"/>
      <c r="M756" s="1049"/>
      <c r="N756" s="1049"/>
      <c r="O756" s="1049"/>
      <c r="P756" s="1049"/>
      <c r="Q756" s="1049"/>
      <c r="R756" s="1049"/>
      <c r="S756" s="1049"/>
      <c r="T756" s="1049"/>
      <c r="U756" s="1049"/>
      <c r="V756" s="1049"/>
      <c r="W756" s="1049"/>
    </row>
    <row r="757" spans="2:24" x14ac:dyDescent="0.2">
      <c r="B757" s="1038" t="s">
        <v>308</v>
      </c>
      <c r="C757" s="1017"/>
      <c r="D757" s="1017"/>
      <c r="E757" s="1017"/>
      <c r="F757" s="1017"/>
      <c r="G757" s="1017"/>
      <c r="H757" s="1017"/>
      <c r="I757" s="1017"/>
      <c r="J757" s="1017"/>
      <c r="K757" s="1017"/>
      <c r="L757" s="1017"/>
      <c r="M757" s="1017"/>
      <c r="N757" s="1017"/>
      <c r="O757" s="1017"/>
      <c r="P757" s="1017"/>
      <c r="Q757" s="1017"/>
      <c r="R757" s="1017"/>
      <c r="S757" s="1017"/>
      <c r="T757" s="1017"/>
      <c r="U757" s="1017"/>
      <c r="V757" s="1017"/>
      <c r="W757" s="1017"/>
    </row>
    <row r="758" spans="2:24" ht="14.25" customHeight="1" x14ac:dyDescent="0.2">
      <c r="B758" s="503"/>
      <c r="C758" s="502"/>
      <c r="D758" s="502"/>
      <c r="E758" s="502"/>
      <c r="F758" s="502"/>
      <c r="G758" s="502"/>
      <c r="H758" s="502"/>
      <c r="I758" s="502"/>
      <c r="J758" s="502"/>
      <c r="K758" s="502"/>
      <c r="L758" s="502"/>
      <c r="M758" s="502"/>
      <c r="N758" s="502"/>
      <c r="O758" s="502"/>
      <c r="P758" s="502"/>
      <c r="Q758" s="502"/>
      <c r="R758" s="502"/>
      <c r="S758" s="502"/>
      <c r="T758" s="502"/>
      <c r="U758" s="502"/>
      <c r="V758" s="502"/>
      <c r="W758" s="502"/>
    </row>
    <row r="759" spans="2:24" ht="16.5" customHeight="1" x14ac:dyDescent="0.2">
      <c r="B759" s="1037" t="s">
        <v>938</v>
      </c>
      <c r="C759" s="662"/>
      <c r="D759" s="662"/>
      <c r="E759" s="662"/>
      <c r="F759" s="662"/>
      <c r="G759" s="662"/>
      <c r="H759" s="662"/>
      <c r="I759" s="662"/>
      <c r="J759" s="662"/>
      <c r="K759" s="662"/>
      <c r="L759" s="662"/>
      <c r="M759" s="662"/>
      <c r="N759" s="662"/>
      <c r="O759" s="662"/>
      <c r="P759" s="662"/>
      <c r="Q759" s="662"/>
      <c r="R759" s="662"/>
      <c r="S759" s="662"/>
      <c r="T759" s="662"/>
      <c r="U759" s="662"/>
      <c r="V759" s="662"/>
      <c r="W759" s="662"/>
    </row>
    <row r="760" spans="2:24" ht="11.25" customHeight="1" x14ac:dyDescent="0.2">
      <c r="B760" s="224"/>
      <c r="C760" s="224"/>
      <c r="D760" s="224"/>
      <c r="E760" s="224"/>
      <c r="F760" s="224"/>
      <c r="G760" s="224"/>
      <c r="H760" s="224"/>
      <c r="I760" s="224"/>
      <c r="J760" s="224"/>
      <c r="K760" s="224"/>
      <c r="L760" s="224"/>
      <c r="M760" s="224"/>
      <c r="N760" s="224"/>
      <c r="O760" s="224"/>
      <c r="P760" s="224"/>
      <c r="Q760" s="224"/>
      <c r="R760" s="224"/>
      <c r="S760" s="224"/>
      <c r="T760" s="224"/>
      <c r="U760" s="224"/>
      <c r="V760" s="224"/>
      <c r="W760" s="224"/>
      <c r="X760" s="64"/>
    </row>
    <row r="761" spans="2:24" ht="8.25" customHeight="1" x14ac:dyDescent="0.2">
      <c r="B761" s="1021" t="s">
        <v>933</v>
      </c>
      <c r="C761" s="1022"/>
      <c r="D761" s="1022"/>
      <c r="E761" s="1022"/>
      <c r="F761" s="1022"/>
      <c r="G761" s="1022"/>
      <c r="H761" s="1022"/>
      <c r="I761" s="1022"/>
      <c r="J761" s="1022"/>
      <c r="K761" s="1023"/>
      <c r="L761" s="1023"/>
      <c r="M761" s="1023"/>
      <c r="N761" s="1023"/>
      <c r="O761" s="1023"/>
      <c r="P761" s="1023"/>
      <c r="Q761" s="1023"/>
      <c r="R761" s="1023"/>
      <c r="S761" s="1023"/>
      <c r="T761" s="1023"/>
      <c r="U761" s="1023"/>
      <c r="V761" s="1023"/>
      <c r="W761" s="1024"/>
    </row>
    <row r="762" spans="2:24" ht="12.75" customHeight="1" x14ac:dyDescent="0.2">
      <c r="B762" s="1025"/>
      <c r="C762" s="1026"/>
      <c r="D762" s="1026"/>
      <c r="E762" s="1026"/>
      <c r="F762" s="1026"/>
      <c r="G762" s="1026"/>
      <c r="H762" s="1026"/>
      <c r="I762" s="1026"/>
      <c r="J762" s="1026"/>
      <c r="K762" s="1027"/>
      <c r="L762" s="1027"/>
      <c r="M762" s="1027"/>
      <c r="N762" s="1027"/>
      <c r="O762" s="1027"/>
      <c r="P762" s="1027"/>
      <c r="Q762" s="1027"/>
      <c r="R762" s="1027"/>
      <c r="S762" s="1027"/>
      <c r="T762" s="1027"/>
      <c r="U762" s="1027"/>
      <c r="V762" s="1027"/>
      <c r="W762" s="1028"/>
    </row>
    <row r="763" spans="2:24" x14ac:dyDescent="0.2">
      <c r="B763" s="1029"/>
      <c r="C763" s="1030"/>
      <c r="D763" s="1030"/>
      <c r="E763" s="1030"/>
      <c r="F763" s="1030"/>
      <c r="G763" s="1030"/>
      <c r="H763" s="1030"/>
      <c r="I763" s="1030"/>
      <c r="J763" s="1030"/>
      <c r="K763" s="1027"/>
      <c r="L763" s="1027"/>
      <c r="M763" s="1027"/>
      <c r="N763" s="1027"/>
      <c r="O763" s="1027"/>
      <c r="P763" s="1027"/>
      <c r="Q763" s="1027"/>
      <c r="R763" s="1027"/>
      <c r="S763" s="1027"/>
      <c r="T763" s="1027"/>
      <c r="U763" s="1027"/>
      <c r="V763" s="1027"/>
      <c r="W763" s="1028"/>
    </row>
    <row r="764" spans="2:24" x14ac:dyDescent="0.2">
      <c r="B764" s="1029"/>
      <c r="C764" s="1030"/>
      <c r="D764" s="1030"/>
      <c r="E764" s="1030"/>
      <c r="F764" s="1030"/>
      <c r="G764" s="1030"/>
      <c r="H764" s="1030"/>
      <c r="I764" s="1030"/>
      <c r="J764" s="1030"/>
      <c r="K764" s="1027"/>
      <c r="L764" s="1027"/>
      <c r="M764" s="1027"/>
      <c r="N764" s="1027"/>
      <c r="O764" s="1027"/>
      <c r="P764" s="1027"/>
      <c r="Q764" s="1027"/>
      <c r="R764" s="1027"/>
      <c r="S764" s="1027"/>
      <c r="T764" s="1027"/>
      <c r="U764" s="1027"/>
      <c r="V764" s="1027"/>
      <c r="W764" s="1028"/>
    </row>
    <row r="765" spans="2:24" x14ac:dyDescent="0.2">
      <c r="B765" s="1029"/>
      <c r="C765" s="1030"/>
      <c r="D765" s="1030"/>
      <c r="E765" s="1030"/>
      <c r="F765" s="1030"/>
      <c r="G765" s="1030"/>
      <c r="H765" s="1030"/>
      <c r="I765" s="1030"/>
      <c r="J765" s="1030"/>
      <c r="K765" s="1027"/>
      <c r="L765" s="1027"/>
      <c r="M765" s="1027"/>
      <c r="N765" s="1027"/>
      <c r="O765" s="1027"/>
      <c r="P765" s="1027"/>
      <c r="Q765" s="1027"/>
      <c r="R765" s="1027"/>
      <c r="S765" s="1027"/>
      <c r="T765" s="1027"/>
      <c r="U765" s="1027"/>
      <c r="V765" s="1027"/>
      <c r="W765" s="1028"/>
    </row>
    <row r="766" spans="2:24" x14ac:dyDescent="0.2">
      <c r="B766" s="1029"/>
      <c r="C766" s="1030"/>
      <c r="D766" s="1030"/>
      <c r="E766" s="1030"/>
      <c r="F766" s="1030"/>
      <c r="G766" s="1030"/>
      <c r="H766" s="1030"/>
      <c r="I766" s="1030"/>
      <c r="J766" s="1030"/>
      <c r="K766" s="1027"/>
      <c r="L766" s="1027"/>
      <c r="M766" s="1027"/>
      <c r="N766" s="1027"/>
      <c r="O766" s="1027"/>
      <c r="P766" s="1027"/>
      <c r="Q766" s="1027"/>
      <c r="R766" s="1027"/>
      <c r="S766" s="1027"/>
      <c r="T766" s="1027"/>
      <c r="U766" s="1027"/>
      <c r="V766" s="1027"/>
      <c r="W766" s="1028"/>
    </row>
    <row r="767" spans="2:24" x14ac:dyDescent="0.2">
      <c r="B767" s="1031"/>
      <c r="C767" s="1032"/>
      <c r="D767" s="1032"/>
      <c r="E767" s="1032"/>
      <c r="F767" s="1032"/>
      <c r="G767" s="1032"/>
      <c r="H767" s="1032"/>
      <c r="I767" s="1032"/>
      <c r="J767" s="1032"/>
      <c r="K767" s="1032"/>
      <c r="L767" s="1032"/>
      <c r="M767" s="1032"/>
      <c r="N767" s="1032"/>
      <c r="O767" s="1032"/>
      <c r="P767" s="1032"/>
      <c r="Q767" s="1032"/>
      <c r="R767" s="1032"/>
      <c r="S767" s="1032"/>
      <c r="T767" s="1032"/>
      <c r="U767" s="1032"/>
      <c r="V767" s="1032"/>
      <c r="W767" s="1033"/>
    </row>
    <row r="768" spans="2:24" ht="15" customHeight="1" x14ac:dyDescent="0.2">
      <c r="B768" s="1034"/>
      <c r="C768" s="1035"/>
      <c r="D768" s="1035"/>
      <c r="E768" s="1035"/>
      <c r="F768" s="1035"/>
      <c r="G768" s="1035"/>
      <c r="H768" s="1035"/>
      <c r="I768" s="1035"/>
      <c r="J768" s="1035"/>
      <c r="K768" s="1035"/>
      <c r="L768" s="1035"/>
      <c r="M768" s="1035"/>
      <c r="N768" s="1035"/>
      <c r="O768" s="1035"/>
      <c r="P768" s="1035"/>
      <c r="Q768" s="1035"/>
      <c r="R768" s="1035"/>
      <c r="S768" s="1035"/>
      <c r="T768" s="1035"/>
      <c r="U768" s="1035"/>
      <c r="V768" s="1035"/>
      <c r="W768" s="1036"/>
    </row>
    <row r="769" spans="2:23" ht="12.6" customHeight="1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ht="18.75" customHeight="1" x14ac:dyDescent="0.2">
      <c r="B770" s="1013" t="s">
        <v>309</v>
      </c>
      <c r="C770" s="1014"/>
      <c r="D770" s="1014"/>
      <c r="E770" s="1014"/>
      <c r="F770" s="1014"/>
      <c r="G770" s="1014"/>
      <c r="H770" s="1014"/>
      <c r="I770" s="1014"/>
      <c r="J770" s="1014"/>
      <c r="K770" s="1014"/>
      <c r="L770" s="1014"/>
      <c r="M770" s="1014"/>
      <c r="N770" s="1014"/>
      <c r="O770" s="1014"/>
      <c r="P770" s="1014"/>
      <c r="Q770" s="1014"/>
      <c r="R770" s="1014"/>
      <c r="S770" s="1014"/>
      <c r="T770" s="1014"/>
      <c r="U770" s="1014"/>
      <c r="V770" s="1014"/>
      <c r="W770" s="1015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ht="12.75" customHeight="1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E1181" s="1"/>
      <c r="F1181" s="1"/>
      <c r="H1181" s="1"/>
      <c r="I1181" s="1"/>
      <c r="J1181" s="1"/>
      <c r="K1181" s="1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</sheetData>
  <mergeCells count="1164">
    <mergeCell ref="B15:E15"/>
    <mergeCell ref="X15:AA15"/>
    <mergeCell ref="B408:E408"/>
    <mergeCell ref="B216:E216"/>
    <mergeCell ref="B277:E277"/>
    <mergeCell ref="B332:E332"/>
    <mergeCell ref="X239:AA240"/>
    <mergeCell ref="B336:E336"/>
    <mergeCell ref="X359:AA359"/>
    <mergeCell ref="B284:E284"/>
    <mergeCell ref="B309:E309"/>
    <mergeCell ref="B381:E381"/>
    <mergeCell ref="B403:E403"/>
    <mergeCell ref="B383:E383"/>
    <mergeCell ref="B391:E391"/>
    <mergeCell ref="B380:E380"/>
    <mergeCell ref="B295:E295"/>
    <mergeCell ref="B390:E390"/>
    <mergeCell ref="X388:AA388"/>
    <mergeCell ref="B114:E114"/>
    <mergeCell ref="G114:M114"/>
    <mergeCell ref="X114:AA114"/>
    <mergeCell ref="B115:E115"/>
    <mergeCell ref="G115:M115"/>
    <mergeCell ref="X115:AA115"/>
    <mergeCell ref="B116:E116"/>
    <mergeCell ref="G116:M116"/>
    <mergeCell ref="X116:AA116"/>
    <mergeCell ref="B117:E117"/>
    <mergeCell ref="G117:M117"/>
    <mergeCell ref="X117:AA117"/>
    <mergeCell ref="B118:E118"/>
    <mergeCell ref="X313:AA313"/>
    <mergeCell ref="B348:E348"/>
    <mergeCell ref="B353:E353"/>
    <mergeCell ref="X322:AA322"/>
    <mergeCell ref="B343:E343"/>
    <mergeCell ref="B342:E342"/>
    <mergeCell ref="X385:AA385"/>
    <mergeCell ref="B370:E370"/>
    <mergeCell ref="B62:E62"/>
    <mergeCell ref="B402:E402"/>
    <mergeCell ref="X312:AA312"/>
    <mergeCell ref="B296:E296"/>
    <mergeCell ref="X284:AA284"/>
    <mergeCell ref="B351:E351"/>
    <mergeCell ref="B337:E337"/>
    <mergeCell ref="B347:E347"/>
    <mergeCell ref="B329:E329"/>
    <mergeCell ref="B356:E356"/>
    <mergeCell ref="B358:E358"/>
    <mergeCell ref="B341:E341"/>
    <mergeCell ref="B293:E293"/>
    <mergeCell ref="G118:M118"/>
    <mergeCell ref="X118:AA118"/>
    <mergeCell ref="B119:E119"/>
    <mergeCell ref="G119:M119"/>
    <mergeCell ref="X119:AA119"/>
    <mergeCell ref="Q360:W360"/>
    <mergeCell ref="X324:AA324"/>
    <mergeCell ref="B385:E385"/>
    <mergeCell ref="B307:E307"/>
    <mergeCell ref="X300:AA300"/>
    <mergeCell ref="X311:AA311"/>
    <mergeCell ref="X306:AA306"/>
    <mergeCell ref="X325:AA325"/>
    <mergeCell ref="B346:E346"/>
    <mergeCell ref="X276:AA276"/>
    <mergeCell ref="X308:AA308"/>
    <mergeCell ref="X303:AA303"/>
    <mergeCell ref="B298:E298"/>
    <mergeCell ref="H399:W399"/>
    <mergeCell ref="C399:E400"/>
    <mergeCell ref="B280:E280"/>
    <mergeCell ref="B364:E364"/>
    <mergeCell ref="B290:E290"/>
    <mergeCell ref="B382:E382"/>
    <mergeCell ref="B387:E387"/>
    <mergeCell ref="B392:E392"/>
    <mergeCell ref="X299:AA299"/>
    <mergeCell ref="B303:E303"/>
    <mergeCell ref="F399:F400"/>
    <mergeCell ref="B310:E310"/>
    <mergeCell ref="B322:E322"/>
    <mergeCell ref="B308:E308"/>
    <mergeCell ref="X326:AA326"/>
    <mergeCell ref="C319:E320"/>
    <mergeCell ref="X314:AA314"/>
    <mergeCell ref="B375:E375"/>
    <mergeCell ref="B344:E344"/>
    <mergeCell ref="B285:E285"/>
    <mergeCell ref="B323:E323"/>
    <mergeCell ref="B350:E350"/>
    <mergeCell ref="B359:E359"/>
    <mergeCell ref="B314:E314"/>
    <mergeCell ref="X444:AA444"/>
    <mergeCell ref="X463:AA463"/>
    <mergeCell ref="X442:AA442"/>
    <mergeCell ref="B395:E395"/>
    <mergeCell ref="B415:E415"/>
    <mergeCell ref="B414:E414"/>
    <mergeCell ref="X418:AA418"/>
    <mergeCell ref="X420:AA420"/>
    <mergeCell ref="B405:E405"/>
    <mergeCell ref="X386:AA386"/>
    <mergeCell ref="B388:E388"/>
    <mergeCell ref="B389:E389"/>
    <mergeCell ref="G399:G400"/>
    <mergeCell ref="B394:E394"/>
    <mergeCell ref="B386:E386"/>
    <mergeCell ref="B379:E379"/>
    <mergeCell ref="X474:AA474"/>
    <mergeCell ref="X455:AA455"/>
    <mergeCell ref="X461:AA461"/>
    <mergeCell ref="B304:E304"/>
    <mergeCell ref="B376:E376"/>
    <mergeCell ref="B338:E338"/>
    <mergeCell ref="B361:E361"/>
    <mergeCell ref="B368:E368"/>
    <mergeCell ref="B357:E357"/>
    <mergeCell ref="B354:E354"/>
    <mergeCell ref="B328:E328"/>
    <mergeCell ref="B362:E362"/>
    <mergeCell ref="B365:E365"/>
    <mergeCell ref="B349:E349"/>
    <mergeCell ref="B305:E305"/>
    <mergeCell ref="B474:E474"/>
    <mergeCell ref="B444:E444"/>
    <mergeCell ref="B457:E457"/>
    <mergeCell ref="B430:E430"/>
    <mergeCell ref="B373:E373"/>
    <mergeCell ref="B372:E372"/>
    <mergeCell ref="B335:E335"/>
    <mergeCell ref="B306:E306"/>
    <mergeCell ref="B416:E416"/>
    <mergeCell ref="B384:E384"/>
    <mergeCell ref="B377:E377"/>
    <mergeCell ref="B431:E431"/>
    <mergeCell ref="B423:E423"/>
    <mergeCell ref="B345:E345"/>
    <mergeCell ref="B311:E311"/>
    <mergeCell ref="B315:E315"/>
    <mergeCell ref="B521:B522"/>
    <mergeCell ref="B515:E515"/>
    <mergeCell ref="B511:E511"/>
    <mergeCell ref="B491:E491"/>
    <mergeCell ref="B591:E591"/>
    <mergeCell ref="B523:E523"/>
    <mergeCell ref="B506:E506"/>
    <mergeCell ref="B490:E490"/>
    <mergeCell ref="B497:E497"/>
    <mergeCell ref="B496:E496"/>
    <mergeCell ref="B516:E516"/>
    <mergeCell ref="B499:E499"/>
    <mergeCell ref="B518:E518"/>
    <mergeCell ref="B503:E503"/>
    <mergeCell ref="B495:E495"/>
    <mergeCell ref="B517:E517"/>
    <mergeCell ref="B576:E576"/>
    <mergeCell ref="B412:E412"/>
    <mergeCell ref="B527:E527"/>
    <mergeCell ref="B532:E532"/>
    <mergeCell ref="B538:E538"/>
    <mergeCell ref="B564:E564"/>
    <mergeCell ref="B360:E360"/>
    <mergeCell ref="B487:E487"/>
    <mergeCell ref="B481:E481"/>
    <mergeCell ref="AF624:AH624"/>
    <mergeCell ref="X468:AA468"/>
    <mergeCell ref="B551:E551"/>
    <mergeCell ref="B552:E552"/>
    <mergeCell ref="B547:E547"/>
    <mergeCell ref="B611:E611"/>
    <mergeCell ref="C624:E625"/>
    <mergeCell ref="B575:E575"/>
    <mergeCell ref="B607:E607"/>
    <mergeCell ref="B529:E529"/>
    <mergeCell ref="X624:AA625"/>
    <mergeCell ref="B624:B625"/>
    <mergeCell ref="F624:F625"/>
    <mergeCell ref="B623:W623"/>
    <mergeCell ref="B608:E608"/>
    <mergeCell ref="B540:E540"/>
    <mergeCell ref="AF623:AH623"/>
    <mergeCell ref="B525:E525"/>
    <mergeCell ref="B568:E568"/>
    <mergeCell ref="X521:AA522"/>
    <mergeCell ref="C521:E522"/>
    <mergeCell ref="B573:E573"/>
    <mergeCell ref="B488:E488"/>
    <mergeCell ref="AF520:AH520"/>
    <mergeCell ref="AB521:AB522"/>
    <mergeCell ref="AF521:AH521"/>
    <mergeCell ref="H521:W521"/>
    <mergeCell ref="B520:W520"/>
    <mergeCell ref="X687:AA687"/>
    <mergeCell ref="B661:E661"/>
    <mergeCell ref="X674:AA674"/>
    <mergeCell ref="X679:AA679"/>
    <mergeCell ref="B664:E664"/>
    <mergeCell ref="B658:E658"/>
    <mergeCell ref="X668:AA668"/>
    <mergeCell ref="X667:AA667"/>
    <mergeCell ref="B617:E617"/>
    <mergeCell ref="B596:E596"/>
    <mergeCell ref="B637:E637"/>
    <mergeCell ref="AB624:AB625"/>
    <mergeCell ref="X690:AA690"/>
    <mergeCell ref="X643:AA644"/>
    <mergeCell ref="B680:E680"/>
    <mergeCell ref="B667:E667"/>
    <mergeCell ref="B669:E669"/>
    <mergeCell ref="B674:E674"/>
    <mergeCell ref="B663:E663"/>
    <mergeCell ref="B627:E627"/>
    <mergeCell ref="B619:E619"/>
    <mergeCell ref="B634:E634"/>
    <mergeCell ref="AF732:AH732"/>
    <mergeCell ref="B709:G710"/>
    <mergeCell ref="B728:W730"/>
    <mergeCell ref="T709:T710"/>
    <mergeCell ref="AB643:AB644"/>
    <mergeCell ref="B671:E671"/>
    <mergeCell ref="B673:E673"/>
    <mergeCell ref="H643:W643"/>
    <mergeCell ref="B654:E654"/>
    <mergeCell ref="Q709:Q710"/>
    <mergeCell ref="G643:G644"/>
    <mergeCell ref="X666:AA666"/>
    <mergeCell ref="X664:AA664"/>
    <mergeCell ref="X662:AA662"/>
    <mergeCell ref="X665:AA665"/>
    <mergeCell ref="AF643:AH643"/>
    <mergeCell ref="AF702:AH702"/>
    <mergeCell ref="X661:AA661"/>
    <mergeCell ref="B660:E660"/>
    <mergeCell ref="B662:E662"/>
    <mergeCell ref="V709:V710"/>
    <mergeCell ref="B646:E646"/>
    <mergeCell ref="B688:E688"/>
    <mergeCell ref="B666:E666"/>
    <mergeCell ref="B652:E652"/>
    <mergeCell ref="X681:AA681"/>
    <mergeCell ref="X686:AA686"/>
    <mergeCell ref="X670:AA670"/>
    <mergeCell ref="X682:AA682"/>
    <mergeCell ref="X678:AA678"/>
    <mergeCell ref="R709:R710"/>
    <mergeCell ref="C724:G724"/>
    <mergeCell ref="I709:I710"/>
    <mergeCell ref="X691:AA691"/>
    <mergeCell ref="B681:E681"/>
    <mergeCell ref="B609:E609"/>
    <mergeCell ref="B580:E580"/>
    <mergeCell ref="B683:E683"/>
    <mergeCell ref="B581:E581"/>
    <mergeCell ref="C723:G723"/>
    <mergeCell ref="B659:E659"/>
    <mergeCell ref="B690:E690"/>
    <mergeCell ref="B691:E691"/>
    <mergeCell ref="B639:E639"/>
    <mergeCell ref="B665:E665"/>
    <mergeCell ref="X672:AA672"/>
    <mergeCell ref="X680:AA680"/>
    <mergeCell ref="B650:E650"/>
    <mergeCell ref="B656:E656"/>
    <mergeCell ref="G624:G625"/>
    <mergeCell ref="B632:E632"/>
    <mergeCell ref="B651:E651"/>
    <mergeCell ref="B649:E649"/>
    <mergeCell ref="B615:E615"/>
    <mergeCell ref="B675:E675"/>
    <mergeCell ref="X658:AA658"/>
    <mergeCell ref="K709:K710"/>
    <mergeCell ref="B704:G704"/>
    <mergeCell ref="B707:G707"/>
    <mergeCell ref="B696:E696"/>
    <mergeCell ref="C643:E644"/>
    <mergeCell ref="X676:AA676"/>
    <mergeCell ref="B598:E598"/>
    <mergeCell ref="B582:E582"/>
    <mergeCell ref="AF746:AH746"/>
    <mergeCell ref="O709:O710"/>
    <mergeCell ref="L709:L710"/>
    <mergeCell ref="P709:P710"/>
    <mergeCell ref="C732:I732"/>
    <mergeCell ref="C740:G740"/>
    <mergeCell ref="C741:G741"/>
    <mergeCell ref="M709:M710"/>
    <mergeCell ref="B700:E700"/>
    <mergeCell ref="B698:E698"/>
    <mergeCell ref="B708:W708"/>
    <mergeCell ref="B635:E635"/>
    <mergeCell ref="B685:E685"/>
    <mergeCell ref="B645:E645"/>
    <mergeCell ref="B642:W642"/>
    <mergeCell ref="B643:B644"/>
    <mergeCell ref="B653:E653"/>
    <mergeCell ref="B647:E647"/>
    <mergeCell ref="B684:E684"/>
    <mergeCell ref="J709:J710"/>
    <mergeCell ref="B711:G711"/>
    <mergeCell ref="C725:I726"/>
    <mergeCell ref="C733:I739"/>
    <mergeCell ref="U709:U710"/>
    <mergeCell ref="C721:I721"/>
    <mergeCell ref="B716:J716"/>
    <mergeCell ref="W709:W710"/>
    <mergeCell ref="B705:G705"/>
    <mergeCell ref="B702:W702"/>
    <mergeCell ref="X659:AA659"/>
    <mergeCell ref="X669:AA669"/>
    <mergeCell ref="B648:E648"/>
    <mergeCell ref="B605:E605"/>
    <mergeCell ref="B599:E599"/>
    <mergeCell ref="B606:E606"/>
    <mergeCell ref="B621:E621"/>
    <mergeCell ref="B616:E616"/>
    <mergeCell ref="B631:E631"/>
    <mergeCell ref="B629:E629"/>
    <mergeCell ref="B630:E630"/>
    <mergeCell ref="B577:E577"/>
    <mergeCell ref="B603:E603"/>
    <mergeCell ref="B602:E602"/>
    <mergeCell ref="X656:AA656"/>
    <mergeCell ref="B589:E589"/>
    <mergeCell ref="B628:E628"/>
    <mergeCell ref="B655:E655"/>
    <mergeCell ref="B633:E633"/>
    <mergeCell ref="B579:E579"/>
    <mergeCell ref="B604:E604"/>
    <mergeCell ref="B612:E612"/>
    <mergeCell ref="B610:E610"/>
    <mergeCell ref="B618:E618"/>
    <mergeCell ref="B585:E585"/>
    <mergeCell ref="B586:E586"/>
    <mergeCell ref="B588:E588"/>
    <mergeCell ref="B583:E583"/>
    <mergeCell ref="B590:E590"/>
    <mergeCell ref="B584:E584"/>
    <mergeCell ref="B595:E595"/>
    <mergeCell ref="X516:AA516"/>
    <mergeCell ref="X515:AA515"/>
    <mergeCell ref="B514:E514"/>
    <mergeCell ref="B566:E566"/>
    <mergeCell ref="I471:M473"/>
    <mergeCell ref="X424:AA424"/>
    <mergeCell ref="B594:E594"/>
    <mergeCell ref="B592:E592"/>
    <mergeCell ref="B593:E593"/>
    <mergeCell ref="X503:AA503"/>
    <mergeCell ref="B505:E505"/>
    <mergeCell ref="X501:AA501"/>
    <mergeCell ref="B510:E510"/>
    <mergeCell ref="B498:E498"/>
    <mergeCell ref="B486:E486"/>
    <mergeCell ref="B473:E473"/>
    <mergeCell ref="B484:E484"/>
    <mergeCell ref="B468:E468"/>
    <mergeCell ref="B472:E472"/>
    <mergeCell ref="X458:AA458"/>
    <mergeCell ref="B471:E471"/>
    <mergeCell ref="X489:AA489"/>
    <mergeCell ref="X514:AA514"/>
    <mergeCell ref="B562:E562"/>
    <mergeCell ref="B500:E500"/>
    <mergeCell ref="B513:E513"/>
    <mergeCell ref="B569:E569"/>
    <mergeCell ref="B571:E571"/>
    <mergeCell ref="B567:E567"/>
    <mergeCell ref="X504:AA504"/>
    <mergeCell ref="B554:G554"/>
    <mergeCell ref="B555:G555"/>
    <mergeCell ref="B682:E682"/>
    <mergeCell ref="B678:E678"/>
    <mergeCell ref="B179:E179"/>
    <mergeCell ref="B174:E174"/>
    <mergeCell ref="B205:E205"/>
    <mergeCell ref="B435:E435"/>
    <mergeCell ref="B452:E452"/>
    <mergeCell ref="B443:E443"/>
    <mergeCell ref="B447:E447"/>
    <mergeCell ref="B449:E449"/>
    <mergeCell ref="X470:AA470"/>
    <mergeCell ref="X445:AA445"/>
    <mergeCell ref="B455:E455"/>
    <mergeCell ref="X450:AA450"/>
    <mergeCell ref="B437:E437"/>
    <mergeCell ref="X459:AA459"/>
    <mergeCell ref="B450:E450"/>
    <mergeCell ref="X421:AA421"/>
    <mergeCell ref="B413:E413"/>
    <mergeCell ref="X427:AA427"/>
    <mergeCell ref="B448:E448"/>
    <mergeCell ref="B470:E470"/>
    <mergeCell ref="X399:AA400"/>
    <mergeCell ref="X389:AA389"/>
    <mergeCell ref="B464:E464"/>
    <mergeCell ref="X464:AA464"/>
    <mergeCell ref="B465:E465"/>
    <mergeCell ref="X465:AA465"/>
    <mergeCell ref="B466:E466"/>
    <mergeCell ref="X466:AA466"/>
    <mergeCell ref="B467:E467"/>
    <mergeCell ref="H624:W624"/>
    <mergeCell ref="X201:AA201"/>
    <mergeCell ref="B196:E196"/>
    <mergeCell ref="X190:AA190"/>
    <mergeCell ref="X187:AA187"/>
    <mergeCell ref="B203:E203"/>
    <mergeCell ref="F159:F160"/>
    <mergeCell ref="B159:B160"/>
    <mergeCell ref="B172:E172"/>
    <mergeCell ref="B176:E176"/>
    <mergeCell ref="X176:AA176"/>
    <mergeCell ref="B162:E162"/>
    <mergeCell ref="X170:AA170"/>
    <mergeCell ref="X169:AA169"/>
    <mergeCell ref="X179:AA179"/>
    <mergeCell ref="X185:AA185"/>
    <mergeCell ref="X174:AA174"/>
    <mergeCell ref="X178:AA178"/>
    <mergeCell ref="B183:E183"/>
    <mergeCell ref="B200:E200"/>
    <mergeCell ref="B190:E190"/>
    <mergeCell ref="B195:E195"/>
    <mergeCell ref="X159:AA160"/>
    <mergeCell ref="B202:E202"/>
    <mergeCell ref="G159:G160"/>
    <mergeCell ref="B192:E192"/>
    <mergeCell ref="B180:E180"/>
    <mergeCell ref="X180:AA180"/>
    <mergeCell ref="B189:E189"/>
    <mergeCell ref="X274:AA274"/>
    <mergeCell ref="B451:E451"/>
    <mergeCell ref="X500:AA500"/>
    <mergeCell ref="B677:E677"/>
    <mergeCell ref="B453:E453"/>
    <mergeCell ref="B421:E421"/>
    <mergeCell ref="B482:E482"/>
    <mergeCell ref="B572:E572"/>
    <mergeCell ref="B553:E553"/>
    <mergeCell ref="B559:W559"/>
    <mergeCell ref="B548:E548"/>
    <mergeCell ref="B539:E539"/>
    <mergeCell ref="B563:E563"/>
    <mergeCell ref="B676:E676"/>
    <mergeCell ref="B597:E597"/>
    <mergeCell ref="B614:E614"/>
    <mergeCell ref="B770:W770"/>
    <mergeCell ref="B745:W745"/>
    <mergeCell ref="B743:W743"/>
    <mergeCell ref="B761:W768"/>
    <mergeCell ref="B746:W746"/>
    <mergeCell ref="B759:W759"/>
    <mergeCell ref="B757:W757"/>
    <mergeCell ref="B750:W753"/>
    <mergeCell ref="B755:W756"/>
    <mergeCell ref="B749:W749"/>
    <mergeCell ref="B747:W747"/>
    <mergeCell ref="S709:S710"/>
    <mergeCell ref="C722:G722"/>
    <mergeCell ref="B692:E692"/>
    <mergeCell ref="N709:N710"/>
    <mergeCell ref="H709:H710"/>
    <mergeCell ref="B689:E689"/>
    <mergeCell ref="B545:E545"/>
    <mergeCell ref="B699:E699"/>
    <mergeCell ref="B163:E163"/>
    <mergeCell ref="X152:AA152"/>
    <mergeCell ref="B188:E188"/>
    <mergeCell ref="B638:E638"/>
    <mergeCell ref="B626:E626"/>
    <mergeCell ref="B600:E600"/>
    <mergeCell ref="B668:E668"/>
    <mergeCell ref="B574:E574"/>
    <mergeCell ref="B687:E687"/>
    <mergeCell ref="B454:E454"/>
    <mergeCell ref="B542:E542"/>
    <mergeCell ref="B526:E526"/>
    <mergeCell ref="B524:E524"/>
    <mergeCell ref="B424:E424"/>
    <mergeCell ref="B425:E425"/>
    <mergeCell ref="B417:E417"/>
    <mergeCell ref="B479:B480"/>
    <mergeCell ref="C479:E480"/>
    <mergeCell ref="B442:E442"/>
    <mergeCell ref="B672:E672"/>
    <mergeCell ref="B541:E541"/>
    <mergeCell ref="B485:E485"/>
    <mergeCell ref="B459:E459"/>
    <mergeCell ref="B299:E299"/>
    <mergeCell ref="B286:E286"/>
    <mergeCell ref="B367:E367"/>
    <mergeCell ref="B374:E374"/>
    <mergeCell ref="B302:E302"/>
    <mergeCell ref="B312:E312"/>
    <mergeCell ref="B288:E288"/>
    <mergeCell ref="B276:E276"/>
    <mergeCell ref="B330:E330"/>
    <mergeCell ref="B670:E670"/>
    <mergeCell ref="X250:AA250"/>
    <mergeCell ref="X141:AA141"/>
    <mergeCell ref="B165:E165"/>
    <mergeCell ref="B138:E138"/>
    <mergeCell ref="X138:AA138"/>
    <mergeCell ref="X128:AA128"/>
    <mergeCell ref="B275:E275"/>
    <mergeCell ref="X260:AA260"/>
    <mergeCell ref="B245:E245"/>
    <mergeCell ref="X254:AA254"/>
    <mergeCell ref="B258:E258"/>
    <mergeCell ref="X246:AA246"/>
    <mergeCell ref="X259:AA259"/>
    <mergeCell ref="X252:AA252"/>
    <mergeCell ref="I482:M487"/>
    <mergeCell ref="B440:E440"/>
    <mergeCell ref="B411:E411"/>
    <mergeCell ref="B427:E427"/>
    <mergeCell ref="B432:E432"/>
    <mergeCell ref="B475:E475"/>
    <mergeCell ref="B460:E460"/>
    <mergeCell ref="B438:E438"/>
    <mergeCell ref="B428:E428"/>
    <mergeCell ref="B436:E436"/>
    <mergeCell ref="X199:AA199"/>
    <mergeCell ref="H159:W159"/>
    <mergeCell ref="C159:E160"/>
    <mergeCell ref="B166:E166"/>
    <mergeCell ref="X161:AA161"/>
    <mergeCell ref="B171:E171"/>
    <mergeCell ref="B533:E533"/>
    <mergeCell ref="B242:E242"/>
    <mergeCell ref="B462:E462"/>
    <mergeCell ref="B250:E250"/>
    <mergeCell ref="B512:E512"/>
    <mergeCell ref="B225:E225"/>
    <mergeCell ref="G239:G240"/>
    <mergeCell ref="B255:E255"/>
    <mergeCell ref="G319:G320"/>
    <mergeCell ref="F319:F320"/>
    <mergeCell ref="B282:E282"/>
    <mergeCell ref="X275:AA275"/>
    <mergeCell ref="X301:AA301"/>
    <mergeCell ref="X151:AA151"/>
    <mergeCell ref="X675:AA675"/>
    <mergeCell ref="X677:AA677"/>
    <mergeCell ref="B281:E281"/>
    <mergeCell ref="B294:E294"/>
    <mergeCell ref="B287:E287"/>
    <mergeCell ref="B321:E321"/>
    <mergeCell ref="B326:E326"/>
    <mergeCell ref="B327:E327"/>
    <mergeCell ref="X302:AA302"/>
    <mergeCell ref="X298:AA298"/>
    <mergeCell ref="X310:AA310"/>
    <mergeCell ref="X304:AA304"/>
    <mergeCell ref="X328:AA328"/>
    <mergeCell ref="B340:E340"/>
    <mergeCell ref="B334:E334"/>
    <mergeCell ref="B324:E324"/>
    <mergeCell ref="B331:E331"/>
    <mergeCell ref="B313:E313"/>
    <mergeCell ref="B269:E269"/>
    <mergeCell ref="B278:E278"/>
    <mergeCell ref="B279:E279"/>
    <mergeCell ref="X248:AA248"/>
    <mergeCell ref="X491:AA491"/>
    <mergeCell ref="X505:AA505"/>
    <mergeCell ref="C239:E240"/>
    <mergeCell ref="H239:W239"/>
    <mergeCell ref="X241:AA241"/>
    <mergeCell ref="B325:E325"/>
    <mergeCell ref="X462:AA462"/>
    <mergeCell ref="X475:AA475"/>
    <mergeCell ref="X454:AA454"/>
    <mergeCell ref="X469:AA469"/>
    <mergeCell ref="B378:E378"/>
    <mergeCell ref="B399:B400"/>
    <mergeCell ref="B292:E292"/>
    <mergeCell ref="X492:AA492"/>
    <mergeCell ref="X443:AA443"/>
    <mergeCell ref="B504:E504"/>
    <mergeCell ref="B492:E492"/>
    <mergeCell ref="G479:G480"/>
    <mergeCell ref="X451:AA451"/>
    <mergeCell ref="X449:AA449"/>
    <mergeCell ref="B393:E393"/>
    <mergeCell ref="X467:AA467"/>
    <mergeCell ref="B300:E300"/>
    <mergeCell ref="B363:E363"/>
    <mergeCell ref="B355:E355"/>
    <mergeCell ref="B371:E371"/>
    <mergeCell ref="B339:E339"/>
    <mergeCell ref="A704:A714"/>
    <mergeCell ref="B712:G712"/>
    <mergeCell ref="B693:E693"/>
    <mergeCell ref="B713:G713"/>
    <mergeCell ref="B694:E694"/>
    <mergeCell ref="B697:E697"/>
    <mergeCell ref="B714:G714"/>
    <mergeCell ref="B703:G703"/>
    <mergeCell ref="B706:G706"/>
    <mergeCell ref="X428:AA428"/>
    <mergeCell ref="B458:E458"/>
    <mergeCell ref="B456:E456"/>
    <mergeCell ref="F521:F522"/>
    <mergeCell ref="B695:E695"/>
    <mergeCell ref="F643:F644"/>
    <mergeCell ref="B636:E636"/>
    <mergeCell ref="X327:AA327"/>
    <mergeCell ref="B657:E657"/>
    <mergeCell ref="X452:AA452"/>
    <mergeCell ref="B420:E420"/>
    <mergeCell ref="B439:E439"/>
    <mergeCell ref="X426:AA426"/>
    <mergeCell ref="B679:E679"/>
    <mergeCell ref="B601:E601"/>
    <mergeCell ref="B535:E535"/>
    <mergeCell ref="B501:E501"/>
    <mergeCell ref="G521:G522"/>
    <mergeCell ref="B536:E536"/>
    <mergeCell ref="B446:E446"/>
    <mergeCell ref="B686:E686"/>
    <mergeCell ref="B550:E550"/>
    <mergeCell ref="X517:AA517"/>
    <mergeCell ref="X73:AA73"/>
    <mergeCell ref="X137:AA137"/>
    <mergeCell ref="X133:AA133"/>
    <mergeCell ref="X148:AA148"/>
    <mergeCell ref="X144:AA144"/>
    <mergeCell ref="X150:AA150"/>
    <mergeCell ref="X200:AA200"/>
    <mergeCell ref="B186:E186"/>
    <mergeCell ref="B151:E151"/>
    <mergeCell ref="B154:E154"/>
    <mergeCell ref="B185:E185"/>
    <mergeCell ref="X168:AA168"/>
    <mergeCell ref="B187:E187"/>
    <mergeCell ref="B198:E198"/>
    <mergeCell ref="B181:E181"/>
    <mergeCell ref="X181:AA181"/>
    <mergeCell ref="B150:E150"/>
    <mergeCell ref="B145:E145"/>
    <mergeCell ref="B84:E84"/>
    <mergeCell ref="X127:AA127"/>
    <mergeCell ref="X107:AA107"/>
    <mergeCell ref="G108:M108"/>
    <mergeCell ref="B131:E131"/>
    <mergeCell ref="X195:AA195"/>
    <mergeCell ref="X182:AA182"/>
    <mergeCell ref="H196:K201"/>
    <mergeCell ref="B178:E178"/>
    <mergeCell ref="X121:AA121"/>
    <mergeCell ref="B90:E90"/>
    <mergeCell ref="X146:AA146"/>
    <mergeCell ref="B73:E73"/>
    <mergeCell ref="X112:AA112"/>
    <mergeCell ref="G109:M109"/>
    <mergeCell ref="B149:E149"/>
    <mergeCell ref="B83:E83"/>
    <mergeCell ref="B133:E133"/>
    <mergeCell ref="B136:E136"/>
    <mergeCell ref="B82:E82"/>
    <mergeCell ref="X83:Z83"/>
    <mergeCell ref="B108:E108"/>
    <mergeCell ref="B94:E94"/>
    <mergeCell ref="X108:AA108"/>
    <mergeCell ref="G125:K125"/>
    <mergeCell ref="X120:AA120"/>
    <mergeCell ref="B129:E129"/>
    <mergeCell ref="B132:E132"/>
    <mergeCell ref="X88:Z88"/>
    <mergeCell ref="X136:AA136"/>
    <mergeCell ref="B126:E126"/>
    <mergeCell ref="X126:AA126"/>
    <mergeCell ref="B101:E101"/>
    <mergeCell ref="X135:AA135"/>
    <mergeCell ref="B93:E93"/>
    <mergeCell ref="B106:E106"/>
    <mergeCell ref="B96:E96"/>
    <mergeCell ref="X106:AA106"/>
    <mergeCell ref="B98:E98"/>
    <mergeCell ref="B121:E121"/>
    <mergeCell ref="G123:K123"/>
    <mergeCell ref="B23:E23"/>
    <mergeCell ref="B35:E35"/>
    <mergeCell ref="Q18:W18"/>
    <mergeCell ref="X34:AA34"/>
    <mergeCell ref="B25:E25"/>
    <mergeCell ref="X31:AA31"/>
    <mergeCell ref="B31:E31"/>
    <mergeCell ref="H38:K38"/>
    <mergeCell ref="X35:AA35"/>
    <mergeCell ref="G79:G80"/>
    <mergeCell ref="B54:E54"/>
    <mergeCell ref="X70:AA70"/>
    <mergeCell ref="B16:E16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4:E74"/>
    <mergeCell ref="B59:E59"/>
    <mergeCell ref="I70:M70"/>
    <mergeCell ref="I71:M71"/>
    <mergeCell ref="B70:E70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12:E12"/>
    <mergeCell ref="B21:E21"/>
    <mergeCell ref="AF15:AI15"/>
    <mergeCell ref="AF20:AI20"/>
    <mergeCell ref="AF21:AJ21"/>
    <mergeCell ref="B14:E14"/>
    <mergeCell ref="B26:E26"/>
    <mergeCell ref="G8:G9"/>
    <mergeCell ref="X36:AA36"/>
    <mergeCell ref="X19:AA19"/>
    <mergeCell ref="B22:E22"/>
    <mergeCell ref="AF23:AI23"/>
    <mergeCell ref="AF22:AI22"/>
    <mergeCell ref="AF26:AJ26"/>
    <mergeCell ref="B28:E28"/>
    <mergeCell ref="B27:E27"/>
    <mergeCell ref="AF18:AJ18"/>
    <mergeCell ref="B19:E19"/>
    <mergeCell ref="AF16:AI16"/>
    <mergeCell ref="AF19:AJ19"/>
    <mergeCell ref="AF13:AH13"/>
    <mergeCell ref="B20:E20"/>
    <mergeCell ref="B17:E17"/>
    <mergeCell ref="B18:E18"/>
    <mergeCell ref="X20:AA20"/>
    <mergeCell ref="X21:AA21"/>
    <mergeCell ref="B36:E36"/>
    <mergeCell ref="B30:E30"/>
    <mergeCell ref="B34:E34"/>
    <mergeCell ref="H35:K35"/>
    <mergeCell ref="X17:AA17"/>
    <mergeCell ref="Q17:W17"/>
    <mergeCell ref="B24:E24"/>
    <mergeCell ref="AF30:AJ30"/>
    <mergeCell ref="AF28:AJ28"/>
    <mergeCell ref="AF27:AI27"/>
    <mergeCell ref="AF24:AI24"/>
    <mergeCell ref="B40:E40"/>
    <mergeCell ref="B95:E95"/>
    <mergeCell ref="B29:E29"/>
    <mergeCell ref="B39:E39"/>
    <mergeCell ref="B42:E42"/>
    <mergeCell ref="B47:E47"/>
    <mergeCell ref="H31:K31"/>
    <mergeCell ref="B44:E44"/>
    <mergeCell ref="X43:AA43"/>
    <mergeCell ref="H41:K41"/>
    <mergeCell ref="B45:E45"/>
    <mergeCell ref="H45:K45"/>
    <mergeCell ref="X41:AA41"/>
    <mergeCell ref="H33:K33"/>
    <mergeCell ref="AF25:AI25"/>
    <mergeCell ref="H44:K44"/>
    <mergeCell ref="AB79:AB80"/>
    <mergeCell ref="B61:E61"/>
    <mergeCell ref="B52:E52"/>
    <mergeCell ref="B58:E58"/>
    <mergeCell ref="AF29:AJ29"/>
    <mergeCell ref="H46:K46"/>
    <mergeCell ref="H42:K42"/>
    <mergeCell ref="B43:E43"/>
    <mergeCell ref="X26:AA26"/>
    <mergeCell ref="B68:E68"/>
    <mergeCell ref="B63:E63"/>
    <mergeCell ref="X32:AA32"/>
    <mergeCell ref="X46:AA46"/>
    <mergeCell ref="B37:E37"/>
    <mergeCell ref="H39:K39"/>
    <mergeCell ref="H37:K37"/>
    <mergeCell ref="B38:E38"/>
    <mergeCell ref="H34:K34"/>
    <mergeCell ref="H36:K36"/>
    <mergeCell ref="B32:E32"/>
    <mergeCell ref="B48:E48"/>
    <mergeCell ref="H48:K48"/>
    <mergeCell ref="X48:AA48"/>
    <mergeCell ref="B66:E66"/>
    <mergeCell ref="B125:E125"/>
    <mergeCell ref="B71:E71"/>
    <mergeCell ref="X87:Z87"/>
    <mergeCell ref="F81:I91"/>
    <mergeCell ref="B69:E69"/>
    <mergeCell ref="B109:E109"/>
    <mergeCell ref="X79:AA80"/>
    <mergeCell ref="O95:W95"/>
    <mergeCell ref="B100:E100"/>
    <mergeCell ref="X125:AA125"/>
    <mergeCell ref="B81:E81"/>
    <mergeCell ref="B86:E86"/>
    <mergeCell ref="X123:AA123"/>
    <mergeCell ref="B104:E104"/>
    <mergeCell ref="B124:E124"/>
    <mergeCell ref="G106:M106"/>
    <mergeCell ref="G107:M107"/>
    <mergeCell ref="B110:E110"/>
    <mergeCell ref="G110:M110"/>
    <mergeCell ref="H40:K40"/>
    <mergeCell ref="X44:AA44"/>
    <mergeCell ref="X39:AA39"/>
    <mergeCell ref="B46:E46"/>
    <mergeCell ref="B49:E49"/>
    <mergeCell ref="B135:E135"/>
    <mergeCell ref="B134:E134"/>
    <mergeCell ref="X109:AA109"/>
    <mergeCell ref="X129:AA129"/>
    <mergeCell ref="B130:E130"/>
    <mergeCell ref="B107:E107"/>
    <mergeCell ref="G128:K128"/>
    <mergeCell ref="G124:K124"/>
    <mergeCell ref="G131:K131"/>
    <mergeCell ref="G126:K126"/>
    <mergeCell ref="X134:AA134"/>
    <mergeCell ref="B128:E128"/>
    <mergeCell ref="G129:K129"/>
    <mergeCell ref="X110:AA110"/>
    <mergeCell ref="B111:E111"/>
    <mergeCell ref="G111:M111"/>
    <mergeCell ref="X111:AA111"/>
    <mergeCell ref="B112:E112"/>
    <mergeCell ref="G112:M112"/>
    <mergeCell ref="B102:E102"/>
    <mergeCell ref="B120:E120"/>
    <mergeCell ref="B85:E85"/>
    <mergeCell ref="B99:E99"/>
    <mergeCell ref="B113:E113"/>
    <mergeCell ref="X130:AA130"/>
    <mergeCell ref="B91:E91"/>
    <mergeCell ref="B97:E97"/>
    <mergeCell ref="B79:B80"/>
    <mergeCell ref="B88:E88"/>
    <mergeCell ref="AF79:AH79"/>
    <mergeCell ref="B33:E33"/>
    <mergeCell ref="H32:K32"/>
    <mergeCell ref="H79:W79"/>
    <mergeCell ref="G127:K127"/>
    <mergeCell ref="B103:E103"/>
    <mergeCell ref="B161:E161"/>
    <mergeCell ref="B137:E137"/>
    <mergeCell ref="B147:E147"/>
    <mergeCell ref="I73:K73"/>
    <mergeCell ref="B55:E55"/>
    <mergeCell ref="X71:AA71"/>
    <mergeCell ref="X124:AA124"/>
    <mergeCell ref="B123:E123"/>
    <mergeCell ref="B56:E56"/>
    <mergeCell ref="I72:M72"/>
    <mergeCell ref="B87:E87"/>
    <mergeCell ref="X84:Z84"/>
    <mergeCell ref="B51:E51"/>
    <mergeCell ref="B53:E53"/>
    <mergeCell ref="B72:E72"/>
    <mergeCell ref="B105:E105"/>
    <mergeCell ref="AC148:AF148"/>
    <mergeCell ref="G130:K130"/>
    <mergeCell ref="X143:AA143"/>
    <mergeCell ref="X145:AA145"/>
    <mergeCell ref="B144:E144"/>
    <mergeCell ref="X139:AA139"/>
    <mergeCell ref="B143:E143"/>
    <mergeCell ref="B146:E146"/>
    <mergeCell ref="B204:E204"/>
    <mergeCell ref="B207:E207"/>
    <mergeCell ref="AB159:AB160"/>
    <mergeCell ref="B167:E167"/>
    <mergeCell ref="B148:E148"/>
    <mergeCell ref="B168:E168"/>
    <mergeCell ref="B224:E224"/>
    <mergeCell ref="B139:E139"/>
    <mergeCell ref="B50:E50"/>
    <mergeCell ref="X50:AA50"/>
    <mergeCell ref="B92:E92"/>
    <mergeCell ref="H50:K50"/>
    <mergeCell ref="X49:AA49"/>
    <mergeCell ref="B75:E75"/>
    <mergeCell ref="X72:AA72"/>
    <mergeCell ref="B127:E127"/>
    <mergeCell ref="B89:E89"/>
    <mergeCell ref="X75:AA75"/>
    <mergeCell ref="X131:AA131"/>
    <mergeCell ref="B140:E140"/>
    <mergeCell ref="G133:K133"/>
    <mergeCell ref="X155:AA155"/>
    <mergeCell ref="H49:K49"/>
    <mergeCell ref="B60:E60"/>
    <mergeCell ref="B65:E65"/>
    <mergeCell ref="B153:E153"/>
    <mergeCell ref="B164:E164"/>
    <mergeCell ref="B67:E67"/>
    <mergeCell ref="B64:E64"/>
    <mergeCell ref="G113:M113"/>
    <mergeCell ref="B208:E208"/>
    <mergeCell ref="X113:AA113"/>
    <mergeCell ref="AF159:AH159"/>
    <mergeCell ref="G132:K132"/>
    <mergeCell ref="X197:AA197"/>
    <mergeCell ref="X154:AA154"/>
    <mergeCell ref="B155:E155"/>
    <mergeCell ref="B170:E170"/>
    <mergeCell ref="B201:E201"/>
    <mergeCell ref="B177:E177"/>
    <mergeCell ref="X177:AA177"/>
    <mergeCell ref="B184:E184"/>
    <mergeCell ref="X184:AA184"/>
    <mergeCell ref="B182:E182"/>
    <mergeCell ref="X153:AA153"/>
    <mergeCell ref="B197:E197"/>
    <mergeCell ref="B175:E175"/>
    <mergeCell ref="X175:AA175"/>
    <mergeCell ref="B173:E173"/>
    <mergeCell ref="B169:E169"/>
    <mergeCell ref="X196:AA196"/>
    <mergeCell ref="X149:AA149"/>
    <mergeCell ref="X147:AA147"/>
    <mergeCell ref="X171:AA171"/>
    <mergeCell ref="X172:AA172"/>
    <mergeCell ref="B193:E193"/>
    <mergeCell ref="B199:E199"/>
    <mergeCell ref="X198:AA198"/>
    <mergeCell ref="B141:E141"/>
    <mergeCell ref="X132:AA132"/>
    <mergeCell ref="B152:E152"/>
    <mergeCell ref="B142:E142"/>
    <mergeCell ref="X142:AA142"/>
    <mergeCell ref="X140:AA140"/>
    <mergeCell ref="B206:E206"/>
    <mergeCell ref="X189:AA189"/>
    <mergeCell ref="X188:AA188"/>
    <mergeCell ref="B194:E194"/>
    <mergeCell ref="B212:E212"/>
    <mergeCell ref="B233:E233"/>
    <mergeCell ref="B217:E217"/>
    <mergeCell ref="AB239:AB240"/>
    <mergeCell ref="B528:E528"/>
    <mergeCell ref="B530:E530"/>
    <mergeCell ref="X488:AA488"/>
    <mergeCell ref="B260:E260"/>
    <mergeCell ref="Q228:W228"/>
    <mergeCell ref="B264:E264"/>
    <mergeCell ref="X264:AA264"/>
    <mergeCell ref="X279:AA279"/>
    <mergeCell ref="X280:AA280"/>
    <mergeCell ref="X261:AA261"/>
    <mergeCell ref="X267:AA267"/>
    <mergeCell ref="X269:AA269"/>
    <mergeCell ref="X271:AA271"/>
    <mergeCell ref="X273:AA273"/>
    <mergeCell ref="X265:AA265"/>
    <mergeCell ref="X266:AA266"/>
    <mergeCell ref="B274:E274"/>
    <mergeCell ref="X262:AA262"/>
    <mergeCell ref="B267:E267"/>
    <mergeCell ref="B249:E249"/>
    <mergeCell ref="B253:E253"/>
    <mergeCell ref="X268:AA268"/>
    <mergeCell ref="B509:E509"/>
    <mergeCell ref="X245:AA245"/>
    <mergeCell ref="B244:E244"/>
    <mergeCell ref="X244:AA244"/>
    <mergeCell ref="B494:E494"/>
    <mergeCell ref="F479:F480"/>
    <mergeCell ref="B483:E483"/>
    <mergeCell ref="B570:E570"/>
    <mergeCell ref="B210:E210"/>
    <mergeCell ref="B262:E262"/>
    <mergeCell ref="B246:E246"/>
    <mergeCell ref="F239:F240"/>
    <mergeCell ref="B234:E234"/>
    <mergeCell ref="B232:E232"/>
    <mergeCell ref="X256:AA256"/>
    <mergeCell ref="X255:AA255"/>
    <mergeCell ref="X249:AA249"/>
    <mergeCell ref="B259:E259"/>
    <mergeCell ref="X253:AA253"/>
    <mergeCell ref="B223:E223"/>
    <mergeCell ref="B222:E222"/>
    <mergeCell ref="B219:E219"/>
    <mergeCell ref="B221:E221"/>
    <mergeCell ref="B565:E565"/>
    <mergeCell ref="B549:E549"/>
    <mergeCell ref="B543:E543"/>
    <mergeCell ref="B220:E220"/>
    <mergeCell ref="X258:AA258"/>
    <mergeCell ref="B231:E231"/>
    <mergeCell ref="B251:E251"/>
    <mergeCell ref="B404:E404"/>
    <mergeCell ref="B270:E270"/>
    <mergeCell ref="B218:E218"/>
    <mergeCell ref="H214:M214"/>
    <mergeCell ref="B229:E229"/>
    <mergeCell ref="B214:E214"/>
    <mergeCell ref="X481:AA481"/>
    <mergeCell ref="B422:E422"/>
    <mergeCell ref="B409:E409"/>
    <mergeCell ref="X270:AA270"/>
    <mergeCell ref="B268:E268"/>
    <mergeCell ref="B441:E441"/>
    <mergeCell ref="B333:E333"/>
    <mergeCell ref="B410:E410"/>
    <mergeCell ref="B418:E418"/>
    <mergeCell ref="B407:E407"/>
    <mergeCell ref="B534:E534"/>
    <mergeCell ref="B493:E493"/>
    <mergeCell ref="B489:E489"/>
    <mergeCell ref="B434:E434"/>
    <mergeCell ref="B401:E401"/>
    <mergeCell ref="B261:E261"/>
    <mergeCell ref="B291:E291"/>
    <mergeCell ref="X283:AA283"/>
    <mergeCell ref="X323:AA323"/>
    <mergeCell ref="B283:E283"/>
    <mergeCell ref="B429:E429"/>
    <mergeCell ref="B469:E469"/>
    <mergeCell ref="B461:E461"/>
    <mergeCell ref="B297:E297"/>
    <mergeCell ref="B301:E301"/>
    <mergeCell ref="X513:AA513"/>
    <mergeCell ref="X518:AA518"/>
    <mergeCell ref="B463:E463"/>
    <mergeCell ref="X460:AA460"/>
    <mergeCell ref="B507:E507"/>
    <mergeCell ref="B508:E508"/>
    <mergeCell ref="AF479:AH479"/>
    <mergeCell ref="AF559:AH559"/>
    <mergeCell ref="B560:B561"/>
    <mergeCell ref="C560:E561"/>
    <mergeCell ref="F560:F561"/>
    <mergeCell ref="G560:G561"/>
    <mergeCell ref="H560:W560"/>
    <mergeCell ref="X560:AA561"/>
    <mergeCell ref="AB560:AB561"/>
    <mergeCell ref="AF560:AH560"/>
    <mergeCell ref="X479:AA480"/>
    <mergeCell ref="B369:E369"/>
    <mergeCell ref="B352:E352"/>
    <mergeCell ref="X419:AA419"/>
    <mergeCell ref="B272:E272"/>
    <mergeCell ref="X453:AA453"/>
    <mergeCell ref="B433:E433"/>
    <mergeCell ref="X422:AA422"/>
    <mergeCell ref="B426:E426"/>
    <mergeCell ref="B445:E445"/>
    <mergeCell ref="B419:E419"/>
    <mergeCell ref="X425:AA425"/>
    <mergeCell ref="X387:AA387"/>
    <mergeCell ref="X360:AA360"/>
    <mergeCell ref="X490:AA490"/>
    <mergeCell ref="X502:AA502"/>
    <mergeCell ref="X423:AA423"/>
    <mergeCell ref="X305:AA305"/>
    <mergeCell ref="X272:AA272"/>
    <mergeCell ref="B531:E531"/>
    <mergeCell ref="B215:E215"/>
    <mergeCell ref="B211:E211"/>
    <mergeCell ref="X257:AA257"/>
    <mergeCell ref="B228:E228"/>
    <mergeCell ref="B230:E230"/>
    <mergeCell ref="B620:E620"/>
    <mergeCell ref="B546:E546"/>
    <mergeCell ref="H479:W479"/>
    <mergeCell ref="AB479:AB480"/>
    <mergeCell ref="B226:E226"/>
    <mergeCell ref="B406:E406"/>
    <mergeCell ref="B502:E502"/>
    <mergeCell ref="B544:E544"/>
    <mergeCell ref="B227:E227"/>
    <mergeCell ref="B266:E266"/>
    <mergeCell ref="X277:AA277"/>
    <mergeCell ref="X247:AA247"/>
    <mergeCell ref="B252:E252"/>
    <mergeCell ref="B235:E235"/>
    <mergeCell ref="B239:B240"/>
    <mergeCell ref="B241:E241"/>
    <mergeCell ref="B289:E289"/>
    <mergeCell ref="X289:AA289"/>
    <mergeCell ref="B537:E537"/>
    <mergeCell ref="X263:AA263"/>
    <mergeCell ref="B247:E247"/>
    <mergeCell ref="B243:E243"/>
    <mergeCell ref="X243:AA243"/>
    <mergeCell ref="B613:E613"/>
    <mergeCell ref="B254:E254"/>
    <mergeCell ref="B265:E265"/>
    <mergeCell ref="B587:E587"/>
    <mergeCell ref="B209:E209"/>
    <mergeCell ref="B257:E257"/>
    <mergeCell ref="B213:E213"/>
    <mergeCell ref="Q227:W227"/>
    <mergeCell ref="B273:E273"/>
    <mergeCell ref="B122:E122"/>
    <mergeCell ref="X122:AA122"/>
    <mergeCell ref="I120:W122"/>
    <mergeCell ref="X242:AA242"/>
    <mergeCell ref="B578:E578"/>
    <mergeCell ref="Q219:W219"/>
    <mergeCell ref="AF17:AJ17"/>
    <mergeCell ref="X354:AA354"/>
    <mergeCell ref="B319:B320"/>
    <mergeCell ref="X353:AA353"/>
    <mergeCell ref="B248:E248"/>
    <mergeCell ref="H319:W319"/>
    <mergeCell ref="B191:E191"/>
    <mergeCell ref="I191:M194"/>
    <mergeCell ref="X173:AA173"/>
    <mergeCell ref="X251:AA251"/>
    <mergeCell ref="B256:E256"/>
    <mergeCell ref="AF399:AH399"/>
    <mergeCell ref="AB399:AB400"/>
    <mergeCell ref="AF319:AH319"/>
    <mergeCell ref="AF239:AH239"/>
    <mergeCell ref="AB319:AB320"/>
    <mergeCell ref="X319:AA320"/>
    <mergeCell ref="X309:AA309"/>
    <mergeCell ref="B366:E366"/>
    <mergeCell ref="B271:E271"/>
    <mergeCell ref="B263:E263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5" r:id="rId12" display="https://www.jivi.com.ar/ficha.php?id=164"/>
    <hyperlink ref="AB69" r:id="rId13" display="https://www.jivi.com.ar/ficha.php?id=77"/>
    <hyperlink ref="AB71" r:id="rId14"/>
    <hyperlink ref="AB73" r:id="rId15"/>
    <hyperlink ref="AB74" r:id="rId16"/>
    <hyperlink ref="AC81" r:id="rId17"/>
    <hyperlink ref="AD81" r:id="rId18"/>
    <hyperlink ref="AE81" r:id="rId19"/>
    <hyperlink ref="AF81" r:id="rId20"/>
    <hyperlink ref="AG81" r:id="rId21"/>
    <hyperlink ref="AC82" r:id="rId22"/>
    <hyperlink ref="AD82" r:id="rId23"/>
    <hyperlink ref="AE82" r:id="rId24"/>
    <hyperlink ref="AF82" r:id="rId25"/>
    <hyperlink ref="AG82" r:id="rId26"/>
    <hyperlink ref="AH82" r:id="rId27"/>
    <hyperlink ref="AC83" r:id="rId28"/>
    <hyperlink ref="AD83" r:id="rId29"/>
    <hyperlink ref="AE83" r:id="rId30"/>
    <hyperlink ref="AF83" r:id="rId31"/>
    <hyperlink ref="AH83" r:id="rId32"/>
    <hyperlink ref="AG83" r:id="rId33"/>
    <hyperlink ref="AC84" r:id="rId34"/>
    <hyperlink ref="AD84" r:id="rId35"/>
    <hyperlink ref="AE84" r:id="rId36"/>
    <hyperlink ref="AF84" r:id="rId37"/>
    <hyperlink ref="AC85" r:id="rId38"/>
    <hyperlink ref="AD85" r:id="rId39"/>
    <hyperlink ref="AE85" r:id="rId40"/>
    <hyperlink ref="AF85" r:id="rId41"/>
    <hyperlink ref="AG85" r:id="rId42"/>
    <hyperlink ref="AC86" r:id="rId43"/>
    <hyperlink ref="AD86" r:id="rId44"/>
    <hyperlink ref="AE86" r:id="rId45"/>
    <hyperlink ref="AC87" r:id="rId46"/>
    <hyperlink ref="AD87" r:id="rId47"/>
    <hyperlink ref="AE87" r:id="rId48"/>
    <hyperlink ref="AF87" r:id="rId49"/>
    <hyperlink ref="AG87" r:id="rId50"/>
    <hyperlink ref="AH87" r:id="rId51"/>
    <hyperlink ref="AB88" r:id="rId52"/>
    <hyperlink ref="AB89" r:id="rId53"/>
    <hyperlink ref="AB90" r:id="rId54"/>
    <hyperlink ref="AC91" r:id="rId55"/>
    <hyperlink ref="AD91" r:id="rId56"/>
    <hyperlink ref="AE91" r:id="rId57"/>
    <hyperlink ref="AF91" r:id="rId58"/>
    <hyperlink ref="AG91" r:id="rId59"/>
    <hyperlink ref="AB333" r:id="rId60" display="https://www.jivi.com.ar/ficha.php?id=187"/>
    <hyperlink ref="AB335" r:id="rId61" display="https://www.jivi.com.ar/ficha.php?id=4"/>
    <hyperlink ref="AB346" r:id="rId62" display="https://www.jivi.com.ar/ficha.php?id=55"/>
    <hyperlink ref="AB349" r:id="rId63" display="https://www.jivi.com.ar/ficha.php?id=209"/>
    <hyperlink ref="AB350" r:id="rId64"/>
    <hyperlink ref="AB358" r:id="rId65" display="https://www.jivi.com.ar/ficha.php?id=60"/>
    <hyperlink ref="AB360" r:id="rId66" display="https://www.jivi.com.ar/ficha.php?id=380"/>
    <hyperlink ref="AB364" r:id="rId67" display="https://www.jivi.com.ar/ficha.php?id=548"/>
    <hyperlink ref="AB365" r:id="rId68"/>
    <hyperlink ref="AB368" r:id="rId69" display="https://www.jivi.com.ar/ficha.php?id=719"/>
    <hyperlink ref="AB101" r:id="rId70" display="https://www.jivi.com.ar/ficha.php?id=326"/>
    <hyperlink ref="AB105" r:id="rId71" display="https://www.jivi.com.ar/ficha.php?id=134"/>
    <hyperlink ref="AB146" r:id="rId72" display="https://www.jivi.com.ar/ficha.php?id=394"/>
    <hyperlink ref="AB147" r:id="rId73" display="https://www.jivi.com.ar/ficha.php?id=145"/>
    <hyperlink ref="AB150" r:id="rId74" display="https://www.jivi.com.ar/ficha.php?id=18"/>
    <hyperlink ref="AB154" r:id="rId75" display="https://www.jivi.com.ar/ficha.php?id=19"/>
    <hyperlink ref="AB162" r:id="rId76" display="https://www.jivi.com.ar/ficha.php?id=142"/>
    <hyperlink ref="AB163" r:id="rId77" display="https://www.jivi.com.ar/ficha.php?id=392"/>
    <hyperlink ref="AB164" r:id="rId78" display="https://www.jivi.com.ar/ficha.php?id=393"/>
    <hyperlink ref="AB191" r:id="rId79" display="https://www.jivi.com.ar/ficha.php?id=135"/>
    <hyperlink ref="AB192" r:id="rId80" display="https://www.jivi.com.ar/ficha.php?id=136"/>
    <hyperlink ref="AB193" r:id="rId81" display="https://www.jivi.com.ar/ficha.php?id=137"/>
    <hyperlink ref="AB194" r:id="rId82" display="https://www.jivi.com.ar/ficha.php?id=138"/>
    <hyperlink ref="AB202" r:id="rId83" display="https://www.jivi.com.ar/ficha.php?id=245"/>
    <hyperlink ref="AB214" r:id="rId84" display="https://www.jivi.com.ar/ficha.php?id=166"/>
    <hyperlink ref="AB215" r:id="rId85" display="https://www.jivi.com.ar/ficha.php?id=171"/>
    <hyperlink ref="AB219" r:id="rId86" display="https://www.jivi.com.ar/ficha.php?id=168"/>
    <hyperlink ref="AB225" r:id="rId87" display="https://www.jivi.com.ar/ficha.php?id=169"/>
    <hyperlink ref="AB227" r:id="rId88" display="https://www.jivi.com.ar/ficha.php?id=148"/>
    <hyperlink ref="AB228" r:id="rId89" display="https://www.jivi.com.ar/ficha.php?id=158"/>
    <hyperlink ref="AB664" r:id="rId90" display="https://www.jivi.com.ar/ficha.php?id=621"/>
    <hyperlink ref="AB665" r:id="rId91" display="https://www.jivi.com.ar/ficha.php?id=622"/>
    <hyperlink ref="AB95" r:id="rId92" display="https://www.jivi.com.ar/ficha.php?id=456"/>
    <hyperlink ref="AB287" r:id="rId93" display="https://www.jivi.com.ar/ficha.php?id=246"/>
    <hyperlink ref="AB453" r:id="rId94" display="https://www.jivi.com.ar/ficha.php?id=431"/>
    <hyperlink ref="AB457" r:id="rId95" display="https://www.jivi.com.ar/ficha.php?id=728"/>
    <hyperlink ref="AB482" r:id="rId96"/>
    <hyperlink ref="AB484" r:id="rId97"/>
    <hyperlink ref="AB493" r:id="rId98"/>
    <hyperlink ref="AB495" r:id="rId99"/>
    <hyperlink ref="AB498" r:id="rId100"/>
    <hyperlink ref="AB499" r:id="rId101"/>
    <hyperlink ref="AB500" r:id="rId102"/>
    <hyperlink ref="AB502" r:id="rId103"/>
    <hyperlink ref="AB503" r:id="rId104"/>
    <hyperlink ref="AB505" r:id="rId105"/>
    <hyperlink ref="AB510" r:id="rId106"/>
    <hyperlink ref="AB511" r:id="rId107"/>
    <hyperlink ref="AB646" r:id="rId108"/>
    <hyperlink ref="AB652" r:id="rId109"/>
    <hyperlink ref="AB653" r:id="rId110"/>
    <hyperlink ref="AB97" r:id="rId111" display="https://www.jivi.com.ar/ficha.php?id=234"/>
    <hyperlink ref="AB340" r:id="rId112" display="https://www.jivi.com.ar/ficha.php?id=51"/>
    <hyperlink ref="AB351" r:id="rId113"/>
    <hyperlink ref="B7:V7" location="'Artículos Publicitarios'!A686" display="PARA IR A LOS RECARGOS POR IMPRESIONES ADICIONALES CLICK AQUÍ"/>
    <hyperlink ref="AB486" r:id="rId114"/>
    <hyperlink ref="AC51" r:id="rId115"/>
    <hyperlink ref="AD51" r:id="rId116"/>
    <hyperlink ref="AE51" r:id="rId117"/>
    <hyperlink ref="B7:W7" location="'Artículos Publicitarios'!A719" display="PARA IR A LOS RECARGOS POR IMPRESIONES ADICIONALES CLICK AQUÍ"/>
    <hyperlink ref="AB241" r:id="rId118" display="https://www.jivi.com.ar/ficha.php?id=840"/>
    <hyperlink ref="AE2:AF2" location="'Artículos Publicitarios'!A839" display="CLICK AQUÍ"/>
    <hyperlink ref="AE2" location="'Artículos Publicitarios'!A833" display="CLICK AQUÍ"/>
    <hyperlink ref="AB548" r:id="rId119" display="https://www.jivi.com.ar/ficha.php?id=846"/>
    <hyperlink ref="AB26" r:id="rId120" display="https://www.jivi.com.ar/ficha.php?id=848"/>
    <hyperlink ref="AB75" r:id="rId121"/>
    <hyperlink ref="AE2:AG2" location="'Artículos Publicitarios'!A780" display="CLICK AQUÍ"/>
    <hyperlink ref="B770:W770" location="'Artículos Publicitarios'!A3" display="PARA SUBIR AL PRINCIPIO DE LA LISTA CLICK AQUÍ"/>
    <hyperlink ref="AB281" r:id="rId122" display="https://www.jivi.com.ar/ficha.php?id=862"/>
    <hyperlink ref="AB44" r:id="rId123"/>
    <hyperlink ref="AB165" r:id="rId124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68" r:id="rId125" display="https://www.jivi.com.ar/ficha.php?id=903"/>
    <hyperlink ref="AB21" r:id="rId126"/>
    <hyperlink ref="AB345" r:id="rId127" display="https://www.jivi.com.ar/ficha.php?id=916"/>
    <hyperlink ref="AB661" r:id="rId128" display="https://www.jivi.com.ar/ficha.php?id=918"/>
    <hyperlink ref="AB336" r:id="rId129" display="https://www.jivi.com.ar/ficha.php?id=926"/>
    <hyperlink ref="AB66" r:id="rId130"/>
    <hyperlink ref="AB474" r:id="rId131"/>
    <hyperlink ref="AB195" r:id="rId132" display="https://www.jivi.com.ar/ficha.php?id=948"/>
    <hyperlink ref="AB347" r:id="rId133" display="https://www.jivi.com.ar/ficha.php?id=954"/>
    <hyperlink ref="AB141" r:id="rId134"/>
    <hyperlink ref="AB143" r:id="rId135"/>
    <hyperlink ref="AB142" r:id="rId136"/>
    <hyperlink ref="AB487" r:id="rId137"/>
    <hyperlink ref="AB27" r:id="rId138"/>
    <hyperlink ref="AB341" r:id="rId139" display="https://www.jivi.com.ar/ficha.php?id=850"/>
    <hyperlink ref="AB144" r:id="rId140"/>
    <hyperlink ref="AB506" r:id="rId141"/>
    <hyperlink ref="AB507" r:id="rId142"/>
    <hyperlink ref="AB369" r:id="rId143" display="https://www.jivi.com.ar/ficha.php?id=1023"/>
    <hyperlink ref="AB337" r:id="rId144" display="https://www.jivi.com.ar/ficha.php?id=1025"/>
    <hyperlink ref="AF25" location="'Artículos Publicitarios'!A122" display="IR A PINES"/>
    <hyperlink ref="AB343" r:id="rId145" display="https://www.jivi.com.ar/ficha.php?id=647"/>
    <hyperlink ref="AB331" r:id="rId146" display="https://www.jivi.com.ar/ficha.php?id=1049"/>
    <hyperlink ref="AB23" r:id="rId147" display="https://www.jivi.com.ar/ficha.php?id=364"/>
    <hyperlink ref="AF27:AI27" location="'Artículos Publicitarios'!A523" display="IR A GORROS"/>
    <hyperlink ref="AB25" r:id="rId148"/>
    <hyperlink ref="AB24" r:id="rId149"/>
    <hyperlink ref="AF23:AI23" location="'Artículos Publicitarios'!A644" display="IR A PROD. SUBLIMADOS"/>
    <hyperlink ref="AB356" r:id="rId150" display="https://www.jivi.com.ar/ficha.php?id=1095"/>
    <hyperlink ref="AB338" r:id="rId151" display="https://www.jivi.com.ar/ficha.php?id=1094"/>
    <hyperlink ref="AB334" r:id="rId152" display="https://www.jivi.com.ar/ficha.php?id=297"/>
    <hyperlink ref="AB375" r:id="rId153" display="https://www.jivi.com.ar/ficha.php?id=1097"/>
    <hyperlink ref="AB99" r:id="rId154" display="https://www.jivi.com.ar/ficha.php?id=1098"/>
    <hyperlink ref="AB20" r:id="rId155"/>
    <hyperlink ref="AB230" r:id="rId156"/>
    <hyperlink ref="AB329" r:id="rId157" display="https://www.jivi.com.ar/ficha.php?id=1108"/>
    <hyperlink ref="AB359" r:id="rId158" display="https://www.jivi.com.ar/ficha.php?id=1116"/>
    <hyperlink ref="AF643:AH643" location="'Artículos Publicitarios'!A3" display="IR A PAGINA 1"/>
    <hyperlink ref="AF25:AI25" location="'Artículos Publicitarios'!A91" display="IR A PINES"/>
    <hyperlink ref="AF24:AI24" location="'Artículos Publicitarios'!A165" display="IR A CARPITAS"/>
    <hyperlink ref="AF20:AI20" location="'Artículos Publicitarios'!A129" display="IR A CINTAS COLGANTES"/>
    <hyperlink ref="AF28:AI28" location="'Artículos Publicitarios'!A264" display="IR A PORTADOCUMENTOS"/>
    <hyperlink ref="AB188" r:id="rId159" display="https://www.jivi.com.ar/ficha.php?id=1119"/>
    <hyperlink ref="AB189" r:id="rId160"/>
    <hyperlink ref="AB656" r:id="rId161" display="https://www.jivi.com.ar/ficha.php?id=1154"/>
    <hyperlink ref="AB666" r:id="rId162" display="https://www.jivi.com.ar/ficha.php?id=1157"/>
    <hyperlink ref="AB667" r:id="rId163" display="https://www.jivi.com.ar/ficha.php?id=1158"/>
    <hyperlink ref="AB637" r:id="rId164" display="hhttps://www.jivi.com.ar/ficha.php?id=1155"/>
    <hyperlink ref="AB638" r:id="rId165" display="https://www.jivi.com.ar/ficha.php?id=1156"/>
    <hyperlink ref="AB339" r:id="rId166"/>
    <hyperlink ref="AB52" r:id="rId167" display="https://www.jivi.com.ar/ficha.php?id=1172"/>
    <hyperlink ref="AB342" r:id="rId168"/>
    <hyperlink ref="AB98" r:id="rId169"/>
    <hyperlink ref="AB129" r:id="rId170"/>
    <hyperlink ref="AB344" r:id="rId171" display="https://www.jivi.com.ar/ficha.php?id=915"/>
    <hyperlink ref="AB108" r:id="rId172" display="https://www.jivi.com.ar/ficha.php?id=1182"/>
    <hyperlink ref="AB128" r:id="rId173" display="https://www.jivi.com.ar/ficha.php?id=1183"/>
    <hyperlink ref="AB130" r:id="rId174"/>
    <hyperlink ref="AB348" r:id="rId175" display="https://www.jivi.com.ar/ficha.php?id=349"/>
    <hyperlink ref="AB419" r:id="rId176" display="https://www.jivi.com.ar/ficha.php?id=1190"/>
    <hyperlink ref="AB106" r:id="rId177" display="https://www.jivi.com.ar/ficha.php?id=1181"/>
    <hyperlink ref="AB354" r:id="rId178"/>
    <hyperlink ref="AB488" r:id="rId179"/>
    <hyperlink ref="AB422" r:id="rId180" display="https://www.jivi.com.ar/ficha.php?id=1219"/>
    <hyperlink ref="AB49" r:id="rId181"/>
    <hyperlink ref="AB48" r:id="rId182"/>
    <hyperlink ref="AB50" r:id="rId183"/>
    <hyperlink ref="AB669" r:id="rId184" display="https://www.jivi.com.ar/ficha.php?id=904"/>
    <hyperlink ref="AB59" r:id="rId185" display="00085-1B"/>
    <hyperlink ref="AB449" r:id="rId186" display="https://www.jivi.com.ar/ficha.php?id=1225"/>
    <hyperlink ref="AB43" r:id="rId187"/>
    <hyperlink ref="AB662" r:id="rId188" display="https://www.jivi.com.ar/ficha.php?id=919"/>
    <hyperlink ref="AB42" r:id="rId189"/>
    <hyperlink ref="AB166" r:id="rId190" display="https://www.jivi.com.ar/ficha.php?id=883"/>
    <hyperlink ref="AB515" r:id="rId191"/>
    <hyperlink ref="AB134" r:id="rId192" display="https://jivi.com.ar/ficha.php?id=89"/>
    <hyperlink ref="AB549" r:id="rId193" display="https://www.jivi.com.ar/ficha.php?id=1248"/>
    <hyperlink ref="AB357" r:id="rId194" display="https://www.jivi.com.ar/ficha.php?id=1253"/>
    <hyperlink ref="AB282" r:id="rId195" display="https://www.jivi.com.ar/ficha.php?id=1124"/>
    <hyperlink ref="AB167" r:id="rId196" display="https://www.jivi.com.ar/ficha.php?id=1261"/>
    <hyperlink ref="AB389" r:id="rId197" display="https://www.jivi.com.ar/ficha.php?id=1267"/>
    <hyperlink ref="AB450" r:id="rId198" display="https://www.jivi.com.ar/ficha.php?id=1268"/>
    <hyperlink ref="AB391" r:id="rId199" display="https://www.jivi.com.ar/ficha.php?id=1277"/>
    <hyperlink ref="AB688" r:id="rId200"/>
    <hyperlink ref="AB96" r:id="rId201" display="https://www.jivi.com.ar/ficha.php?id=378"/>
    <hyperlink ref="AB186" r:id="rId202"/>
    <hyperlink ref="AB107" r:id="rId203"/>
    <hyperlink ref="AB109" r:id="rId204"/>
    <hyperlink ref="AB123" r:id="rId205" display="https://www.jivi.com.ar/ficha.php?id=1305"/>
    <hyperlink ref="AB124" r:id="rId206"/>
    <hyperlink ref="AB229" r:id="rId207" display="https://www.jivi.com.ar/ficha.php?id=1287"/>
    <hyperlink ref="AB639" r:id="rId208" display="https://www.jivi.com.ar/ficha.php?id=1290"/>
    <hyperlink ref="AB172" r:id="rId209" display="https://www.jivi.com.ar/ficha.php?id=1316"/>
    <hyperlink ref="AB102" r:id="rId210" display="https://www.jivi.com.ar/ficha.php?id=1314"/>
    <hyperlink ref="AJ1:AJ2" location="'Artículos Publicitarios'!A3" display="IR A PAGINA 1"/>
    <hyperlink ref="AB185" r:id="rId211"/>
    <hyperlink ref="AB379" r:id="rId212" display="https://www.jivi.com.ar/ficha.php?id=1344"/>
    <hyperlink ref="AB125" r:id="rId213"/>
    <hyperlink ref="AF732:AH732" location="'Artículos Publicitarios'!A3" display="IR A PAGINA 1"/>
    <hyperlink ref="AB170" r:id="rId214" display="https://www.jivi.com.ar/ficha.php?id=1346"/>
    <hyperlink ref="AB171" r:id="rId215" display="https://www.jivi.com.ar/ficha.php?id=1347"/>
    <hyperlink ref="AB208" r:id="rId216" display="https://www.jivi.com.ar/ficha.php?id=1348"/>
    <hyperlink ref="AB380" r:id="rId217" display="https://www.jivi.com.ar/ficha.php?id=1359"/>
    <hyperlink ref="AB394" r:id="rId218" display="https://www.jivi.com.ar/ficha.php?id=1360"/>
    <hyperlink ref="AB187" r:id="rId219"/>
    <hyperlink ref="AB104" r:id="rId220" display="https://www.jivi.com.ar/ficha.php?id=1366"/>
    <hyperlink ref="AC8:AI9" r:id="rId221" display="REGISTRATE EN NUESTRA WEB PARA BAJAR LISTA DE PRECIOS DESDE CUALQUIER PC"/>
    <hyperlink ref="AB283" r:id="rId222" display="https://www.jivi.com.ar/ficha.php?id=864"/>
    <hyperlink ref="AB406" r:id="rId223" display="https://www.jivi.com.ar/ficha.php?id=1372"/>
    <hyperlink ref="AB403" r:id="rId224" display="https://www.jivi.com.ar/ficha.php?id=1378"/>
    <hyperlink ref="AB407" r:id="rId225" display="https://www.jivi.com.ar/ficha.php?id=1382"/>
    <hyperlink ref="AB402" r:id="rId226" display="https://www.jivi.com.ar/ficha.php?id=1383"/>
    <hyperlink ref="AB427" r:id="rId227" display="https://www.jivi.com.ar/ficha.php?id=1384"/>
    <hyperlink ref="AB136" r:id="rId228" display="https://www.jivi.com.ar/ficha.php?id=1428"/>
    <hyperlink ref="AB428" r:id="rId229" display="https://www.jivi.com.ar/ficha.php?id=1385"/>
    <hyperlink ref="AB426" r:id="rId230" display="https://www.jivi.com.ar/ficha.php?id=1387"/>
    <hyperlink ref="AB429" r:id="rId231" display="https://www.jivi.com.ar/ficha.php?id=1389"/>
    <hyperlink ref="AB22" r:id="rId232" display="https://www.jivi.com.ar/ficha.php?id=363"/>
    <hyperlink ref="AF22" location="'Artículos Publicitarios'!A582" display="IR A REMERAS"/>
    <hyperlink ref="AF22:AI22" location="'Artículos Publicitarios'!A516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665" display="IR A ART. DE CUERO - CUCHILLERIA"/>
    <hyperlink ref="AB58" r:id="rId233" display="https://www.jivi.com.ar/ficha.php?id=236"/>
    <hyperlink ref="AB174" r:id="rId234" display="https://www.jivi.com.ar/ficha.php?id=1343"/>
    <hyperlink ref="AF13:AH13" location="'Artículos Publicitarios'!A342" display="IR A PAGINA 5"/>
    <hyperlink ref="AF14:AH14" location="'Artículos Publicitarios'!A421" display="IR A PAGINA 6"/>
    <hyperlink ref="AB408" r:id="rId235" display="https://www.jivi.com.ar/ficha.php?id=1394"/>
    <hyperlink ref="AB231" r:id="rId236" display="https://www.jivi.com.ar/ficha.php?id=872"/>
    <hyperlink ref="AB161" r:id="rId237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48" display="IR A BOLIGRAFOS"/>
    <hyperlink ref="AB425" r:id="rId238" display="https://www.jivi.com.ar/ficha.php?id=1262"/>
    <hyperlink ref="AB395" r:id="rId239" display="https://www.jivi.com.ar/ficha.php?id=1400"/>
    <hyperlink ref="AB409" r:id="rId240" display="https://www.jivi.com.ar/ficha.php?id=1401"/>
    <hyperlink ref="AB168" r:id="rId241" display="https://www.jivi.com.ar/ficha.php?id=1392"/>
    <hyperlink ref="AB276" r:id="rId242" display="https://www.jivi.com.ar/ficha.php?id=1230"/>
    <hyperlink ref="AB381" r:id="rId243" display="https://www.jivi.com.ar/ficha.php?id=1110"/>
    <hyperlink ref="AB383" r:id="rId244" display="https://www.jivi.com.ar/ficha.php?id=1111"/>
    <hyperlink ref="AF21:AI21" location="'Artículos Publicitarios'!A325" display="IR A SET DE NOTAS"/>
    <hyperlink ref="AF21:AJ21" location="'Artículos Publicitarios'!A543" display="IR A PARAGUAS"/>
    <hyperlink ref="AB92" r:id="rId245" display="https://www.jivi.com.ar/ficha.php?id=477"/>
    <hyperlink ref="AB94" r:id="rId246" display="https://www.jivi.com.ar/ficha.php?id=376"/>
    <hyperlink ref="AB13" r:id="rId247" display="https://www.jivi.com.ar/ficha.php?id=1402"/>
    <hyperlink ref="AB543" r:id="rId248" display="https://www.jivi.com.ar/ficha.php?id=1393"/>
    <hyperlink ref="AB17" r:id="rId249" display="https://www.jivi.com.ar/ficha.php?id=1405"/>
    <hyperlink ref="AB133" r:id="rId250" display="https://www.jivi.com.ar/ficha.php?id=1413"/>
    <hyperlink ref="AB182" r:id="rId251" display="https://www.jivi.com.ar/ficha.php?id=1415"/>
    <hyperlink ref="AF12:AH12" location="'Artículos Publicitarios'!A260" display="IR A PAGINA 4"/>
    <hyperlink ref="AB326" r:id="rId252" display="https://www.jivi.com.ar/ficha.php?id=1356"/>
    <hyperlink ref="AB218" r:id="rId253" display="https://www.jivi.com.ar/ficha.php?id=1084"/>
    <hyperlink ref="AB324" r:id="rId254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07" display="IR A DELANTALES"/>
    <hyperlink ref="AB693" r:id="rId255"/>
    <hyperlink ref="AB696" r:id="rId256"/>
    <hyperlink ref="AB663" r:id="rId257" display="https://www.jivi.com.ar/ficha.php?id=1281"/>
    <hyperlink ref="AB685" r:id="rId258"/>
    <hyperlink ref="AB298" r:id="rId259" display="https://www.jivi.com.ar/ficha.php?id=1421"/>
    <hyperlink ref="AB301" r:id="rId260" display="https://www.jivi.com.ar/ficha.php?id=1422"/>
    <hyperlink ref="AB302" r:id="rId261" display="https://www.jivi.com.ar/ficha.php?id=1423"/>
    <hyperlink ref="AB322" r:id="rId262" display="https://www.jivi.com.ar/ficha.php?id=1425"/>
    <hyperlink ref="AB323" r:id="rId263" display="https://www.jivi.com.ar/ficha.php?id=1426"/>
    <hyperlink ref="AB447" r:id="rId264" display="https://www.jivi.com.ar/ficha.php?id=1429"/>
    <hyperlink ref="AB489" r:id="rId265"/>
    <hyperlink ref="AB491" r:id="rId266"/>
    <hyperlink ref="AB538" r:id="rId267" display="https://www.jivi.com.ar/ficha.php?id=1436"/>
    <hyperlink ref="AB539" r:id="rId268" display="https://www.jivi.com.ar/ficha.php?id=1437"/>
    <hyperlink ref="AB540" r:id="rId269"/>
    <hyperlink ref="AB542" r:id="rId270" display="https://www.jivi.com.ar/ficha.php?id=1439"/>
    <hyperlink ref="AB300" r:id="rId271" display="https://www.jivi.com.ar/ficha.php?id=1442"/>
    <hyperlink ref="AB321" r:id="rId272" display="https://www.jivi.com.ar/ficha.php?id=1427"/>
    <hyperlink ref="AB654" r:id="rId273"/>
    <hyperlink ref="AB374" r:id="rId274" display="https://www.jivi.com.ar/ficha.php?id=1056"/>
    <hyperlink ref="AB275" r:id="rId275" display="https://www.jivi.com.ar/ficha.php?id=1334"/>
    <hyperlink ref="AB269" r:id="rId276" display="https://www.jivi.com.ar/ficha.php?id=1335"/>
    <hyperlink ref="AB309" r:id="rId277" display="https://www.jivi.com.ar/ficha.php?id=1446"/>
    <hyperlink ref="AB325" r:id="rId278" display="https://www.jivi.com.ar/ficha.php?id=1354"/>
    <hyperlink ref="AB314" r:id="rId279" display="https://www.jivi.com.ar/ficha.php?id=1448"/>
    <hyperlink ref="AB328" r:id="rId280" display="https://www.jivi.com.ar/ficha.php?id=1450"/>
    <hyperlink ref="AB204" r:id="rId281"/>
    <hyperlink ref="AB475" r:id="rId282"/>
    <hyperlink ref="AB689" r:id="rId283"/>
    <hyperlink ref="AB415" r:id="rId284" display="https://www.jivi.com.ar/ficha.php?id=1463"/>
    <hyperlink ref="AB416" r:id="rId285" display="https://www.jivi.com.ar/ficha.php?id=1464"/>
    <hyperlink ref="AB434" r:id="rId286" display="https://www.jivi.com.ar/ficha.php?id=1466"/>
    <hyperlink ref="AB544" r:id="rId287" display="https://www.jivi.com.ar/ficha.php?id=1467"/>
    <hyperlink ref="AB552" r:id="rId288"/>
    <hyperlink ref="AB553" r:id="rId289" display="https://www.jivi.com.ar/ficha.php?id=1472"/>
    <hyperlink ref="AB501" r:id="rId290"/>
    <hyperlink ref="AB635" r:id="rId291"/>
    <hyperlink ref="AB636" r:id="rId292"/>
    <hyperlink ref="AB634" r:id="rId293"/>
    <hyperlink ref="AB222" r:id="rId294" display="https://www.jivi.com.ar/ficha.php?id=1478"/>
    <hyperlink ref="AB223" r:id="rId295"/>
    <hyperlink ref="AB224" r:id="rId296"/>
    <hyperlink ref="AB217" r:id="rId297" display="https://www.jivi.com.ar/ficha.php?id=1481"/>
    <hyperlink ref="AB232" r:id="rId298" display="https://www.jivi.com.ar/ficha.php?id=1483"/>
    <hyperlink ref="AB267" r:id="rId299" display="https://www.jivi.com.ar/ficha.php?id=1486"/>
    <hyperlink ref="AB268" r:id="rId300" display="https://www.jivi.com.ar/ficha.php?id=1488"/>
    <hyperlink ref="AB657" r:id="rId301" display="https://www.jivi.com.ar/ficha.php?id=1492"/>
    <hyperlink ref="AB658" r:id="rId302" display="https://www.jivi.com.ar/ficha.php?id=1493"/>
    <hyperlink ref="AB659" r:id="rId303" display="https://www.jivi.com.ar/ficha.php?id=1494"/>
    <hyperlink ref="AB660" r:id="rId304"/>
    <hyperlink ref="AB674" r:id="rId305" display="https://www.jivi.com.ar/ficha.php?id=1496"/>
    <hyperlink ref="AB675" r:id="rId306" display="https://www.jivi.com.ar/ficha.php?id=1497"/>
    <hyperlink ref="AB677" r:id="rId307" display="httphttps://www.jivi.com.ar/ficha.php?id=1498"/>
    <hyperlink ref="AB678" r:id="rId308" display="https://www.jivi.com.ar/ficha.php?id=1499"/>
    <hyperlink ref="AB679" r:id="rId309" display="https://www.jivi.com.ar/ficha.php?id=1500"/>
    <hyperlink ref="AB37" r:id="rId310"/>
    <hyperlink ref="AB39" r:id="rId311"/>
    <hyperlink ref="AB36" r:id="rId312"/>
    <hyperlink ref="AB38" r:id="rId313"/>
    <hyperlink ref="AB40" r:id="rId314"/>
    <hyperlink ref="AB41" r:id="rId315"/>
    <hyperlink ref="AB536" r:id="rId316" display="https://www.jivi.com.ar/ficha.php?id=1509"/>
    <hyperlink ref="AB517" r:id="rId317"/>
    <hyperlink ref="AB297" r:id="rId318" display="https://www.jivi.com.ar/ficha.php?id=1515"/>
    <hyperlink ref="AB70" r:id="rId319"/>
    <hyperlink ref="AB72" r:id="rId320"/>
    <hyperlink ref="AB411" r:id="rId321" display="https://www.jivi.com.ar/ficha.php?id=1523"/>
    <hyperlink ref="AB296" r:id="rId322" display="https://www.jivi.com.ar/ficha.php?id=1559"/>
    <hyperlink ref="AB299" r:id="rId323" display="https://www.jivi.com.ar/ficha.php?id=1527"/>
    <hyperlink ref="AB255" r:id="rId324" display="https://www.jivi.com.ar/ficha.php?id=1532"/>
    <hyperlink ref="AB265" r:id="rId325" display="https://www.jivi.com.ar/ficha.php?id=1534"/>
    <hyperlink ref="AB680" r:id="rId326" display="https://www.jivi.com.ar/ficha.php?id=1535"/>
    <hyperlink ref="AB681" r:id="rId327" display="https://www.jivi.com.ar/ficha.php?id=1536"/>
    <hyperlink ref="AB235" r:id="rId328" display="https://www.jivi.com.ar/ficha.php?id=1539"/>
    <hyperlink ref="AB140" r:id="rId329" display="https://www.jivi.com.ar/ficha.php?id=1540"/>
    <hyperlink ref="AB550" r:id="rId330" display="https://www.jivi.com.ar/ficha.php?id=1541"/>
    <hyperlink ref="AB551" r:id="rId331" display="https://www.jivi.com.ar/ficha.php?id=1542"/>
    <hyperlink ref="AB249" r:id="rId332" display="https://www.jivi.com.ar/ficha.php?id=1545"/>
    <hyperlink ref="AB382" r:id="rId333"/>
    <hyperlink ref="AB355" r:id="rId334" display="https://www.jivi.com.ar/ficha.php?id=981"/>
    <hyperlink ref="AB412" r:id="rId335" display="https://www.jivi.com.ar/ficha.php?id=1548"/>
    <hyperlink ref="AB413" r:id="rId336" display="https://www.jivi.com.ar/ficha.php?id=1549"/>
    <hyperlink ref="AB458" r:id="rId337"/>
    <hyperlink ref="AB446" r:id="rId338" display="https://www.jivi.com.ar/ficha.php?id=1552"/>
    <hyperlink ref="AB377" r:id="rId339" display="https://www.jivi.com.ar/ficha.php?id=1311"/>
    <hyperlink ref="AB155" r:id="rId340" display="https://www.jivi.com.ar/ficha.php?id=1553"/>
    <hyperlink ref="AB151" r:id="rId341" display="https://www.jivi.com.ar/ficha.php?id=1554"/>
    <hyperlink ref="AB595" r:id="rId342" display="https://www.jivi.com.ar/ficha.php?id=1555"/>
    <hyperlink ref="AB57" r:id="rId343" display="https://www.jivi.com.ar/ficha.php?id=1557"/>
    <hyperlink ref="AB694" r:id="rId344"/>
    <hyperlink ref="AB233" r:id="rId345" display="https://www.jivi.com.ar/ficha.php?id=518"/>
    <hyperlink ref="AB205" r:id="rId346" display="https://www.jivi.com.ar/ficha.php?id=1561"/>
    <hyperlink ref="AB10" r:id="rId347" display="https://www.jivi.com.ar/ficha.php?id=26"/>
    <hyperlink ref="AB242" r:id="rId348" display="https://www.jivi.com.ar/ficha.php?id=1066"/>
    <hyperlink ref="AB246" r:id="rId349" display="https://www.jivi.com.ar/ficha.php?id=1562"/>
    <hyperlink ref="AB454" r:id="rId350" display="https://www.jivi.com.ar/ficha.php?id=1563"/>
    <hyperlink ref="AB169" r:id="rId351" display="https://www.jivi.com.ar/ficha.php?id=1414"/>
    <hyperlink ref="AB18" r:id="rId352" display="https://www.jivi.com.ar/ficha.php?id=790"/>
    <hyperlink ref="AB305" r:id="rId353" display="https://www.jivi.com.ar/ficha.php?id=1407"/>
    <hyperlink ref="AB304" r:id="rId354" display="https://www.jivi.com.ar/ficha.php?id=1409"/>
    <hyperlink ref="AB306" r:id="rId355" display="https://www.jivi.com.ar/ficha.php?id=1408"/>
    <hyperlink ref="AB294" r:id="rId356" display="https://www.jivi.com.ar/ficha.php?id=1564"/>
    <hyperlink ref="AB29" r:id="rId357" display="https://www.jivi.com.ar/ficha.php?id=1434"/>
    <hyperlink ref="AB417" r:id="rId358" display="https://www.jivi.com.ar/ficha.php?id=1567"/>
    <hyperlink ref="AB45" r:id="rId359"/>
    <hyperlink ref="AB46" r:id="rId360"/>
    <hyperlink ref="AB47" r:id="rId361"/>
    <hyperlink ref="AB137" r:id="rId362" display="https://www.jivi.com.ar/ficha.php?id=1571"/>
    <hyperlink ref="AB216" r:id="rId363"/>
    <hyperlink ref="AB414" r:id="rId364" display="https://www.jivi.com.ar/ficha.php?id=1572"/>
    <hyperlink ref="AB295" r:id="rId365" display="https://www.jivi.com.ar/ficha.php?id=1573"/>
    <hyperlink ref="AB567" r:id="rId366" display="https://www.jivi.com.ar/ficha.php?id=1294"/>
    <hyperlink ref="AF30:AJ30" location="'Artículos Publicitarios'!A583" display="IR A MOCHILAS - BOLSOS - ETC"/>
    <hyperlink ref="AB574" r:id="rId367" display="https://www.jivi.com.ar/ficha.php?id=1271"/>
    <hyperlink ref="AB573" r:id="rId368" display="https://www.jivi.com.ar/ficha.php?id=1296"/>
    <hyperlink ref="AB579" r:id="rId369" display="https://www.jivi.com.ar/ficha.php?id=1139"/>
    <hyperlink ref="AB571" r:id="rId370" display="https://www.jivi.com.ar/ficha.php?id=1249"/>
    <hyperlink ref="AB611" r:id="rId371" display="https://www.jivi.com.ar/ficha.php?id=1574"/>
    <hyperlink ref="AB572" r:id="rId372" display="https://www.jivi.com.ar/ficha.php?id=1576"/>
    <hyperlink ref="AB583" r:id="rId373" display="https://www.jivi.com.ar/ficha.php?id=1580"/>
    <hyperlink ref="AB584" r:id="rId374" display="https://www.jivi.com.ar/ficha.php?id=1581"/>
    <hyperlink ref="AB587" r:id="rId375" display="https://www.jivi.com.ar/ficha.php?id=1583"/>
    <hyperlink ref="AB588" r:id="rId376" display="https://www.jivi.com.ar/ficha.php?id=1584"/>
    <hyperlink ref="AB590" r:id="rId377" display="https://www.jivi.com.ar/ficha.php?id=1586"/>
    <hyperlink ref="AF18:AJ18" location="'Artículos Publicitarios'!A267" display="IR A CUADERNOS"/>
    <hyperlink ref="AB278" r:id="rId378" display="https://www.jivi.com.ar/ficha.php?id=1221"/>
    <hyperlink ref="AB284" r:id="rId379" display="https://www.jivi.com.ar/ficha.php?id=1588"/>
    <hyperlink ref="AB531" r:id="rId380"/>
    <hyperlink ref="AB532" r:id="rId381" display="https://www.jivi.com.ar/ficha.php?id=1590"/>
    <hyperlink ref="AB533" r:id="rId382"/>
    <hyperlink ref="AB534" r:id="rId383" display="https://www.jivi.com.ar/ficha.php?id=1592"/>
    <hyperlink ref="AB596" r:id="rId384" display="https://www.jivi.com.ar/ficha.php?id=1593"/>
    <hyperlink ref="AB292" r:id="rId385" display="https://www.jivi.com.ar/ficha.php?id=1595"/>
    <hyperlink ref="AB437" r:id="rId386" display="https://www.jivi.com.ar/ficha.php?id=1596"/>
    <hyperlink ref="AB597" r:id="rId387" display="https://www.jivi.com.ar/ficha.php?id=1598"/>
    <hyperlink ref="AB589" r:id="rId388" display="https://www.jivi.com.ar/ficha.php?id=1599"/>
    <hyperlink ref="AB599" r:id="rId389" display="https://www.jivi.com.ar/ficha.php?id=1602"/>
    <hyperlink ref="AB604" r:id="rId390" display="https://www.jivi.com.ar/ficha.php?id=1603"/>
    <hyperlink ref="AB60" r:id="rId391" display="00085-1N"/>
    <hyperlink ref="AB605" r:id="rId392" display="https://www.jivi.com.ar/ficha.php?id=1604"/>
    <hyperlink ref="AB606" r:id="rId393" display="https://www.jivi.com.ar/ficha.php?id=1606"/>
    <hyperlink ref="AB312" r:id="rId394" display="https://www.jivi.com.ar/ficha.php?id=1424"/>
    <hyperlink ref="AB190" r:id="rId395"/>
    <hyperlink ref="AB260" r:id="rId396" display="https://www.jivi.com.ar/ficha.php?id=1459"/>
    <hyperlink ref="AB259" r:id="rId397" display="https://www.jivi.com.ar/ficha.php?id=1608"/>
    <hyperlink ref="AB258" r:id="rId398" display="https://www.jivi.com.ar/ficha.php?id=1609"/>
    <hyperlink ref="AB279" r:id="rId399" display="https://www.jivi.com.ar/ficha.php?id=1274"/>
    <hyperlink ref="AB586" r:id="rId400" display="https://www.jivi.com.ar/ficha.php?id=1611"/>
    <hyperlink ref="AB585" r:id="rId401" display="https://www.jivi.com.ar/ficha.php?id=1612"/>
    <hyperlink ref="AB211" r:id="rId402" display="https://www.jivi.com.ar/ficha.php?id=1614"/>
    <hyperlink ref="AB209" r:id="rId403" display="https://www.jivi.com.ar/ficha.php?id=1452"/>
    <hyperlink ref="AB226" r:id="rId404" display="https://www.jivi.com.ar/ficha.php?id=608"/>
    <hyperlink ref="AB615" r:id="rId405" display="https://www.jivi.com.ar/ficha.php?id=1617"/>
    <hyperlink ref="AB616" r:id="rId406" display="https://www.jivi.com.ar/ficha.php?id=1618"/>
    <hyperlink ref="AB529" r:id="rId407"/>
    <hyperlink ref="AB530" r:id="rId408" display="https://www.jivi.com.ar/ficha.php?id=1620"/>
    <hyperlink ref="AB546" r:id="rId409" display="https://www.jivi.com.ar/ficha.php?id=1204"/>
    <hyperlink ref="AB547" r:id="rId410"/>
    <hyperlink ref="AB353" r:id="rId411"/>
    <hyperlink ref="AB516" r:id="rId412"/>
    <hyperlink ref="AB647" r:id="rId413"/>
    <hyperlink ref="AB698" r:id="rId414"/>
    <hyperlink ref="AB699" r:id="rId415"/>
    <hyperlink ref="AB700" r:id="rId416"/>
    <hyperlink ref="AB386" r:id="rId417" display="https://www.jivi.com.ar/ficha.php?id=1641"/>
    <hyperlink ref="AB461" r:id="rId418"/>
    <hyperlink ref="AB462" r:id="rId419"/>
    <hyperlink ref="AB463" r:id="rId420"/>
    <hyperlink ref="AB683" r:id="rId421"/>
    <hyperlink ref="AB460" r:id="rId422"/>
    <hyperlink ref="AB179" r:id="rId423" display="https://www.jivi.com.ar/ficha.php?id=1660"/>
    <hyperlink ref="AB100" r:id="rId424" display="https://www.jivi.com.ar/ficha.php?id=440"/>
    <hyperlink ref="AB684" r:id="rId425"/>
    <hyperlink ref="AB692" r:id="rId426"/>
    <hyperlink ref="AB697" r:id="rId427"/>
    <hyperlink ref="AB535" r:id="rId428" display="https://www.jivi.com.ar/ficha.php?id=1684"/>
    <hyperlink ref="AB388" r:id="rId429" display="https://www.jivi.com.ar/ficha.php?id=1272"/>
    <hyperlink ref="AB387" r:id="rId430" display="https://www.jivi.com.ar/ficha.php?id=1687"/>
    <hyperlink ref="AB385" r:id="rId431" display="https://www.jivi.com.ar/ficha.php?id=1672"/>
    <hyperlink ref="AB591" r:id="rId432" display="https://www.jivi.com.ar/ficha.php?id=1690"/>
    <hyperlink ref="AB528" r:id="rId433" display="https://www.jivi.com.ar/ficha.php?id=1691"/>
    <hyperlink ref="AB541" r:id="rId434" display="https://www.jivi.com.ar/ficha.php?id=1438"/>
    <hyperlink ref="AF521:AH521" location="'Artículos Publicitarios'!A3" display="IR A PAGINA 1"/>
    <hyperlink ref="AB30" r:id="rId435" display="https://www.jivi.com.ar/ficha.php?id=36"/>
    <hyperlink ref="AB526" r:id="rId436"/>
    <hyperlink ref="AB527" r:id="rId437" display="https://www.jivi.com.ar/ficha.php?id=1698"/>
    <hyperlink ref="AB438" r:id="rId438" display="https://www.jivi.com.ar/ficha.php?id=1699"/>
    <hyperlink ref="AB518" r:id="rId439"/>
    <hyperlink ref="AB410" r:id="rId440" display="https://www.jivi.com.ar/ficha.php?id=1462"/>
    <hyperlink ref="AB254" r:id="rId441" display="https://www.jivi.com.ar/ficha.php?id=1531"/>
    <hyperlink ref="AB252" r:id="rId442" display="https://www.jivi.com.ar/ficha.php?id=1528"/>
    <hyperlink ref="AB448" r:id="rId443"/>
    <hyperlink ref="AB361" r:id="rId444" display="https://www.jivi.com.ar/ficha.php?id=977"/>
    <hyperlink ref="AB432" r:id="rId445" display="https://www.jivi.com.ar/ficha.php?id=1457"/>
    <hyperlink ref="AB431" r:id="rId446" display="https://www.jivi.com.ar/ficha.php?id=1456"/>
    <hyperlink ref="AB362" r:id="rId447" display="https://www.jivi.com.ar/ficha.php?id=1707"/>
    <hyperlink ref="AB363" r:id="rId448" display="https://www.jivi.com.ar/ficha.php?id=1708"/>
    <hyperlink ref="AB435" r:id="rId449"/>
    <hyperlink ref="AB525" r:id="rId450" display="https://www.jivi.com.ar/ficha.php?id=1722"/>
    <hyperlink ref="AB14" r:id="rId451" display="https://www.jivi.com.ar/ficha.php?id=1723"/>
    <hyperlink ref="AB201" r:id="rId452"/>
    <hyperlink ref="AB197" r:id="rId453"/>
    <hyperlink ref="AB199" r:id="rId454"/>
    <hyperlink ref="AB198" r:id="rId455"/>
    <hyperlink ref="AB200" r:id="rId456"/>
    <hyperlink ref="AB196" r:id="rId457"/>
    <hyperlink ref="AB648" r:id="rId458"/>
    <hyperlink ref="AB650" r:id="rId459"/>
    <hyperlink ref="AB671" r:id="rId460"/>
    <hyperlink ref="AB673" r:id="rId461"/>
    <hyperlink ref="AB655" r:id="rId462"/>
    <hyperlink ref="AB612" r:id="rId463" display="https://www.jivi.com.ar/ficha.php?id=1575"/>
    <hyperlink ref="AB607" r:id="rId464" display="https://www.jivi.com.ar/ficha.php?id=1743"/>
    <hyperlink ref="AB608" r:id="rId465" display="https://www.jivi.com.ar/ficha.php?id=1744"/>
    <hyperlink ref="AB609" r:id="rId466" display="https://www.jivi.com.ar/ficha.php?id=1745"/>
    <hyperlink ref="AB580" r:id="rId467" display="https://www.jivi.com.ar/ficha.php?id=1746"/>
    <hyperlink ref="AB645" r:id="rId468"/>
    <hyperlink ref="AB523" r:id="rId469"/>
    <hyperlink ref="AB524" r:id="rId470" display="https://www.jivi.com.ar/ficha.php?id=1749"/>
    <hyperlink ref="AB569" r:id="rId471"/>
    <hyperlink ref="AB695" r:id="rId472"/>
    <hyperlink ref="AB436" r:id="rId473"/>
    <hyperlink ref="AB303" r:id="rId474" display="https://www.jivi.com.ar/ficha.php?id=1461"/>
    <hyperlink ref="AB592" r:id="rId475" display="https://www.jivi.com.ar/ficha.php?id=1776"/>
    <hyperlink ref="AB135" r:id="rId476" display="https://www.jivi.com.ar/ficha.php?id=1310"/>
    <hyperlink ref="AB490" r:id="rId477"/>
    <hyperlink ref="AB64" r:id="rId478" display="https://www.jivi.com.ar/ficha.php?id=76"/>
    <hyperlink ref="AB63" r:id="rId479"/>
    <hyperlink ref="AB61" r:id="rId480"/>
    <hyperlink ref="AB247" r:id="rId481" display="https://www.jivi.com.ar/ficha.php?id=1709"/>
    <hyperlink ref="AB617" r:id="rId482" display="https://www.jivi.com.ar/ficha.php?id=1710"/>
    <hyperlink ref="AB626" r:id="rId483"/>
    <hyperlink ref="AB629" r:id="rId484"/>
    <hyperlink ref="AB631" r:id="rId485"/>
    <hyperlink ref="AB575" r:id="rId486" display="https://www.jivi.com.ar/ficha.php?id=1293"/>
    <hyperlink ref="AB273" r:id="rId487" display="https://www.jivi.com.ar/ficha.php?id=1340"/>
    <hyperlink ref="AB277" r:id="rId488" display="https://www.jivi.com.ar/ficha.php?id=1265"/>
    <hyperlink ref="AB266" r:id="rId489" display="https://www.jivi.com.ar/ficha.php?id=1487"/>
    <hyperlink ref="AB126" r:id="rId490"/>
    <hyperlink ref="AB131" r:id="rId491"/>
    <hyperlink ref="AB127" r:id="rId492"/>
    <hyperlink ref="AB132" r:id="rId493"/>
    <hyperlink ref="AB308" r:id="rId494" display="https://www.jivi.com.ar/ficha.php?id=1447"/>
    <hyperlink ref="AB372" r:id="rId495" display="https://www.jivi.com.ar/ficha.php?id=1087"/>
    <hyperlink ref="AB492" r:id="rId496"/>
    <hyperlink ref="AB139" r:id="rId497" display="https://www.jivi.com.ar/ficha.php?id=1451"/>
    <hyperlink ref="AB270" r:id="rId498"/>
    <hyperlink ref="AB366" r:id="rId499" display="https://www.jivi.com.ar/ficha.php?id=1805"/>
    <hyperlink ref="AB327" r:id="rId500" display="https://www.jivi.com.ar/ficha.php?id=1342"/>
    <hyperlink ref="AB373" r:id="rId501" display="https://www.jivi.com.ar/ficha.php?id=1070"/>
    <hyperlink ref="AB376" r:id="rId502"/>
    <hyperlink ref="AB443" r:id="rId503" display="https://www.jivi.com.ar/ficha.php?id=1597"/>
    <hyperlink ref="AB378" r:id="rId504" display="https://www.jivi.com.ar/ficha.php?id=1131"/>
    <hyperlink ref="AB291" r:id="rId505" display="https://www.jivi.com.ar/ficha.php?id=1774"/>
    <hyperlink ref="AB421" r:id="rId506" display="https://www.jivi.com.ar/ficha.php?id=1820"/>
    <hyperlink ref="AB251" r:id="rId507" display="https://www.jivi.com.ar/ficha.php?id=1544"/>
    <hyperlink ref="AB256" r:id="rId508" display="https://www.jivi.com.ar/ficha.php?id=1533"/>
    <hyperlink ref="AF10:AH10" location="'Artículos Publicitarios'!A101" display="IR A PAGINA 2"/>
    <hyperlink ref="AB593" r:id="rId509" display="https://www.jivi.com.ar/ficha.php?id=1556"/>
    <hyperlink ref="AB610" r:id="rId510" display="https://www.jivi.com.ar/ficha.php?id=1825"/>
    <hyperlink ref="AB285" r:id="rId511" display="https://www.jivi.com.ar/ficha.php?id=1491"/>
    <hyperlink ref="AB203" r:id="rId512" display="https://www.jivi.com.ar/ficha.php?id=149"/>
    <hyperlink ref="AB293" r:id="rId513" display="https://www.jivi.com.ar/ficha.php?id=1594"/>
    <hyperlink ref="AB433" r:id="rId514"/>
    <hyperlink ref="AB210" r:id="rId515" display="https://www.jivi.com.ar/ficha.php?id=1799"/>
    <hyperlink ref="AB690" r:id="rId516"/>
    <hyperlink ref="AB691" r:id="rId517"/>
    <hyperlink ref="AB280" r:id="rId518" display="https://www.jivi.com.ar/ficha.php?id=1077"/>
    <hyperlink ref="AB352" r:id="rId519"/>
    <hyperlink ref="AB614" r:id="rId520" display="https://www.jivi.com.ar/ficha.php?id=1616"/>
    <hyperlink ref="AB261" r:id="rId521" display="https://www.jivi.com.ar/ficha.php?id=1520"/>
    <hyperlink ref="AB271" r:id="rId522"/>
    <hyperlink ref="AB310" r:id="rId523" display="https://www.jivi.com.ar/ficha.php?id=1443"/>
    <hyperlink ref="AB138" r:id="rId524" display="https://www.jivi.com.ar/ficha.php?id=1055"/>
    <hyperlink ref="AB649" r:id="rId525"/>
    <hyperlink ref="AB253" r:id="rId526" display="https://www.jivi.com.ar/ficha.php?id=1530"/>
    <hyperlink ref="AB405" r:id="rId527" display="https://www.jivi.com.ar/ficha.php?id=1379"/>
    <hyperlink ref="AB404" r:id="rId528" display="https://www.jivi.com.ar/ficha.php?id=1380"/>
    <hyperlink ref="AB367" r:id="rId529" display="https://www.jivi.com.ar/ficha.php?id=1840"/>
    <hyperlink ref="AB562" r:id="rId530" display="https://www.jivi.com.ar/ficha.php?id=1371"/>
    <hyperlink ref="AB630" r:id="rId531"/>
    <hyperlink ref="AB582" r:id="rId532" display="https://www.jivi.com.ar/ficha.php?id=1579"/>
    <hyperlink ref="AB576" r:id="rId533" display="https://www.jivi.com.ar/ficha.php?id=1138"/>
    <hyperlink ref="AB564" r:id="rId534" display="https://www.jivi.com.ar/ficha.php?id=1911"/>
    <hyperlink ref="AB566" r:id="rId535" display="https://www.jivi.com.ar/ficha.php?id=1916"/>
    <hyperlink ref="AB565" r:id="rId536" display="https://www.jivi.com.ar/ficha.php?id=1912"/>
    <hyperlink ref="AF560:AH560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18" r:id="rId537" display="https://www.jivi.com.ar/ficha.php?id=1386"/>
    <hyperlink ref="AB651" r:id="rId538"/>
    <hyperlink ref="AB384" r:id="rId539" display="https://www.jivi.com.ar/ficha.php?id=1566"/>
    <hyperlink ref="AB248" r:id="rId540" display="https://www.jivi.com.ar/ficha.php?id=1998"/>
    <hyperlink ref="AB286" r:id="rId541" display="https://www.jivi.com.ar/ficha.php?id=1411"/>
    <hyperlink ref="AB594" r:id="rId542" display="https://www.jivi.com.ar/ficha.php?id=2000"/>
    <hyperlink ref="AB598" r:id="rId543" display="https://www.jivi.com.ar/ficha.php?id=1601"/>
    <hyperlink ref="AB581" r:id="rId544" display="https://www.jivi.com.ar/ficha.php?id=1577"/>
    <hyperlink ref="AB577" r:id="rId545" display="https://www.jivi.com.ar/ficha.php?id=1245"/>
    <hyperlink ref="AB603" r:id="rId546" display="https://www.jivi.com.ar/ficha.php?id=2003"/>
    <hyperlink ref="AB257" r:id="rId547" display="https://www.jivi.com.ar/ficha.php?id=2007"/>
    <hyperlink ref="AB176" r:id="rId548" display="https://www.jivi.com.ar/ficha.php?id=1258"/>
    <hyperlink ref="AB468" r:id="rId549"/>
    <hyperlink ref="AB459" r:id="rId550"/>
    <hyperlink ref="AB424" r:id="rId551" display="https://www.jivi.com.ar/ficha.php?id=1720"/>
    <hyperlink ref="AB497" r:id="rId552"/>
    <hyperlink ref="AB250" r:id="rId553" display="https://www.jivi.com.ar/ficha.php?id=2011"/>
    <hyperlink ref="AB371" r:id="rId554"/>
    <hyperlink ref="AB570" r:id="rId555" display="https://www.jivi.com.ar/ficha.php?id=2014"/>
    <hyperlink ref="AB423" r:id="rId556" display="https://www.jivi.com.ar/ficha.php?id=2017"/>
    <hyperlink ref="AB439" r:id="rId557" display="https://www.jivi.com.ar/ficha.php?id=2018"/>
    <hyperlink ref="AB272" r:id="rId558" display="https://www.jivi.com.ar/ficha.php?id=1339"/>
    <hyperlink ref="AB290" r:id="rId559" display="https://www.jivi.com.ar/ficha.php?id=2026"/>
    <hyperlink ref="AB234" r:id="rId560" display="https://www.jivi.com.ar/ficha.php?id=335"/>
    <hyperlink ref="AB332" r:id="rId561" display="https://www.jivi.com.ar/ficha.php?id=444"/>
    <hyperlink ref="AB469" r:id="rId562"/>
    <hyperlink ref="AB470" r:id="rId563"/>
    <hyperlink ref="AB618" r:id="rId564" display="https://www.jivi.com.ar/ficha.php?id=2040"/>
    <hyperlink ref="AB687" r:id="rId565" display="https://www.jivi.com.ar/ficha.php?id=1662"/>
    <hyperlink ref="AB672" r:id="rId566" display="https://www.jivi.com.ar/ficha.php?id=2042"/>
    <hyperlink ref="AB508" r:id="rId567"/>
    <hyperlink ref="AB509" r:id="rId568"/>
    <hyperlink ref="AB512" r:id="rId569"/>
    <hyperlink ref="AF479:AH479" location="'Artículos Publicitarios'!A3" display="IR A PAGINA 1"/>
    <hyperlink ref="AB430" r:id="rId570" display="https://www.jivi.com.ar/ficha.php?id=1390"/>
    <hyperlink ref="AB393" r:id="rId571" display="https://www.jivi.com.ar/ficha.php?id=1280"/>
    <hyperlink ref="AB392" r:id="rId572" display="https://www.jivi.com.ar/ficha.php?id=1278"/>
    <hyperlink ref="AB274" r:id="rId573" display="https://www.jivi.com.ar/ficha.php?id=1256"/>
    <hyperlink ref="AB311" r:id="rId574" display="https://www.jivi.com.ar/ficha.php?id=1410"/>
    <hyperlink ref="AB315" r:id="rId575" display="https://www.jivi.com.ar/articulos.php?search=1066"/>
    <hyperlink ref="AB16" r:id="rId576" display="https://www.jivi.com.ar/ficha.php?id=1433"/>
    <hyperlink ref="AB181" r:id="rId577" display="https://www.jivi.com.ar/ficha.php?id=1416"/>
    <hyperlink ref="AB602" r:id="rId578" display="https://www.jivi.com.ar/ficha.php?id=2051"/>
    <hyperlink ref="AB173" r:id="rId579" display="https://www.jivi.com.ar/ficha.php?id=2052"/>
    <hyperlink ref="AB420" r:id="rId580"/>
    <hyperlink ref="AB262" r:id="rId581" display="https://www.jivi.com.ar/ficha.php?id=2058"/>
    <hyperlink ref="AB245" r:id="rId582" display="https://www.jivi.com.ar/ficha.php?id=971"/>
    <hyperlink ref="AB244" r:id="rId583" display="https://www.jivi.com.ar/ficha.php?id=2059"/>
    <hyperlink ref="AB686" r:id="rId584" display="https://www.jivi.com.ar/ficha.php?id=2060"/>
    <hyperlink ref="AB670" r:id="rId585" display="https://www.jivi.com.ar/ficha.php?id=2061"/>
    <hyperlink ref="AB682" r:id="rId586" display="https://www.jivi.com.ar/ficha.php?id=2062"/>
    <hyperlink ref="AB175" r:id="rId587" display="https://www.jivi.com.ar/ficha.php?id=1369"/>
    <hyperlink ref="AB206" r:id="rId588" display="https://www.jivi.com.ar/ficha.php?id=1391"/>
    <hyperlink ref="AB207" r:id="rId589" display="https://www.jivi.com.ar/ficha.php?id=2066"/>
    <hyperlink ref="AB440" r:id="rId590" display="https://www.jivi.com.ar/ficha.php?id=2067"/>
    <hyperlink ref="AB441" r:id="rId591" display="https://www.jivi.com.ar/ficha.php?id=2068"/>
    <hyperlink ref="AB568" r:id="rId592" display="https://www.jivi.com.ar/ficha.php?id=1295"/>
    <hyperlink ref="AB620" r:id="rId593" display="https://www.jivi.com.ar/ficha.php?id=2069"/>
    <hyperlink ref="AB601" r:id="rId594" display="https://www.jivi.com.ar/ficha.php?id=2070"/>
    <hyperlink ref="AB563" r:id="rId595" display="https://www.jivi.com.ar/ficha.php?id=2083"/>
    <hyperlink ref="AB178" r:id="rId596" display="https://www.jivi.com.ar/ficha.php?id=1266"/>
    <hyperlink ref="AB183" r:id="rId597" display="https://www.jivi.com.ar/ficha.php?id=2084"/>
    <hyperlink ref="AB177" r:id="rId598" display="https://www.jivi.com.ar/ficha.php?id=2085"/>
    <hyperlink ref="AB184" r:id="rId599" display="https://www.jivi.com.ar/ficha.php?id=1001"/>
    <hyperlink ref="AB103" r:id="rId600" display="https://www.jivi.com.ar/ficha.php?id=333"/>
    <hyperlink ref="AB442" r:id="rId601" display="https://www.jivi.com.ar/ficha.php?id=1512"/>
    <hyperlink ref="AB444" r:id="rId602" display="https://www.jivi.com.ar/ficha.php?id=1786"/>
    <hyperlink ref="AB370" r:id="rId603" display="https://www.jivi.com.ar/ficha.php?id=1299"/>
    <hyperlink ref="AB619" r:id="rId604" display="https://www.jivi.com.ar/ficha.php?id=2097"/>
    <hyperlink ref="AB445" r:id="rId605" display="https://www.jivi.com.ar/ficha.php?id=2101"/>
    <hyperlink ref="AB513" r:id="rId606"/>
    <hyperlink ref="AB514" r:id="rId607"/>
    <hyperlink ref="AB180" r:id="rId608" display="https://www.jivi.com.ar/ficha.php?id=2142"/>
    <hyperlink ref="AB263" r:id="rId609" display="https://www.jivi.com.ar/ficha.php?id=2147"/>
    <hyperlink ref="AB264" r:id="rId610" display="https://www.jivi.com.ar/ficha.php?id=2146"/>
    <hyperlink ref="AB330" r:id="rId611" display="https://www.jivi.com.ar/ficha.php?id=1403"/>
    <hyperlink ref="AF17:AJ17" location="'Artículos Publicitarios'!A313" display="IR A BOTELLAS Y JARROS"/>
    <hyperlink ref="AB464" r:id="rId612"/>
    <hyperlink ref="AB465" r:id="rId613"/>
    <hyperlink ref="AB466" r:id="rId614"/>
    <hyperlink ref="AB313" r:id="rId615" display="https://www.jivi.com.ar/ficha.php?id=2178"/>
    <hyperlink ref="AB11" r:id="rId616" display="https://www.jivi.com.ar/ficha.php?id=2105"/>
    <hyperlink ref="AB289" r:id="rId617" display="https://www.jivi.com.ar/ficha.php?id=2224"/>
    <hyperlink ref="AB390" r:id="rId618" display="https://www.jivi.com.ar/ficha.php?id=1279"/>
    <hyperlink ref="AB481" r:id="rId619"/>
    <hyperlink ref="AB600" r:id="rId620" display="https://www.jivi.com.ar/ficha.php?id=2231"/>
    <hyperlink ref="AB578" r:id="rId621" display="https://www.jivi.com.ar/ficha.php?id=2230"/>
    <hyperlink ref="AB537" r:id="rId622" display="https://www.jivi.com.ar/ficha.php?id=1435"/>
    <hyperlink ref="AB307" r:id="rId623" display="https://www.jivi.com.ar/ficha.php?id=2227"/>
    <hyperlink ref="AB288" r:id="rId624" display="https://www.jivi.com.ar/ficha.php?id=2225"/>
    <hyperlink ref="AB62" r:id="rId625"/>
    <hyperlink ref="AB401" r:id="rId626"/>
    <hyperlink ref="AB15" r:id="rId627" display="https://www.jivi.com.ar/ficha.php?id=2222"/>
    <hyperlink ref="AB221" r:id="rId628" display="https://www.jivi.com.ar/ficha.php?id=2226"/>
    <hyperlink ref="AB627" r:id="rId629"/>
    <hyperlink ref="AB120" r:id="rId630"/>
    <hyperlink ref="AB121" r:id="rId631"/>
    <hyperlink ref="AB122" r:id="rId632"/>
    <hyperlink ref="AB110" r:id="rId633" display="https://www.jivi.com.ar/ficha.php?id=2208"/>
    <hyperlink ref="AB111" r:id="rId634"/>
    <hyperlink ref="AB112" r:id="rId635" display="https://www.jivi.com.ar/ficha.php?id=2210"/>
    <hyperlink ref="AB113" r:id="rId636"/>
    <hyperlink ref="AB114" r:id="rId637" display="https://www.jivi.com.ar/ficha.php?id=2212"/>
    <hyperlink ref="AB115" r:id="rId638"/>
    <hyperlink ref="AB116" r:id="rId639" display="https://www.jivi.com.ar/ficha.php?id=2214"/>
    <hyperlink ref="AB118" r:id="rId640" display="https://www.jivi.com.ar/ficha.php?id=2215"/>
    <hyperlink ref="AB119" r:id="rId641"/>
    <hyperlink ref="AB243" r:id="rId642" display="https://www.jivi.com.ar/ficha.php?id=2233"/>
    <hyperlink ref="AB613" r:id="rId643" display="https://www.jivi.com.ar/ficha.php?id=2234"/>
  </hyperlinks>
  <pageMargins left="0.27559055118110237" right="0.11811023622047245" top="0.19685039370078741" bottom="0.15748031496062992" header="0.11811023622047245" footer="0.15748031496062992"/>
  <pageSetup paperSize="5" orientation="portrait" copies="5" r:id="rId644"/>
  <headerFooter alignWithMargins="0"/>
  <cellWatches>
    <cellWatch r="X8"/>
  </cellWatches>
  <ignoredErrors>
    <ignoredError sqref="AB645 AB655 AB688:AB689 AB683:AB685 AB671:AB672 AB673" numberStoredAsText="1"/>
    <ignoredError sqref="X639 B27:E27 C26:E26 A208:E208 A104:E105 H396:Q396 C28:E28 H652:L654 G281 G283 G316:W316 U31 S39:S40 S36 U36 U39:U40 S42 U42 S48 U48 F519:T519 W515 G355:G357 V92:W93 F82:I89 F91:I91 F90:I90 Q106 I57:I59 U106 S106 J81:J91 B276:E276 W554:W555 G95:G99 H354:J358 G81:I81 H374:J374 H94:W94 J10:K10 X217:X219 J12:K12 X11 F517 G540 G546:G548 H140 O108:O109 S108:S109 Q108:Q109 U108:U109 X447 G275:G276 V28:V29 S31 H31:M31 H29:I29 U22:V24 G364:J365 G379:J382 H377:J377 G304:G306 O31 Q31 H30 I193:M193 I192:M192 I191:M191 I194:M194 H191:H194 P228:W228 P227 I13 W457 H554:I555 K554:K555 U554:U555 S554:S555 Q554:Q555 O554:O555 M554:M555 G267:G270 G297:G302 H367:K367 G309:G310 G345:H345 K347:K349 G350:K351 K353:K358 Q360 R360:W360 G391:K391 K373:K382 G447:G451 W196 W201 P219:W219 G294:G295 G383:K383 J384:K384 N95:W95 G258:G259 G368:K369 G176 G452:K452 G389 F606:G606 G605 G424:G427 F591:G593 G430 G287 H19:T19 G69 G174 F218:W218 K219 F443:G443 F604:G604 G603 F599:G599 F614:G614 G607:G611 G615:G617 G339:H339 H688:I688 F251:G252 I332:V333 F413:G415 B579:E579 G101:G102 F619:G619 B587:G587 B585:E585 B586:E586 G246:G250 G445 W64 H150:W151 H154:V155 W57 N30:W30 H22:T25 H26:J28 G488 H95:I102 J96:W102 K95:M95 G103:V105 I135:V135 W188 H173:V189 G230:G233 H226:I226 G215:V216 H214:M214 G213:G214 H213:V213 N214:V214 L196:V201 H197:K201 H196:K196 G196:G201 G202:V205 G208:V212 N191:V194 G206:W207 H190:W190 O228 G229:V229 G227:N228 G195:V195 H172:N172 G460:G463 G291:G292 W323:W326 I334:K346 I331 K331:W331 K361:K366 K370:K371 H385:K388 K392 L334:V358 L361:V388 H462:W462 F418:G418 G359:W359 G360:P360 H405:W441 U447:V449 T447:T448 H448:L448 N448 P447:P448 R447:R448 H447:N447 H442:V443 G515:G518 G507:G512 H488:V518 G566 G563:H565 B580:E580 B581:G581 B582:G582 B583:G583 I563:V570 I571 G562:V562 H579:I579 L579:V579 I572:V576 L571:V571 H523:W524 W645 W648:W649 H645:V649 G650:V650 G655:W655 W670 F671:G672 O656:V664 G683:I687 G680:V682 H696:T700 F695:G700 H689:V695 J683:V688 G453:V456 H464:V467 G468:W468 H17:H18 L10:V13 H20:W21 K26:T29 W53 G54:I56 G52:V53 H63:V69 G217 I217:V217 M219 O219 H168:V171 M448:M449 O447:O449 Q447:Q449 S447:S449 H449:K451 V450:V452 G579:G580 G577:V577 H566:H575 W313 B584:E584 G584:G586 G673 G419 G597:G598 H14:V14 H15:T16 G219:I225 J220:W226 J289:W289 H323:V327 H403:V404 G416:G417 G542:G544 H538:V548 H651:W651 H308:V312 L390:V392 G628:V636 H578:V578 G525:V536 H537:W537 H230:V234 H290:V306 H307:W307 J288:V288 G626:V626 I627:V627 J54:V61 H61:I61 I62:V62 I138:V140 O136 M136 Q136 S136 U136 I136:K137 F329:V329 H328:S328 H670:V679 G457:G458 H457:V460 F595:G596 G594 I134:Q134 H161:V162 H241:V271 F321:V322 K401:V402 G549:V553 H614:V620 H580:V612 F612:G612 H613:V613 H272:V287 I235:V235 H313:V313 H314:V315 L393:V393 K393 K394:V395 H444:V446 H461:O461 H463:O463 J474:V475 F481:V481 H153:O153 H152:O152 Q152:W152 Q153:W153" formula="1"/>
    <ignoredError sqref="G375" evalError="1"/>
    <ignoredError sqref="H375:J375" evalError="1" formula="1"/>
  </ignoredErrors>
  <drawing r:id="rId645"/>
  <legacyDrawing r:id="rId6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2025-05-02T15:55:39Z</cp:lastPrinted>
  <dcterms:created xsi:type="dcterms:W3CDTF">2003-01-03T20:20:32Z</dcterms:created>
  <dcterms:modified xsi:type="dcterms:W3CDTF">2025-05-02T18:32:13Z</dcterms:modified>
</cp:coreProperties>
</file>