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codeName="ThisWorkbook"/>
  <mc:AlternateContent xmlns:mc="http://schemas.openxmlformats.org/markup-compatibility/2006">
    <mc:Choice Requires="x15">
      <x15ac:absPath xmlns:x15ac="http://schemas.microsoft.com/office/spreadsheetml/2010/11/ac" url="G:\Mi unidad\Listas Merchandising 2025\"/>
    </mc:Choice>
  </mc:AlternateContent>
  <bookViews>
    <workbookView xWindow="0" yWindow="0" windowWidth="11265" windowHeight="8085"/>
  </bookViews>
  <sheets>
    <sheet name="Artículos Publicitarios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6" i="1" l="1"/>
  <c r="N177" i="1"/>
  <c r="O177" i="1" s="1"/>
  <c r="R177" i="1" l="1"/>
  <c r="S177" i="1" s="1"/>
  <c r="G177" i="1"/>
  <c r="H177" i="1"/>
  <c r="I177" i="1" s="1"/>
  <c r="T177" i="1"/>
  <c r="U177" i="1" s="1"/>
  <c r="J177" i="1"/>
  <c r="K177" i="1" s="1"/>
  <c r="V177" i="1"/>
  <c r="W177" i="1" s="1"/>
  <c r="L177" i="1"/>
  <c r="M177" i="1" s="1"/>
  <c r="P177" i="1"/>
  <c r="Q177" i="1" s="1"/>
  <c r="W118" i="1"/>
  <c r="U118" i="1"/>
  <c r="S118" i="1"/>
  <c r="Q118" i="1"/>
  <c r="O118" i="1"/>
  <c r="W117" i="1"/>
  <c r="U117" i="1"/>
  <c r="S117" i="1"/>
  <c r="Q117" i="1"/>
  <c r="O117" i="1"/>
  <c r="W116" i="1"/>
  <c r="W115" i="1"/>
  <c r="W114" i="1"/>
  <c r="W113" i="1"/>
  <c r="U116" i="1"/>
  <c r="U115" i="1"/>
  <c r="U114" i="1"/>
  <c r="U113" i="1"/>
  <c r="S116" i="1"/>
  <c r="S115" i="1"/>
  <c r="S114" i="1"/>
  <c r="S113" i="1"/>
  <c r="Q116" i="1"/>
  <c r="Q115" i="1"/>
  <c r="Q114" i="1"/>
  <c r="Q113" i="1"/>
  <c r="O116" i="1"/>
  <c r="O115" i="1"/>
  <c r="O114" i="1"/>
  <c r="O113" i="1"/>
  <c r="V25" i="1" l="1"/>
  <c r="W25" i="1" s="1"/>
  <c r="T25" i="1"/>
  <c r="U25" i="1" s="1"/>
  <c r="R25" i="1"/>
  <c r="S25" i="1" s="1"/>
  <c r="P25" i="1"/>
  <c r="Q25" i="1" s="1"/>
  <c r="N25" i="1"/>
  <c r="O25" i="1" s="1"/>
  <c r="L25" i="1"/>
  <c r="M25" i="1" s="1"/>
  <c r="J25" i="1"/>
  <c r="K25" i="1" s="1"/>
  <c r="F384" i="1" l="1"/>
  <c r="F514" i="1"/>
  <c r="F635" i="1"/>
  <c r="F608" i="1"/>
  <c r="F271" i="1"/>
  <c r="F207" i="1"/>
  <c r="J65" i="1" l="1"/>
  <c r="L65" i="1"/>
  <c r="N65" i="1"/>
  <c r="P65" i="1"/>
  <c r="R65" i="1"/>
  <c r="T65" i="1"/>
  <c r="V65" i="1"/>
  <c r="F466" i="1" l="1"/>
  <c r="P466" i="1" s="1"/>
  <c r="Q466" i="1" s="1"/>
  <c r="R466" i="1" l="1"/>
  <c r="S466" i="1" s="1"/>
  <c r="T466" i="1"/>
  <c r="U466" i="1" s="1"/>
  <c r="V466" i="1"/>
  <c r="W466" i="1" s="1"/>
  <c r="G466" i="1"/>
  <c r="N466" i="1"/>
  <c r="O466" i="1" s="1"/>
  <c r="F643" i="1"/>
  <c r="F620" i="1"/>
  <c r="F215" i="1" l="1"/>
  <c r="G215" i="1" l="1"/>
  <c r="L215" i="1"/>
  <c r="M215" i="1" s="1"/>
  <c r="J215" i="1"/>
  <c r="K215" i="1" s="1"/>
  <c r="N215" i="1"/>
  <c r="O215" i="1" s="1"/>
  <c r="T215" i="1"/>
  <c r="U215" i="1" s="1"/>
  <c r="P215" i="1"/>
  <c r="Q215" i="1" s="1"/>
  <c r="R215" i="1"/>
  <c r="S215" i="1" s="1"/>
  <c r="V215" i="1"/>
  <c r="W215" i="1" s="1"/>
  <c r="H673" i="1"/>
  <c r="H672" i="1"/>
  <c r="H669" i="1"/>
  <c r="F667" i="1"/>
  <c r="H667" i="1" s="1"/>
  <c r="I667" i="1" s="1"/>
  <c r="G231" i="1"/>
  <c r="F465" i="1"/>
  <c r="P465" i="1" s="1"/>
  <c r="Q465" i="1" s="1"/>
  <c r="F464" i="1"/>
  <c r="N464" i="1" s="1"/>
  <c r="O464" i="1" s="1"/>
  <c r="F463" i="1"/>
  <c r="V463" i="1" s="1"/>
  <c r="W463" i="1" s="1"/>
  <c r="F462" i="1"/>
  <c r="V462" i="1" s="1"/>
  <c r="W462" i="1" s="1"/>
  <c r="F461" i="1"/>
  <c r="N461" i="1" s="1"/>
  <c r="O461" i="1" s="1"/>
  <c r="F460" i="1"/>
  <c r="G460" i="1" s="1"/>
  <c r="G594" i="1"/>
  <c r="N594" i="1"/>
  <c r="O594" i="1" s="1"/>
  <c r="J667" i="1" l="1"/>
  <c r="K667" i="1" s="1"/>
  <c r="L667" i="1"/>
  <c r="M667" i="1" s="1"/>
  <c r="N667" i="1"/>
  <c r="O667" i="1" s="1"/>
  <c r="T667" i="1"/>
  <c r="U667" i="1" s="1"/>
  <c r="P667" i="1"/>
  <c r="Q667" i="1" s="1"/>
  <c r="R667" i="1"/>
  <c r="S667" i="1" s="1"/>
  <c r="V667" i="1"/>
  <c r="W667" i="1" s="1"/>
  <c r="G465" i="1"/>
  <c r="R465" i="1"/>
  <c r="S465" i="1" s="1"/>
  <c r="T465" i="1"/>
  <c r="U465" i="1" s="1"/>
  <c r="V465" i="1"/>
  <c r="W465" i="1" s="1"/>
  <c r="N465" i="1"/>
  <c r="O465" i="1" s="1"/>
  <c r="N460" i="1"/>
  <c r="O460" i="1" s="1"/>
  <c r="R460" i="1"/>
  <c r="S460" i="1" s="1"/>
  <c r="V460" i="1"/>
  <c r="W460" i="1" s="1"/>
  <c r="P460" i="1"/>
  <c r="Q460" i="1" s="1"/>
  <c r="T460" i="1"/>
  <c r="U460" i="1" s="1"/>
  <c r="P464" i="1"/>
  <c r="Q464" i="1" s="1"/>
  <c r="R464" i="1"/>
  <c r="S464" i="1" s="1"/>
  <c r="V464" i="1"/>
  <c r="W464" i="1" s="1"/>
  <c r="G464" i="1"/>
  <c r="T464" i="1"/>
  <c r="U464" i="1" s="1"/>
  <c r="R463" i="1"/>
  <c r="S463" i="1" s="1"/>
  <c r="P463" i="1"/>
  <c r="Q463" i="1" s="1"/>
  <c r="N463" i="1"/>
  <c r="O463" i="1" s="1"/>
  <c r="T463" i="1"/>
  <c r="U463" i="1" s="1"/>
  <c r="G463" i="1"/>
  <c r="T462" i="1"/>
  <c r="U462" i="1" s="1"/>
  <c r="G462" i="1"/>
  <c r="N462" i="1"/>
  <c r="O462" i="1" s="1"/>
  <c r="P462" i="1"/>
  <c r="Q462" i="1" s="1"/>
  <c r="R462" i="1"/>
  <c r="S462" i="1" s="1"/>
  <c r="G461" i="1"/>
  <c r="P461" i="1"/>
  <c r="Q461" i="1" s="1"/>
  <c r="R461" i="1"/>
  <c r="S461" i="1" s="1"/>
  <c r="T461" i="1"/>
  <c r="U461" i="1" s="1"/>
  <c r="V461" i="1"/>
  <c r="W461" i="1" s="1"/>
  <c r="R594" i="1"/>
  <c r="S594" i="1" s="1"/>
  <c r="T594" i="1"/>
  <c r="U594" i="1" s="1"/>
  <c r="V594" i="1"/>
  <c r="W594" i="1" s="1"/>
  <c r="P594" i="1"/>
  <c r="Q594" i="1" s="1"/>
  <c r="F606" i="1"/>
  <c r="V650" i="1"/>
  <c r="W650" i="1" s="1"/>
  <c r="T650" i="1"/>
  <c r="U650" i="1" s="1"/>
  <c r="R650" i="1"/>
  <c r="S650" i="1" s="1"/>
  <c r="P650" i="1"/>
  <c r="Q650" i="1" s="1"/>
  <c r="N650" i="1"/>
  <c r="O650" i="1" s="1"/>
  <c r="L650" i="1"/>
  <c r="M650" i="1" s="1"/>
  <c r="G650" i="1"/>
  <c r="V649" i="1"/>
  <c r="W649" i="1" s="1"/>
  <c r="T649" i="1"/>
  <c r="U649" i="1" s="1"/>
  <c r="R649" i="1"/>
  <c r="S649" i="1" s="1"/>
  <c r="P649" i="1"/>
  <c r="Q649" i="1" s="1"/>
  <c r="N649" i="1"/>
  <c r="O649" i="1" s="1"/>
  <c r="L649" i="1"/>
  <c r="M649" i="1" s="1"/>
  <c r="G649" i="1"/>
  <c r="V647" i="1"/>
  <c r="W647" i="1" s="1"/>
  <c r="T647" i="1"/>
  <c r="U647" i="1" s="1"/>
  <c r="R647" i="1"/>
  <c r="S647" i="1" s="1"/>
  <c r="P647" i="1"/>
  <c r="Q647" i="1" s="1"/>
  <c r="N647" i="1"/>
  <c r="O647" i="1" s="1"/>
  <c r="L647" i="1"/>
  <c r="M647" i="1" s="1"/>
  <c r="G647" i="1"/>
  <c r="V646" i="1"/>
  <c r="W646" i="1" s="1"/>
  <c r="T646" i="1"/>
  <c r="U646" i="1" s="1"/>
  <c r="R646" i="1"/>
  <c r="S646" i="1" s="1"/>
  <c r="P646" i="1"/>
  <c r="Q646" i="1" s="1"/>
  <c r="N646" i="1"/>
  <c r="O646" i="1" s="1"/>
  <c r="L646" i="1"/>
  <c r="M646" i="1" s="1"/>
  <c r="G646" i="1"/>
  <c r="V645" i="1"/>
  <c r="W645" i="1" s="1"/>
  <c r="T645" i="1"/>
  <c r="U645" i="1" s="1"/>
  <c r="R645" i="1"/>
  <c r="S645" i="1" s="1"/>
  <c r="P645" i="1"/>
  <c r="Q645" i="1" s="1"/>
  <c r="N645" i="1"/>
  <c r="O645" i="1" s="1"/>
  <c r="L645" i="1"/>
  <c r="M645" i="1" s="1"/>
  <c r="G645" i="1"/>
  <c r="F745" i="1"/>
  <c r="F743" i="1"/>
  <c r="F728" i="1"/>
  <c r="F658" i="1" l="1"/>
  <c r="F655" i="1"/>
  <c r="F652" i="1"/>
  <c r="F651" i="1"/>
  <c r="F613" i="1"/>
  <c r="F588" i="1"/>
  <c r="F565" i="1"/>
  <c r="F550" i="1"/>
  <c r="F549" i="1"/>
  <c r="F548" i="1"/>
  <c r="F541" i="1"/>
  <c r="F515" i="1"/>
  <c r="F505" i="1"/>
  <c r="F504" i="1"/>
  <c r="F484" i="1"/>
  <c r="F458" i="1"/>
  <c r="F450" i="1"/>
  <c r="F449" i="1"/>
  <c r="F448" i="1"/>
  <c r="F447" i="1"/>
  <c r="F446" i="1"/>
  <c r="F443" i="1"/>
  <c r="F442" i="1"/>
  <c r="F441" i="1"/>
  <c r="F440" i="1"/>
  <c r="F435" i="1"/>
  <c r="F434" i="1"/>
  <c r="F432" i="1"/>
  <c r="F431" i="1"/>
  <c r="F430" i="1"/>
  <c r="F427" i="1"/>
  <c r="F428" i="1"/>
  <c r="F425" i="1"/>
  <c r="F423" i="1"/>
  <c r="F422" i="1"/>
  <c r="F421" i="1"/>
  <c r="F418" i="1"/>
  <c r="F417" i="1"/>
  <c r="F416" i="1"/>
  <c r="F415" i="1"/>
  <c r="F414" i="1"/>
  <c r="F413" i="1"/>
  <c r="F409" i="1"/>
  <c r="F408" i="1"/>
  <c r="F407" i="1"/>
  <c r="F406" i="1"/>
  <c r="F405" i="1"/>
  <c r="F404" i="1"/>
  <c r="F390" i="1"/>
  <c r="F389" i="1"/>
  <c r="F388" i="1"/>
  <c r="F387" i="1"/>
  <c r="F386" i="1"/>
  <c r="F383" i="1"/>
  <c r="F382" i="1"/>
  <c r="F381" i="1"/>
  <c r="F380" i="1"/>
  <c r="F379" i="1"/>
  <c r="F378" i="1"/>
  <c r="F376" i="1"/>
  <c r="F288" i="1"/>
  <c r="F286" i="1"/>
  <c r="F63" i="1"/>
  <c r="F280" i="1"/>
  <c r="F277" i="1"/>
  <c r="F276" i="1"/>
  <c r="F274" i="1"/>
  <c r="F273" i="1"/>
  <c r="F268" i="1"/>
  <c r="F266" i="1"/>
  <c r="F258" i="1"/>
  <c r="F256" i="1"/>
  <c r="F255" i="1"/>
  <c r="F252" i="1"/>
  <c r="F251" i="1"/>
  <c r="F249" i="1"/>
  <c r="F247" i="1"/>
  <c r="F244" i="1"/>
  <c r="F211" i="1"/>
  <c r="F205" i="1"/>
  <c r="F206" i="1"/>
  <c r="F139" i="1"/>
  <c r="F138" i="1"/>
  <c r="F161" i="1"/>
  <c r="F155" i="1"/>
  <c r="F168" i="1"/>
  <c r="F372" i="1"/>
  <c r="F371" i="1"/>
  <c r="F370" i="1"/>
  <c r="F369" i="1"/>
  <c r="F368" i="1"/>
  <c r="F365" i="1"/>
  <c r="F364" i="1"/>
  <c r="F366" i="1"/>
  <c r="F367" i="1"/>
  <c r="F363" i="1"/>
  <c r="F362" i="1"/>
  <c r="F361" i="1"/>
  <c r="F360" i="1"/>
  <c r="F359" i="1"/>
  <c r="F357" i="1"/>
  <c r="F358" i="1"/>
  <c r="F356" i="1"/>
  <c r="F355" i="1"/>
  <c r="F354" i="1"/>
  <c r="F353" i="1"/>
  <c r="F352" i="1"/>
  <c r="F345" i="1"/>
  <c r="F351" i="1"/>
  <c r="F304" i="1"/>
  <c r="F299" i="1"/>
  <c r="F298" i="1"/>
  <c r="F292" i="1"/>
  <c r="P292" i="1" s="1"/>
  <c r="Q292" i="1" s="1"/>
  <c r="F294" i="1"/>
  <c r="G294" i="1" s="1"/>
  <c r="N292" i="1" l="1"/>
  <c r="O292" i="1" s="1"/>
  <c r="R292" i="1"/>
  <c r="S292" i="1" s="1"/>
  <c r="G292" i="1"/>
  <c r="H292" i="1"/>
  <c r="I292" i="1" s="1"/>
  <c r="T292" i="1"/>
  <c r="U292" i="1" s="1"/>
  <c r="J292" i="1"/>
  <c r="K292" i="1" s="1"/>
  <c r="V292" i="1"/>
  <c r="W292" i="1" s="1"/>
  <c r="L292" i="1"/>
  <c r="M292" i="1" s="1"/>
  <c r="V294" i="1" l="1"/>
  <c r="W294" i="1" s="1"/>
  <c r="T294" i="1"/>
  <c r="U294" i="1" s="1"/>
  <c r="R294" i="1"/>
  <c r="S294" i="1" s="1"/>
  <c r="P294" i="1"/>
  <c r="Q294" i="1" s="1"/>
  <c r="N294" i="1"/>
  <c r="O294" i="1" s="1"/>
  <c r="L294" i="1"/>
  <c r="M294" i="1" s="1"/>
  <c r="J294" i="1"/>
  <c r="K294" i="1" s="1"/>
  <c r="H294" i="1"/>
  <c r="I294" i="1" s="1"/>
  <c r="F633" i="1" l="1"/>
  <c r="F632" i="1"/>
  <c r="F630" i="1"/>
  <c r="F628" i="1"/>
  <c r="F627" i="1"/>
  <c r="F626" i="1"/>
  <c r="F624" i="1"/>
  <c r="F623" i="1"/>
  <c r="F618" i="1"/>
  <c r="F622" i="1"/>
  <c r="F621" i="1"/>
  <c r="F619" i="1"/>
  <c r="F631" i="1"/>
  <c r="F14" i="1"/>
  <c r="R149" i="1" l="1"/>
  <c r="P149" i="1"/>
  <c r="V154" i="1"/>
  <c r="W154" i="1" s="1"/>
  <c r="T154" i="1"/>
  <c r="U154" i="1" s="1"/>
  <c r="R154" i="1"/>
  <c r="S154" i="1" s="1"/>
  <c r="P154" i="1"/>
  <c r="Q154" i="1" s="1"/>
  <c r="N154" i="1"/>
  <c r="O154" i="1" s="1"/>
  <c r="L154" i="1"/>
  <c r="M154" i="1" s="1"/>
  <c r="J154" i="1"/>
  <c r="K154" i="1" s="1"/>
  <c r="V153" i="1"/>
  <c r="W153" i="1" s="1"/>
  <c r="T153" i="1"/>
  <c r="U153" i="1" s="1"/>
  <c r="R153" i="1"/>
  <c r="S153" i="1" s="1"/>
  <c r="P153" i="1"/>
  <c r="Q153" i="1" s="1"/>
  <c r="N153" i="1"/>
  <c r="O153" i="1" s="1"/>
  <c r="L153" i="1"/>
  <c r="M153" i="1" s="1"/>
  <c r="J153" i="1"/>
  <c r="K153" i="1" s="1"/>
  <c r="P150" i="1"/>
  <c r="T150" i="1"/>
  <c r="V150" i="1"/>
  <c r="R150" i="1"/>
  <c r="N150" i="1"/>
  <c r="L150" i="1"/>
  <c r="J150" i="1"/>
  <c r="N149" i="1"/>
  <c r="L149" i="1"/>
  <c r="J149" i="1"/>
  <c r="T149" i="1"/>
  <c r="V149" i="1"/>
  <c r="V224" i="1" l="1"/>
  <c r="W224" i="1" s="1"/>
  <c r="T224" i="1"/>
  <c r="U224" i="1" s="1"/>
  <c r="R224" i="1"/>
  <c r="S224" i="1" s="1"/>
  <c r="P224" i="1"/>
  <c r="Q224" i="1" s="1"/>
  <c r="N224" i="1"/>
  <c r="O224" i="1" s="1"/>
  <c r="G224" i="1"/>
  <c r="V223" i="1"/>
  <c r="W223" i="1" s="1"/>
  <c r="T223" i="1"/>
  <c r="U223" i="1" s="1"/>
  <c r="R223" i="1"/>
  <c r="S223" i="1" s="1"/>
  <c r="P223" i="1"/>
  <c r="Q223" i="1" s="1"/>
  <c r="F344" i="1"/>
  <c r="N344" i="1" s="1"/>
  <c r="F174" i="1"/>
  <c r="P344" i="1" l="1"/>
  <c r="R344" i="1"/>
  <c r="L344" i="1"/>
  <c r="J344" i="1"/>
  <c r="F173" i="1"/>
  <c r="V173" i="1" s="1"/>
  <c r="W173" i="1" s="1"/>
  <c r="L173" i="1" l="1"/>
  <c r="M173" i="1" s="1"/>
  <c r="R173" i="1"/>
  <c r="S173" i="1" s="1"/>
  <c r="N173" i="1"/>
  <c r="O173" i="1" s="1"/>
  <c r="P173" i="1"/>
  <c r="Q173" i="1" s="1"/>
  <c r="G173" i="1"/>
  <c r="H173" i="1"/>
  <c r="I173" i="1" s="1"/>
  <c r="T173" i="1"/>
  <c r="U173" i="1" s="1"/>
  <c r="J173" i="1"/>
  <c r="K173" i="1" s="1"/>
  <c r="F402" i="1" l="1"/>
  <c r="G402" i="1" s="1"/>
  <c r="L402" i="1" l="1"/>
  <c r="M402" i="1" s="1"/>
  <c r="N402" i="1"/>
  <c r="O402" i="1" s="1"/>
  <c r="P402" i="1"/>
  <c r="Q402" i="1" s="1"/>
  <c r="R402" i="1"/>
  <c r="S402" i="1" s="1"/>
  <c r="T402" i="1"/>
  <c r="U402" i="1" s="1"/>
  <c r="V402" i="1"/>
  <c r="W402" i="1" s="1"/>
  <c r="F424" i="1"/>
  <c r="F350" i="1"/>
  <c r="F393" i="1"/>
  <c r="F394" i="1"/>
  <c r="F410" i="1"/>
  <c r="F172" i="1"/>
  <c r="F184" i="1"/>
  <c r="F183" i="1"/>
  <c r="F181" i="1"/>
  <c r="F444" i="1"/>
  <c r="F419" i="1"/>
  <c r="F445" i="1"/>
  <c r="F420" i="1"/>
  <c r="F327" i="1" l="1"/>
  <c r="L327" i="1" s="1"/>
  <c r="M327" i="1" s="1"/>
  <c r="F308" i="1"/>
  <c r="F307" i="1"/>
  <c r="F341" i="1"/>
  <c r="F295" i="1"/>
  <c r="J295" i="1" s="1"/>
  <c r="K295" i="1" s="1"/>
  <c r="F315" i="1"/>
  <c r="F330" i="1"/>
  <c r="F742" i="1"/>
  <c r="F377" i="1"/>
  <c r="N327" i="1" l="1"/>
  <c r="O327" i="1" s="1"/>
  <c r="P327" i="1"/>
  <c r="Q327" i="1" s="1"/>
  <c r="V327" i="1"/>
  <c r="W327" i="1" s="1"/>
  <c r="J327" i="1"/>
  <c r="K327" i="1" s="1"/>
  <c r="T327" i="1"/>
  <c r="U327" i="1" s="1"/>
  <c r="R327" i="1"/>
  <c r="S327" i="1" s="1"/>
  <c r="G327" i="1"/>
  <c r="H327" i="1"/>
  <c r="I327" i="1" s="1"/>
  <c r="G295" i="1"/>
  <c r="L295" i="1"/>
  <c r="M295" i="1" s="1"/>
  <c r="N295" i="1"/>
  <c r="O295" i="1" s="1"/>
  <c r="P295" i="1"/>
  <c r="Q295" i="1" s="1"/>
  <c r="V295" i="1"/>
  <c r="W295" i="1" s="1"/>
  <c r="R295" i="1"/>
  <c r="S295" i="1" s="1"/>
  <c r="H295" i="1"/>
  <c r="I295" i="1" s="1"/>
  <c r="T295" i="1"/>
  <c r="U295" i="1" s="1"/>
  <c r="F657" i="1" l="1"/>
  <c r="P657" i="1" s="1"/>
  <c r="Q657" i="1" s="1"/>
  <c r="F328" i="1"/>
  <c r="F175" i="1"/>
  <c r="F600" i="1"/>
  <c r="F601" i="1"/>
  <c r="F625" i="1"/>
  <c r="F337" i="1"/>
  <c r="F610" i="1"/>
  <c r="F634" i="1"/>
  <c r="F336" i="1"/>
  <c r="F603" i="1"/>
  <c r="F321" i="1"/>
  <c r="F322" i="1"/>
  <c r="F323" i="1"/>
  <c r="F439" i="1"/>
  <c r="F401" i="1"/>
  <c r="F395" i="1"/>
  <c r="F375" i="1"/>
  <c r="F254" i="1"/>
  <c r="F609" i="1"/>
  <c r="F712" i="1"/>
  <c r="F710" i="1"/>
  <c r="F426" i="1"/>
  <c r="F612" i="1"/>
  <c r="F611" i="1"/>
  <c r="F300" i="1"/>
  <c r="F436" i="1"/>
  <c r="F326" i="1"/>
  <c r="F332" i="1"/>
  <c r="L332" i="1" s="1"/>
  <c r="M332" i="1" s="1"/>
  <c r="F335" i="1"/>
  <c r="F331" i="1"/>
  <c r="P331" i="1" s="1"/>
  <c r="Q331" i="1" s="1"/>
  <c r="F324" i="1"/>
  <c r="P332" i="1" l="1"/>
  <c r="Q332" i="1" s="1"/>
  <c r="G657" i="1"/>
  <c r="H657" i="1"/>
  <c r="I657" i="1" s="1"/>
  <c r="J657" i="1"/>
  <c r="K657" i="1" s="1"/>
  <c r="L657" i="1"/>
  <c r="M657" i="1" s="1"/>
  <c r="R657" i="1"/>
  <c r="S657" i="1" s="1"/>
  <c r="T657" i="1"/>
  <c r="U657" i="1" s="1"/>
  <c r="V657" i="1"/>
  <c r="W657" i="1" s="1"/>
  <c r="N657" i="1"/>
  <c r="O657" i="1" s="1"/>
  <c r="R332" i="1"/>
  <c r="S332" i="1" s="1"/>
  <c r="T332" i="1"/>
  <c r="U332" i="1" s="1"/>
  <c r="N332" i="1"/>
  <c r="O332" i="1" s="1"/>
  <c r="G332" i="1"/>
  <c r="H332" i="1"/>
  <c r="I332" i="1" s="1"/>
  <c r="J332" i="1"/>
  <c r="K332" i="1" s="1"/>
  <c r="V332" i="1"/>
  <c r="W332" i="1" s="1"/>
  <c r="T331" i="1"/>
  <c r="U331" i="1" s="1"/>
  <c r="J331" i="1"/>
  <c r="K331" i="1" s="1"/>
  <c r="L331" i="1"/>
  <c r="M331" i="1" s="1"/>
  <c r="N331" i="1"/>
  <c r="O331" i="1" s="1"/>
  <c r="R331" i="1"/>
  <c r="S331" i="1" s="1"/>
  <c r="V331" i="1"/>
  <c r="W331" i="1" s="1"/>
  <c r="G331" i="1"/>
  <c r="H331" i="1"/>
  <c r="I331" i="1" s="1"/>
  <c r="V293" i="1"/>
  <c r="W293" i="1" s="1"/>
  <c r="T293" i="1"/>
  <c r="U293" i="1" s="1"/>
  <c r="R293" i="1"/>
  <c r="S293" i="1" s="1"/>
  <c r="P293" i="1"/>
  <c r="Q293" i="1" s="1"/>
  <c r="N293" i="1"/>
  <c r="O293" i="1" s="1"/>
  <c r="L293" i="1"/>
  <c r="M293" i="1" s="1"/>
  <c r="J293" i="1"/>
  <c r="K293" i="1" s="1"/>
  <c r="H293" i="1"/>
  <c r="I293" i="1" s="1"/>
  <c r="G293" i="1"/>
  <c r="V342" i="1" l="1"/>
  <c r="W342" i="1" s="1"/>
  <c r="T342" i="1"/>
  <c r="U342" i="1" s="1"/>
  <c r="R342" i="1"/>
  <c r="S342" i="1" s="1"/>
  <c r="P342" i="1"/>
  <c r="Q342" i="1" s="1"/>
  <c r="N342" i="1"/>
  <c r="O342" i="1" s="1"/>
  <c r="L342" i="1"/>
  <c r="M342" i="1" s="1"/>
  <c r="J342" i="1"/>
  <c r="K342" i="1" s="1"/>
  <c r="H342" i="1"/>
  <c r="I342" i="1" s="1"/>
  <c r="G342" i="1"/>
  <c r="J627" i="1" l="1"/>
  <c r="J630" i="1"/>
  <c r="J631" i="1"/>
  <c r="J632" i="1"/>
  <c r="J633" i="1"/>
  <c r="J634" i="1"/>
  <c r="J628" i="1"/>
  <c r="J609" i="1"/>
  <c r="J610" i="1"/>
  <c r="J611" i="1"/>
  <c r="J612" i="1"/>
  <c r="J618" i="1"/>
  <c r="J619" i="1"/>
  <c r="J620" i="1"/>
  <c r="J621" i="1"/>
  <c r="J622" i="1"/>
  <c r="J623" i="1"/>
  <c r="J624" i="1"/>
  <c r="J625" i="1"/>
  <c r="J626" i="1"/>
  <c r="J607" i="1"/>
  <c r="K607" i="1" s="1"/>
  <c r="J606" i="1"/>
  <c r="J603" i="1"/>
  <c r="J602" i="1"/>
  <c r="J601" i="1"/>
  <c r="J600" i="1"/>
  <c r="V341" i="1" l="1"/>
  <c r="W341" i="1" s="1"/>
  <c r="V334" i="1"/>
  <c r="W334" i="1" s="1"/>
  <c r="T334" i="1"/>
  <c r="U334" i="1" s="1"/>
  <c r="R334" i="1"/>
  <c r="S334" i="1" s="1"/>
  <c r="P334" i="1"/>
  <c r="Q334" i="1" s="1"/>
  <c r="N334" i="1"/>
  <c r="O334" i="1" s="1"/>
  <c r="L334" i="1"/>
  <c r="M334" i="1" s="1"/>
  <c r="J334" i="1"/>
  <c r="K334" i="1" s="1"/>
  <c r="G334" i="1"/>
  <c r="F180" i="1"/>
  <c r="L341" i="1" l="1"/>
  <c r="M341" i="1" s="1"/>
  <c r="R341" i="1"/>
  <c r="S341" i="1" s="1"/>
  <c r="G341" i="1"/>
  <c r="N341" i="1"/>
  <c r="O341" i="1" s="1"/>
  <c r="P341" i="1"/>
  <c r="Q341" i="1" s="1"/>
  <c r="H341" i="1"/>
  <c r="I341" i="1" s="1"/>
  <c r="T341" i="1"/>
  <c r="U341" i="1" s="1"/>
  <c r="J341" i="1"/>
  <c r="K341" i="1" s="1"/>
  <c r="F179" i="1"/>
  <c r="F411" i="1"/>
  <c r="F178" i="1"/>
  <c r="F729" i="1" l="1"/>
  <c r="V729" i="1" s="1"/>
  <c r="W729" i="1" s="1"/>
  <c r="F732" i="1"/>
  <c r="R732" i="1" s="1"/>
  <c r="V468" i="1"/>
  <c r="T468" i="1"/>
  <c r="J468" i="1"/>
  <c r="L468" i="1"/>
  <c r="N468" i="1"/>
  <c r="P468" i="1"/>
  <c r="R468" i="1"/>
  <c r="T467" i="1"/>
  <c r="R467" i="1"/>
  <c r="L467" i="1"/>
  <c r="F491" i="1"/>
  <c r="V491" i="1" s="1"/>
  <c r="W491" i="1" s="1"/>
  <c r="J732" i="1" l="1"/>
  <c r="K732" i="1" s="1"/>
  <c r="L732" i="1"/>
  <c r="M732" i="1" s="1"/>
  <c r="N732" i="1"/>
  <c r="P732" i="1"/>
  <c r="Q732" i="1" s="1"/>
  <c r="H732" i="1"/>
  <c r="I732" i="1" s="1"/>
  <c r="V732" i="1"/>
  <c r="W732" i="1" s="1"/>
  <c r="P729" i="1"/>
  <c r="Q729" i="1" s="1"/>
  <c r="T732" i="1"/>
  <c r="U732" i="1" s="1"/>
  <c r="N729" i="1"/>
  <c r="O729" i="1" s="1"/>
  <c r="L729" i="1"/>
  <c r="M729" i="1" s="1"/>
  <c r="R729" i="1"/>
  <c r="S729" i="1" s="1"/>
  <c r="G729" i="1"/>
  <c r="H729" i="1"/>
  <c r="I729" i="1" s="1"/>
  <c r="T729" i="1"/>
  <c r="U729" i="1" s="1"/>
  <c r="J729" i="1"/>
  <c r="K729" i="1" s="1"/>
  <c r="G732" i="1"/>
  <c r="S732" i="1"/>
  <c r="O732" i="1"/>
  <c r="T491" i="1"/>
  <c r="U491" i="1" s="1"/>
  <c r="J491" i="1"/>
  <c r="K491" i="1" s="1"/>
  <c r="L491" i="1"/>
  <c r="M491" i="1" s="1"/>
  <c r="P491" i="1"/>
  <c r="Q491" i="1" s="1"/>
  <c r="H491" i="1"/>
  <c r="I491" i="1" s="1"/>
  <c r="N491" i="1"/>
  <c r="O491" i="1" s="1"/>
  <c r="R491" i="1"/>
  <c r="S491" i="1" s="1"/>
  <c r="G491" i="1"/>
  <c r="F486" i="1"/>
  <c r="P486" i="1" s="1"/>
  <c r="Q486" i="1" s="1"/>
  <c r="F483" i="1"/>
  <c r="V483" i="1" s="1"/>
  <c r="W483" i="1" s="1"/>
  <c r="L483" i="1" l="1"/>
  <c r="M483" i="1" s="1"/>
  <c r="N483" i="1"/>
  <c r="O483" i="1" s="1"/>
  <c r="R483" i="1"/>
  <c r="S483" i="1" s="1"/>
  <c r="P483" i="1"/>
  <c r="Q483" i="1" s="1"/>
  <c r="G483" i="1"/>
  <c r="H483" i="1"/>
  <c r="I483" i="1" s="1"/>
  <c r="T483" i="1"/>
  <c r="U483" i="1" s="1"/>
  <c r="J483" i="1"/>
  <c r="K483" i="1" s="1"/>
  <c r="L486" i="1"/>
  <c r="M486" i="1" s="1"/>
  <c r="G486" i="1"/>
  <c r="H486" i="1"/>
  <c r="I486" i="1" s="1"/>
  <c r="T486" i="1"/>
  <c r="U486" i="1" s="1"/>
  <c r="J486" i="1"/>
  <c r="K486" i="1" s="1"/>
  <c r="V486" i="1"/>
  <c r="W486" i="1" s="1"/>
  <c r="N486" i="1"/>
  <c r="O486" i="1" s="1"/>
  <c r="R486" i="1"/>
  <c r="S486" i="1" s="1"/>
  <c r="F492" i="1"/>
  <c r="J492" i="1" s="1"/>
  <c r="K492" i="1" s="1"/>
  <c r="F488" i="1"/>
  <c r="P488" i="1" s="1"/>
  <c r="Q488" i="1" s="1"/>
  <c r="N492" i="1" l="1"/>
  <c r="O492" i="1" s="1"/>
  <c r="R492" i="1"/>
  <c r="S492" i="1" s="1"/>
  <c r="G492" i="1"/>
  <c r="T492" i="1"/>
  <c r="U492" i="1" s="1"/>
  <c r="L492" i="1"/>
  <c r="M492" i="1" s="1"/>
  <c r="V492" i="1"/>
  <c r="W492" i="1" s="1"/>
  <c r="P492" i="1"/>
  <c r="Q492" i="1" s="1"/>
  <c r="L488" i="1"/>
  <c r="M488" i="1" s="1"/>
  <c r="N488" i="1"/>
  <c r="O488" i="1" s="1"/>
  <c r="T488" i="1"/>
  <c r="U488" i="1" s="1"/>
  <c r="R488" i="1"/>
  <c r="S488" i="1" s="1"/>
  <c r="J488" i="1"/>
  <c r="K488" i="1" s="1"/>
  <c r="V488" i="1"/>
  <c r="W488" i="1" s="1"/>
  <c r="G488" i="1"/>
  <c r="H488" i="1"/>
  <c r="I488" i="1" s="1"/>
  <c r="F599" i="1"/>
  <c r="T599" i="1" s="1"/>
  <c r="U599" i="1" s="1"/>
  <c r="F329" i="1"/>
  <c r="V329" i="1" s="1"/>
  <c r="W329" i="1" s="1"/>
  <c r="V599" i="1" l="1"/>
  <c r="W599" i="1" s="1"/>
  <c r="G599" i="1"/>
  <c r="L599" i="1"/>
  <c r="M599" i="1" s="1"/>
  <c r="N599" i="1"/>
  <c r="O599" i="1" s="1"/>
  <c r="P599" i="1"/>
  <c r="Q599" i="1" s="1"/>
  <c r="R599" i="1"/>
  <c r="S599" i="1" s="1"/>
  <c r="T329" i="1"/>
  <c r="U329" i="1" s="1"/>
  <c r="R329" i="1"/>
  <c r="S329" i="1" s="1"/>
  <c r="J329" i="1"/>
  <c r="K329" i="1" s="1"/>
  <c r="L329" i="1"/>
  <c r="M329" i="1" s="1"/>
  <c r="N329" i="1"/>
  <c r="O329" i="1" s="1"/>
  <c r="P329" i="1"/>
  <c r="Q329" i="1" s="1"/>
  <c r="G329" i="1"/>
  <c r="H329" i="1"/>
  <c r="I329" i="1" s="1"/>
  <c r="V161" i="1"/>
  <c r="W161" i="1" s="1"/>
  <c r="H161" i="1" l="1"/>
  <c r="I161" i="1" s="1"/>
  <c r="L161" i="1"/>
  <c r="M161" i="1" s="1"/>
  <c r="J161" i="1"/>
  <c r="K161" i="1" s="1"/>
  <c r="N161" i="1"/>
  <c r="O161" i="1" s="1"/>
  <c r="R161" i="1"/>
  <c r="S161" i="1" s="1"/>
  <c r="P161" i="1"/>
  <c r="Q161" i="1" s="1"/>
  <c r="T161" i="1"/>
  <c r="U161" i="1" s="1"/>
  <c r="G161" i="1"/>
  <c r="P335" i="1" l="1"/>
  <c r="Q335" i="1" s="1"/>
  <c r="N335" i="1"/>
  <c r="O335" i="1" s="1"/>
  <c r="L335" i="1"/>
  <c r="M335" i="1" s="1"/>
  <c r="V172" i="1"/>
  <c r="W172" i="1" s="1"/>
  <c r="V467" i="1"/>
  <c r="P467" i="1"/>
  <c r="N467" i="1"/>
  <c r="T472" i="1"/>
  <c r="U472" i="1" s="1"/>
  <c r="R472" i="1"/>
  <c r="S472" i="1" s="1"/>
  <c r="P472" i="1"/>
  <c r="Q472" i="1" s="1"/>
  <c r="N472" i="1"/>
  <c r="O472" i="1" s="1"/>
  <c r="L472" i="1"/>
  <c r="M472" i="1" s="1"/>
  <c r="T471" i="1"/>
  <c r="U471" i="1" s="1"/>
  <c r="R471" i="1"/>
  <c r="S471" i="1" s="1"/>
  <c r="P471" i="1"/>
  <c r="Q471" i="1" s="1"/>
  <c r="N471" i="1"/>
  <c r="O471" i="1" s="1"/>
  <c r="L471" i="1"/>
  <c r="M471" i="1" s="1"/>
  <c r="T470" i="1"/>
  <c r="U470" i="1" s="1"/>
  <c r="R470" i="1"/>
  <c r="S470" i="1" s="1"/>
  <c r="P470" i="1"/>
  <c r="Q470" i="1" s="1"/>
  <c r="N470" i="1"/>
  <c r="O470" i="1" s="1"/>
  <c r="L470" i="1"/>
  <c r="M470" i="1" s="1"/>
  <c r="T469" i="1"/>
  <c r="R469" i="1"/>
  <c r="P469" i="1"/>
  <c r="N469" i="1"/>
  <c r="L469" i="1"/>
  <c r="H172" i="1" l="1"/>
  <c r="I172" i="1" s="1"/>
  <c r="R335" i="1"/>
  <c r="S335" i="1" s="1"/>
  <c r="G335" i="1"/>
  <c r="H335" i="1"/>
  <c r="I335" i="1" s="1"/>
  <c r="T335" i="1"/>
  <c r="U335" i="1" s="1"/>
  <c r="J335" i="1"/>
  <c r="K335" i="1" s="1"/>
  <c r="V335" i="1"/>
  <c r="W335" i="1" s="1"/>
  <c r="J172" i="1"/>
  <c r="K172" i="1" s="1"/>
  <c r="L172" i="1"/>
  <c r="M172" i="1" s="1"/>
  <c r="N172" i="1"/>
  <c r="O172" i="1" s="1"/>
  <c r="P172" i="1"/>
  <c r="Q172" i="1" s="1"/>
  <c r="R172" i="1"/>
  <c r="S172" i="1" s="1"/>
  <c r="T172" i="1"/>
  <c r="U172" i="1" s="1"/>
  <c r="G172" i="1"/>
  <c r="F490" i="1"/>
  <c r="P490" i="1" s="1"/>
  <c r="Q490" i="1" s="1"/>
  <c r="F487" i="1"/>
  <c r="V487" i="1" s="1"/>
  <c r="W487" i="1" s="1"/>
  <c r="F485" i="1"/>
  <c r="G485" i="1" s="1"/>
  <c r="L490" i="1" l="1"/>
  <c r="M490" i="1" s="1"/>
  <c r="N490" i="1"/>
  <c r="O490" i="1" s="1"/>
  <c r="R490" i="1"/>
  <c r="S490" i="1" s="1"/>
  <c r="G490" i="1"/>
  <c r="H490" i="1"/>
  <c r="I490" i="1" s="1"/>
  <c r="T490" i="1"/>
  <c r="U490" i="1" s="1"/>
  <c r="J490" i="1"/>
  <c r="K490" i="1" s="1"/>
  <c r="V490" i="1"/>
  <c r="W490" i="1" s="1"/>
  <c r="J487" i="1"/>
  <c r="K487" i="1" s="1"/>
  <c r="H487" i="1"/>
  <c r="I487" i="1" s="1"/>
  <c r="L487" i="1"/>
  <c r="M487" i="1" s="1"/>
  <c r="R487" i="1"/>
  <c r="S487" i="1" s="1"/>
  <c r="T487" i="1"/>
  <c r="U487" i="1" s="1"/>
  <c r="N487" i="1"/>
  <c r="O487" i="1" s="1"/>
  <c r="P487" i="1"/>
  <c r="Q487" i="1" s="1"/>
  <c r="G487" i="1"/>
  <c r="J485" i="1" l="1"/>
  <c r="K485" i="1" s="1"/>
  <c r="L485" i="1" l="1"/>
  <c r="M485" i="1" s="1"/>
  <c r="N485" i="1"/>
  <c r="O485" i="1" s="1"/>
  <c r="P485" i="1"/>
  <c r="Q485" i="1" s="1"/>
  <c r="R485" i="1"/>
  <c r="S485" i="1" s="1"/>
  <c r="T485" i="1"/>
  <c r="U485" i="1" s="1"/>
  <c r="V485" i="1"/>
  <c r="W485" i="1" s="1"/>
  <c r="H485" i="1"/>
  <c r="I485" i="1" s="1"/>
  <c r="V216" i="1"/>
  <c r="W216" i="1" s="1"/>
  <c r="T216" i="1"/>
  <c r="U216" i="1" s="1"/>
  <c r="R216" i="1"/>
  <c r="S216" i="1" s="1"/>
  <c r="P216" i="1"/>
  <c r="Q216" i="1" s="1"/>
  <c r="N216" i="1"/>
  <c r="O216" i="1" s="1"/>
  <c r="G216" i="1"/>
  <c r="V677" i="1" l="1"/>
  <c r="W677" i="1" s="1"/>
  <c r="T677" i="1"/>
  <c r="U677" i="1" s="1"/>
  <c r="R677" i="1"/>
  <c r="S677" i="1" s="1"/>
  <c r="P677" i="1"/>
  <c r="Q677" i="1" s="1"/>
  <c r="N677" i="1"/>
  <c r="O677" i="1" s="1"/>
  <c r="L677" i="1"/>
  <c r="M677" i="1" s="1"/>
  <c r="J677" i="1"/>
  <c r="K677" i="1" s="1"/>
  <c r="V659" i="1"/>
  <c r="W659" i="1" s="1"/>
  <c r="T659" i="1"/>
  <c r="U659" i="1" s="1"/>
  <c r="R659" i="1"/>
  <c r="S659" i="1" s="1"/>
  <c r="G659" i="1"/>
  <c r="G16" i="1"/>
  <c r="F489" i="1" l="1"/>
  <c r="F459" i="1"/>
  <c r="F457" i="1"/>
  <c r="F349" i="1"/>
  <c r="F269" i="1"/>
  <c r="F263" i="1"/>
  <c r="F648" i="1" l="1"/>
  <c r="V247" i="1"/>
  <c r="W247" i="1" s="1"/>
  <c r="N648" i="1" l="1"/>
  <c r="O648" i="1" s="1"/>
  <c r="J648" i="1"/>
  <c r="V648" i="1"/>
  <c r="W648" i="1" s="1"/>
  <c r="K648" i="1"/>
  <c r="L648" i="1"/>
  <c r="M648" i="1" s="1"/>
  <c r="P648" i="1"/>
  <c r="Q648" i="1" s="1"/>
  <c r="R648" i="1"/>
  <c r="S648" i="1" s="1"/>
  <c r="G648" i="1"/>
  <c r="H648" i="1"/>
  <c r="I648" i="1" s="1"/>
  <c r="T648" i="1"/>
  <c r="U648" i="1" s="1"/>
  <c r="N247" i="1"/>
  <c r="O247" i="1" s="1"/>
  <c r="J247" i="1"/>
  <c r="K247" i="1" s="1"/>
  <c r="P247" i="1"/>
  <c r="Q247" i="1" s="1"/>
  <c r="R247" i="1"/>
  <c r="S247" i="1" s="1"/>
  <c r="L247" i="1"/>
  <c r="M247" i="1" s="1"/>
  <c r="G247" i="1"/>
  <c r="H247" i="1"/>
  <c r="I247" i="1" s="1"/>
  <c r="T247" i="1"/>
  <c r="U247" i="1" s="1"/>
  <c r="G121" i="1"/>
  <c r="G120" i="1"/>
  <c r="G119" i="1"/>
  <c r="F629" i="1" l="1"/>
  <c r="J629" i="1" s="1"/>
  <c r="J635" i="1"/>
  <c r="F637" i="1"/>
  <c r="J637" i="1" s="1"/>
  <c r="J608" i="1"/>
  <c r="F593" i="1"/>
  <c r="J593" i="1" s="1"/>
  <c r="F605" i="1"/>
  <c r="J605" i="1" s="1"/>
  <c r="J588" i="1"/>
  <c r="W50" i="1" l="1"/>
  <c r="U50" i="1"/>
  <c r="S50" i="1"/>
  <c r="Q50" i="1"/>
  <c r="O50" i="1"/>
  <c r="W49" i="1"/>
  <c r="U49" i="1"/>
  <c r="S49" i="1"/>
  <c r="Q49" i="1"/>
  <c r="O49" i="1"/>
  <c r="W47" i="1"/>
  <c r="U47" i="1"/>
  <c r="S47" i="1"/>
  <c r="Q47" i="1"/>
  <c r="O47" i="1"/>
  <c r="W46" i="1"/>
  <c r="U46" i="1"/>
  <c r="S46" i="1"/>
  <c r="Q46" i="1"/>
  <c r="O46" i="1"/>
  <c r="W44" i="1"/>
  <c r="U44" i="1"/>
  <c r="S44" i="1"/>
  <c r="Q44" i="1"/>
  <c r="O44" i="1"/>
  <c r="W43" i="1"/>
  <c r="U43" i="1"/>
  <c r="S43" i="1"/>
  <c r="Q43" i="1"/>
  <c r="O43" i="1"/>
  <c r="W41" i="1"/>
  <c r="U41" i="1"/>
  <c r="S41" i="1"/>
  <c r="Q41" i="1"/>
  <c r="O41" i="1"/>
  <c r="W35" i="1"/>
  <c r="U35" i="1"/>
  <c r="S35" i="1"/>
  <c r="Q35" i="1"/>
  <c r="O35" i="1"/>
  <c r="W34" i="1"/>
  <c r="U34" i="1"/>
  <c r="S34" i="1"/>
  <c r="Q34" i="1"/>
  <c r="O34" i="1"/>
  <c r="W33" i="1"/>
  <c r="U33" i="1"/>
  <c r="S33" i="1"/>
  <c r="Q33" i="1"/>
  <c r="O33" i="1"/>
  <c r="W32" i="1"/>
  <c r="U32" i="1"/>
  <c r="S32" i="1"/>
  <c r="Q32" i="1"/>
  <c r="O32" i="1"/>
  <c r="W38" i="1"/>
  <c r="U38" i="1"/>
  <c r="S38" i="1"/>
  <c r="Q38" i="1"/>
  <c r="O38" i="1"/>
  <c r="N416" i="1" l="1"/>
  <c r="O416" i="1" s="1"/>
  <c r="W136" i="1"/>
  <c r="U136" i="1"/>
  <c r="S136" i="1"/>
  <c r="Q136" i="1"/>
  <c r="O136" i="1"/>
  <c r="M136" i="1"/>
  <c r="V416" i="1" l="1"/>
  <c r="W416" i="1" s="1"/>
  <c r="G416" i="1"/>
  <c r="L416" i="1"/>
  <c r="M416" i="1" s="1"/>
  <c r="P416" i="1"/>
  <c r="Q416" i="1" s="1"/>
  <c r="R416" i="1"/>
  <c r="S416" i="1" s="1"/>
  <c r="T416" i="1"/>
  <c r="U416" i="1" s="1"/>
  <c r="V62" i="1" l="1"/>
  <c r="W62" i="1" s="1"/>
  <c r="T62" i="1"/>
  <c r="U62" i="1" s="1"/>
  <c r="R62" i="1"/>
  <c r="S62" i="1" s="1"/>
  <c r="P62" i="1"/>
  <c r="Q62" i="1" s="1"/>
  <c r="N62" i="1"/>
  <c r="O62" i="1" s="1"/>
  <c r="L62" i="1"/>
  <c r="M62" i="1" s="1"/>
  <c r="G62" i="1"/>
  <c r="V666" i="1" l="1"/>
  <c r="W666" i="1" s="1"/>
  <c r="T666" i="1"/>
  <c r="U666" i="1" s="1"/>
  <c r="R666" i="1"/>
  <c r="S666" i="1" s="1"/>
  <c r="P666" i="1"/>
  <c r="Q666" i="1" s="1"/>
  <c r="N666" i="1"/>
  <c r="O666" i="1" s="1"/>
  <c r="L666" i="1"/>
  <c r="M666" i="1" s="1"/>
  <c r="J666" i="1"/>
  <c r="K666" i="1" s="1"/>
  <c r="V296" i="1" l="1"/>
  <c r="W296" i="1" s="1"/>
  <c r="H315" i="1"/>
  <c r="I315" i="1" s="1"/>
  <c r="L296" i="1" l="1"/>
  <c r="M296" i="1" s="1"/>
  <c r="R296" i="1"/>
  <c r="S296" i="1" s="1"/>
  <c r="T296" i="1"/>
  <c r="U296" i="1" s="1"/>
  <c r="N296" i="1"/>
  <c r="O296" i="1" s="1"/>
  <c r="G296" i="1"/>
  <c r="P296" i="1"/>
  <c r="Q296" i="1" s="1"/>
  <c r="J296" i="1"/>
  <c r="K296" i="1" s="1"/>
  <c r="V315" i="1" l="1"/>
  <c r="W315" i="1" s="1"/>
  <c r="P315" i="1"/>
  <c r="Q315" i="1" s="1"/>
  <c r="N315" i="1"/>
  <c r="O315" i="1" s="1"/>
  <c r="L315" i="1"/>
  <c r="M315" i="1" s="1"/>
  <c r="J315" i="1"/>
  <c r="K315" i="1" s="1"/>
  <c r="T315" i="1"/>
  <c r="U315" i="1" s="1"/>
  <c r="R315" i="1" l="1"/>
  <c r="S315" i="1" s="1"/>
  <c r="G315" i="1"/>
  <c r="F531" i="1"/>
  <c r="F547" i="1"/>
  <c r="F208" i="1"/>
  <c r="F186" i="1"/>
  <c r="F185" i="1"/>
  <c r="F182" i="1"/>
  <c r="V565" i="1" l="1"/>
  <c r="W565" i="1" s="1"/>
  <c r="J565" i="1" l="1"/>
  <c r="K565" i="1" s="1"/>
  <c r="L565" i="1"/>
  <c r="M565" i="1" s="1"/>
  <c r="N565" i="1"/>
  <c r="O565" i="1" s="1"/>
  <c r="G565" i="1"/>
  <c r="H565" i="1"/>
  <c r="I565" i="1" s="1"/>
  <c r="P565" i="1"/>
  <c r="Q565" i="1" s="1"/>
  <c r="R565" i="1"/>
  <c r="S565" i="1" s="1"/>
  <c r="T565" i="1"/>
  <c r="U565" i="1" s="1"/>
  <c r="V606" i="1"/>
  <c r="W606" i="1" s="1"/>
  <c r="N606" i="1" l="1"/>
  <c r="O606" i="1" s="1"/>
  <c r="P606" i="1"/>
  <c r="Q606" i="1" s="1"/>
  <c r="G606" i="1"/>
  <c r="H606" i="1"/>
  <c r="I606" i="1" s="1"/>
  <c r="T606" i="1"/>
  <c r="U606" i="1" s="1"/>
  <c r="L606" i="1"/>
  <c r="M606" i="1" s="1"/>
  <c r="R606" i="1"/>
  <c r="S606" i="1" s="1"/>
  <c r="K606" i="1"/>
  <c r="T627" i="1"/>
  <c r="H627" i="1" l="1"/>
  <c r="I627" i="1" s="1"/>
  <c r="K627" i="1"/>
  <c r="L627" i="1"/>
  <c r="R627" i="1"/>
  <c r="S627" i="1" s="1"/>
  <c r="U627" i="1"/>
  <c r="N627" i="1"/>
  <c r="O627" i="1" s="1"/>
  <c r="V627" i="1"/>
  <c r="W627" i="1" s="1"/>
  <c r="P627" i="1"/>
  <c r="Q627" i="1" s="1"/>
  <c r="M627" i="1"/>
  <c r="G627" i="1"/>
  <c r="V505" i="1" l="1"/>
  <c r="W505" i="1" s="1"/>
  <c r="G410" i="1"/>
  <c r="F275" i="1"/>
  <c r="L505" i="1" l="1"/>
  <c r="M505" i="1" s="1"/>
  <c r="P505" i="1"/>
  <c r="Q505" i="1" s="1"/>
  <c r="T505" i="1"/>
  <c r="U505" i="1" s="1"/>
  <c r="G505" i="1"/>
  <c r="J505" i="1"/>
  <c r="K505" i="1" s="1"/>
  <c r="N505" i="1"/>
  <c r="O505" i="1" s="1"/>
  <c r="R505" i="1"/>
  <c r="S505" i="1" s="1"/>
  <c r="N410" i="1"/>
  <c r="O410" i="1" s="1"/>
  <c r="R410" i="1"/>
  <c r="S410" i="1" s="1"/>
  <c r="V410" i="1"/>
  <c r="W410" i="1" s="1"/>
  <c r="L410" i="1"/>
  <c r="M410" i="1" s="1"/>
  <c r="P410" i="1"/>
  <c r="Q410" i="1" s="1"/>
  <c r="T410" i="1"/>
  <c r="U410" i="1" s="1"/>
  <c r="G297" i="1"/>
  <c r="V225" i="1"/>
  <c r="W225" i="1" s="1"/>
  <c r="T225" i="1"/>
  <c r="U225" i="1" s="1"/>
  <c r="R225" i="1"/>
  <c r="S225" i="1" s="1"/>
  <c r="P225" i="1"/>
  <c r="Q225" i="1" s="1"/>
  <c r="N225" i="1"/>
  <c r="O225" i="1" s="1"/>
  <c r="L225" i="1"/>
  <c r="M225" i="1" s="1"/>
  <c r="J225" i="1"/>
  <c r="K225" i="1" s="1"/>
  <c r="V227" i="1"/>
  <c r="W227" i="1" s="1"/>
  <c r="T227" i="1"/>
  <c r="U227" i="1" s="1"/>
  <c r="R227" i="1"/>
  <c r="S227" i="1" s="1"/>
  <c r="P227" i="1"/>
  <c r="Q227" i="1" s="1"/>
  <c r="N227" i="1"/>
  <c r="O227" i="1" s="1"/>
  <c r="L227" i="1"/>
  <c r="M227" i="1" s="1"/>
  <c r="J227" i="1"/>
  <c r="K227" i="1" s="1"/>
  <c r="V228" i="1"/>
  <c r="W228" i="1" s="1"/>
  <c r="T228" i="1"/>
  <c r="U228" i="1" s="1"/>
  <c r="R228" i="1"/>
  <c r="S228" i="1" s="1"/>
  <c r="P228" i="1"/>
  <c r="Q228" i="1" s="1"/>
  <c r="N228" i="1"/>
  <c r="O228" i="1" s="1"/>
  <c r="L228" i="1"/>
  <c r="M228" i="1" s="1"/>
  <c r="J228" i="1"/>
  <c r="K228" i="1" s="1"/>
  <c r="V229" i="1"/>
  <c r="W229" i="1" s="1"/>
  <c r="T229" i="1"/>
  <c r="U229" i="1" s="1"/>
  <c r="R229" i="1"/>
  <c r="S229" i="1" s="1"/>
  <c r="P229" i="1"/>
  <c r="Q229" i="1" s="1"/>
  <c r="N229" i="1"/>
  <c r="O229" i="1" s="1"/>
  <c r="L229" i="1"/>
  <c r="M229" i="1" s="1"/>
  <c r="J229" i="1"/>
  <c r="K229" i="1" s="1"/>
  <c r="N230" i="1"/>
  <c r="L230" i="1"/>
  <c r="J230" i="1"/>
  <c r="V230" i="1"/>
  <c r="T230" i="1"/>
  <c r="R230" i="1"/>
  <c r="P230" i="1"/>
  <c r="V297" i="1" l="1"/>
  <c r="W297" i="1" s="1"/>
  <c r="R297" i="1"/>
  <c r="S297" i="1" s="1"/>
  <c r="T297" i="1"/>
  <c r="U297" i="1" s="1"/>
  <c r="L297" i="1"/>
  <c r="M297" i="1" s="1"/>
  <c r="N297" i="1"/>
  <c r="O297" i="1" s="1"/>
  <c r="P297" i="1"/>
  <c r="Q297" i="1" s="1"/>
  <c r="J297" i="1"/>
  <c r="K297" i="1" s="1"/>
  <c r="G15" i="1"/>
  <c r="T15" i="1"/>
  <c r="U15" i="1" s="1"/>
  <c r="J15" i="1" l="1"/>
  <c r="K15" i="1" s="1"/>
  <c r="P15" i="1"/>
  <c r="Q15" i="1" s="1"/>
  <c r="L15" i="1"/>
  <c r="M15" i="1" s="1"/>
  <c r="N15" i="1"/>
  <c r="O15" i="1" s="1"/>
  <c r="R15" i="1"/>
  <c r="S15" i="1" s="1"/>
  <c r="H15" i="1"/>
  <c r="I15" i="1" s="1"/>
  <c r="G70" i="1" l="1"/>
  <c r="F546" i="1" l="1"/>
  <c r="P326" i="1" l="1"/>
  <c r="Q326" i="1" s="1"/>
  <c r="L326" i="1" l="1"/>
  <c r="M326" i="1" s="1"/>
  <c r="N326" i="1"/>
  <c r="O326" i="1" s="1"/>
  <c r="R326" i="1"/>
  <c r="S326" i="1" s="1"/>
  <c r="G326" i="1"/>
  <c r="H326" i="1"/>
  <c r="I326" i="1" s="1"/>
  <c r="T326" i="1"/>
  <c r="U326" i="1" s="1"/>
  <c r="J326" i="1"/>
  <c r="K326" i="1" s="1"/>
  <c r="V326" i="1"/>
  <c r="W326" i="1" s="1"/>
  <c r="N223" i="1" l="1"/>
  <c r="V64" i="1"/>
  <c r="T64" i="1"/>
  <c r="R64" i="1"/>
  <c r="P64" i="1"/>
  <c r="N64" i="1"/>
  <c r="L64" i="1"/>
  <c r="J64" i="1"/>
  <c r="V56" i="1"/>
  <c r="W56" i="1" s="1"/>
  <c r="T56" i="1"/>
  <c r="U56" i="1" s="1"/>
  <c r="R56" i="1"/>
  <c r="S56" i="1" s="1"/>
  <c r="P56" i="1"/>
  <c r="Q56" i="1" s="1"/>
  <c r="N56" i="1"/>
  <c r="O56" i="1" s="1"/>
  <c r="L56" i="1"/>
  <c r="M56" i="1" s="1"/>
  <c r="J56" i="1"/>
  <c r="K56" i="1" s="1"/>
  <c r="V55" i="1"/>
  <c r="W55" i="1" s="1"/>
  <c r="T55" i="1"/>
  <c r="U55" i="1" s="1"/>
  <c r="R55" i="1"/>
  <c r="S55" i="1" s="1"/>
  <c r="P55" i="1"/>
  <c r="Q55" i="1" s="1"/>
  <c r="N55" i="1"/>
  <c r="O55" i="1" s="1"/>
  <c r="L55" i="1"/>
  <c r="M55" i="1" s="1"/>
  <c r="J55" i="1"/>
  <c r="K55" i="1" s="1"/>
  <c r="V54" i="1"/>
  <c r="W54" i="1" s="1"/>
  <c r="T54" i="1"/>
  <c r="U54" i="1" s="1"/>
  <c r="R54" i="1"/>
  <c r="S54" i="1" s="1"/>
  <c r="P54" i="1"/>
  <c r="Q54" i="1" s="1"/>
  <c r="N54" i="1"/>
  <c r="O54" i="1" s="1"/>
  <c r="L54" i="1"/>
  <c r="M54" i="1" s="1"/>
  <c r="J54" i="1"/>
  <c r="K54" i="1" s="1"/>
  <c r="V53" i="1"/>
  <c r="T53" i="1"/>
  <c r="R53" i="1"/>
  <c r="N53" i="1"/>
  <c r="L53" i="1"/>
  <c r="J53" i="1"/>
  <c r="P53" i="1"/>
  <c r="V22" i="1"/>
  <c r="W22" i="1" s="1"/>
  <c r="T22" i="1"/>
  <c r="U22" i="1" s="1"/>
  <c r="R22" i="1"/>
  <c r="S22" i="1" s="1"/>
  <c r="P22" i="1"/>
  <c r="Q22" i="1" s="1"/>
  <c r="N22" i="1"/>
  <c r="O22" i="1" s="1"/>
  <c r="L22" i="1"/>
  <c r="M22" i="1" s="1"/>
  <c r="J22" i="1"/>
  <c r="K22" i="1" s="1"/>
  <c r="V21" i="1"/>
  <c r="W21" i="1" s="1"/>
  <c r="T21" i="1"/>
  <c r="U21" i="1" s="1"/>
  <c r="R21" i="1"/>
  <c r="S21" i="1" s="1"/>
  <c r="P21" i="1"/>
  <c r="Q21" i="1" s="1"/>
  <c r="N21" i="1"/>
  <c r="O21" i="1" s="1"/>
  <c r="L21" i="1"/>
  <c r="M21" i="1" s="1"/>
  <c r="J21" i="1"/>
  <c r="K21" i="1" s="1"/>
  <c r="T13" i="1"/>
  <c r="R13" i="1"/>
  <c r="S13" i="1" s="1"/>
  <c r="P13" i="1"/>
  <c r="Q13" i="1" s="1"/>
  <c r="N13" i="1"/>
  <c r="O13" i="1" s="1"/>
  <c r="L13" i="1"/>
  <c r="M13" i="1" s="1"/>
  <c r="J13" i="1"/>
  <c r="K13" i="1" s="1"/>
  <c r="G162" i="1"/>
  <c r="J162" i="1"/>
  <c r="L162" i="1"/>
  <c r="N162" i="1"/>
  <c r="P162" i="1"/>
  <c r="R162" i="1"/>
  <c r="W112" i="1"/>
  <c r="U112" i="1"/>
  <c r="S112" i="1"/>
  <c r="Q112" i="1"/>
  <c r="O112" i="1"/>
  <c r="W111" i="1"/>
  <c r="U111" i="1"/>
  <c r="S111" i="1"/>
  <c r="Q111" i="1"/>
  <c r="O111" i="1"/>
  <c r="W110" i="1"/>
  <c r="U110" i="1"/>
  <c r="S110" i="1"/>
  <c r="Q110" i="1"/>
  <c r="O110" i="1"/>
  <c r="W109" i="1"/>
  <c r="U109" i="1"/>
  <c r="S109" i="1"/>
  <c r="Q109" i="1"/>
  <c r="O109" i="1"/>
  <c r="W130" i="1"/>
  <c r="U130" i="1"/>
  <c r="S130" i="1"/>
  <c r="Q130" i="1"/>
  <c r="O130" i="1"/>
  <c r="M130" i="1"/>
  <c r="W125" i="1"/>
  <c r="U125" i="1"/>
  <c r="S125" i="1"/>
  <c r="Q125" i="1"/>
  <c r="O125" i="1"/>
  <c r="M125" i="1"/>
  <c r="O106" i="1"/>
  <c r="O105" i="1"/>
  <c r="V668" i="1" l="1"/>
  <c r="W668" i="1" s="1"/>
  <c r="T668" i="1"/>
  <c r="U668" i="1" s="1"/>
  <c r="R668" i="1"/>
  <c r="S668" i="1" s="1"/>
  <c r="P668" i="1"/>
  <c r="Q668" i="1" s="1"/>
  <c r="N668" i="1"/>
  <c r="O668" i="1" s="1"/>
  <c r="L668" i="1"/>
  <c r="M668" i="1" s="1"/>
  <c r="V676" i="1"/>
  <c r="W676" i="1" s="1"/>
  <c r="T676" i="1"/>
  <c r="U676" i="1" s="1"/>
  <c r="R676" i="1"/>
  <c r="S676" i="1" s="1"/>
  <c r="P676" i="1"/>
  <c r="Q676" i="1" s="1"/>
  <c r="N676" i="1"/>
  <c r="O676" i="1" s="1"/>
  <c r="L676" i="1"/>
  <c r="M676" i="1" s="1"/>
  <c r="J676" i="1"/>
  <c r="K676" i="1" s="1"/>
  <c r="V675" i="1"/>
  <c r="W675" i="1" s="1"/>
  <c r="T675" i="1"/>
  <c r="U675" i="1" s="1"/>
  <c r="R675" i="1"/>
  <c r="S675" i="1" s="1"/>
  <c r="P675" i="1"/>
  <c r="Q675" i="1" s="1"/>
  <c r="N675" i="1"/>
  <c r="O675" i="1" s="1"/>
  <c r="L675" i="1"/>
  <c r="M675" i="1" s="1"/>
  <c r="J675" i="1"/>
  <c r="K675" i="1" s="1"/>
  <c r="V674" i="1"/>
  <c r="W674" i="1" s="1"/>
  <c r="T674" i="1"/>
  <c r="U674" i="1" s="1"/>
  <c r="R674" i="1"/>
  <c r="S674" i="1" s="1"/>
  <c r="P674" i="1"/>
  <c r="Q674" i="1" s="1"/>
  <c r="N674" i="1"/>
  <c r="O674" i="1" s="1"/>
  <c r="L674" i="1"/>
  <c r="M674" i="1" s="1"/>
  <c r="J674" i="1"/>
  <c r="K674" i="1" s="1"/>
  <c r="V673" i="1"/>
  <c r="W673" i="1" s="1"/>
  <c r="T673" i="1"/>
  <c r="U673" i="1" s="1"/>
  <c r="R673" i="1"/>
  <c r="S673" i="1" s="1"/>
  <c r="P673" i="1"/>
  <c r="Q673" i="1" s="1"/>
  <c r="N673" i="1"/>
  <c r="O673" i="1" s="1"/>
  <c r="L673" i="1"/>
  <c r="M673" i="1" s="1"/>
  <c r="J673" i="1"/>
  <c r="K673" i="1" s="1"/>
  <c r="V672" i="1"/>
  <c r="W672" i="1" s="1"/>
  <c r="T672" i="1"/>
  <c r="U672" i="1" s="1"/>
  <c r="R672" i="1"/>
  <c r="S672" i="1" s="1"/>
  <c r="P672" i="1"/>
  <c r="Q672" i="1" s="1"/>
  <c r="N672" i="1"/>
  <c r="O672" i="1" s="1"/>
  <c r="L672" i="1"/>
  <c r="M672" i="1" s="1"/>
  <c r="J672" i="1"/>
  <c r="K672" i="1" s="1"/>
  <c r="V671" i="1"/>
  <c r="W671" i="1" s="1"/>
  <c r="T671" i="1"/>
  <c r="U671" i="1" s="1"/>
  <c r="R671" i="1"/>
  <c r="S671" i="1" s="1"/>
  <c r="P671" i="1"/>
  <c r="Q671" i="1" s="1"/>
  <c r="N671" i="1"/>
  <c r="O671" i="1" s="1"/>
  <c r="L671" i="1"/>
  <c r="M671" i="1" s="1"/>
  <c r="J671" i="1"/>
  <c r="K671" i="1" s="1"/>
  <c r="V670" i="1"/>
  <c r="W670" i="1" s="1"/>
  <c r="T670" i="1"/>
  <c r="U670" i="1" s="1"/>
  <c r="R670" i="1"/>
  <c r="S670" i="1" s="1"/>
  <c r="P670" i="1"/>
  <c r="Q670" i="1" s="1"/>
  <c r="N670" i="1"/>
  <c r="O670" i="1" s="1"/>
  <c r="L670" i="1"/>
  <c r="M670" i="1" s="1"/>
  <c r="J670" i="1"/>
  <c r="K670" i="1" s="1"/>
  <c r="V669" i="1"/>
  <c r="W669" i="1" s="1"/>
  <c r="T669" i="1"/>
  <c r="U669" i="1" s="1"/>
  <c r="R669" i="1"/>
  <c r="S669" i="1" s="1"/>
  <c r="P669" i="1"/>
  <c r="Q669" i="1" s="1"/>
  <c r="N669" i="1"/>
  <c r="O669" i="1" s="1"/>
  <c r="L669" i="1"/>
  <c r="M669" i="1" s="1"/>
  <c r="J669" i="1"/>
  <c r="K669" i="1" s="1"/>
  <c r="T665" i="1"/>
  <c r="R665" i="1"/>
  <c r="P665" i="1"/>
  <c r="L665" i="1"/>
  <c r="V665" i="1"/>
  <c r="N665" i="1"/>
  <c r="J665" i="1"/>
  <c r="V497" i="1"/>
  <c r="W497" i="1" s="1"/>
  <c r="T497" i="1"/>
  <c r="U497" i="1" s="1"/>
  <c r="R497" i="1"/>
  <c r="S497" i="1" s="1"/>
  <c r="P497" i="1"/>
  <c r="Q497" i="1" s="1"/>
  <c r="N497" i="1"/>
  <c r="O497" i="1" s="1"/>
  <c r="L497" i="1"/>
  <c r="M497" i="1" s="1"/>
  <c r="V496" i="1"/>
  <c r="W496" i="1" s="1"/>
  <c r="T496" i="1"/>
  <c r="U496" i="1" s="1"/>
  <c r="R496" i="1"/>
  <c r="S496" i="1" s="1"/>
  <c r="P496" i="1"/>
  <c r="Q496" i="1" s="1"/>
  <c r="N496" i="1"/>
  <c r="O496" i="1" s="1"/>
  <c r="L496" i="1"/>
  <c r="M496" i="1" s="1"/>
  <c r="V495" i="1"/>
  <c r="W495" i="1" s="1"/>
  <c r="T495" i="1"/>
  <c r="U495" i="1" s="1"/>
  <c r="R495" i="1"/>
  <c r="S495" i="1" s="1"/>
  <c r="P495" i="1"/>
  <c r="Q495" i="1" s="1"/>
  <c r="N495" i="1"/>
  <c r="O495" i="1" s="1"/>
  <c r="L495" i="1"/>
  <c r="M495" i="1" s="1"/>
  <c r="V494" i="1"/>
  <c r="W494" i="1" s="1"/>
  <c r="T494" i="1"/>
  <c r="U494" i="1" s="1"/>
  <c r="R494" i="1"/>
  <c r="S494" i="1" s="1"/>
  <c r="P494" i="1"/>
  <c r="Q494" i="1" s="1"/>
  <c r="N494" i="1"/>
  <c r="O494" i="1" s="1"/>
  <c r="L494" i="1"/>
  <c r="M494" i="1" s="1"/>
  <c r="L474" i="1"/>
  <c r="J474" i="1"/>
  <c r="N474" i="1"/>
  <c r="P474" i="1"/>
  <c r="R474" i="1"/>
  <c r="T474" i="1"/>
  <c r="V474" i="1"/>
  <c r="V481" i="1"/>
  <c r="W481" i="1" s="1"/>
  <c r="T481" i="1"/>
  <c r="U481" i="1" s="1"/>
  <c r="R481" i="1"/>
  <c r="S481" i="1" s="1"/>
  <c r="P481" i="1"/>
  <c r="Q481" i="1" s="1"/>
  <c r="N481" i="1"/>
  <c r="O481" i="1" s="1"/>
  <c r="L481" i="1"/>
  <c r="M481" i="1" s="1"/>
  <c r="J481" i="1"/>
  <c r="K481" i="1" s="1"/>
  <c r="H740" i="1"/>
  <c r="H739" i="1"/>
  <c r="J740" i="1"/>
  <c r="J739" i="1"/>
  <c r="V740" i="1"/>
  <c r="W740" i="1" s="1"/>
  <c r="T740" i="1"/>
  <c r="U740" i="1" s="1"/>
  <c r="R740" i="1"/>
  <c r="S740" i="1" s="1"/>
  <c r="P740" i="1"/>
  <c r="Q740" i="1" s="1"/>
  <c r="N740" i="1"/>
  <c r="O740" i="1" s="1"/>
  <c r="L740" i="1"/>
  <c r="M740" i="1" s="1"/>
  <c r="V739" i="1"/>
  <c r="W739" i="1" s="1"/>
  <c r="T739" i="1"/>
  <c r="U739" i="1" s="1"/>
  <c r="R739" i="1"/>
  <c r="S739" i="1" s="1"/>
  <c r="P739" i="1"/>
  <c r="Q739" i="1" s="1"/>
  <c r="N739" i="1"/>
  <c r="O739" i="1" s="1"/>
  <c r="L739" i="1"/>
  <c r="M739" i="1" s="1"/>
  <c r="V738" i="1"/>
  <c r="W738" i="1" s="1"/>
  <c r="T738" i="1"/>
  <c r="U738" i="1" s="1"/>
  <c r="R738" i="1"/>
  <c r="S738" i="1" s="1"/>
  <c r="P738" i="1"/>
  <c r="Q738" i="1" s="1"/>
  <c r="N738" i="1"/>
  <c r="O738" i="1" s="1"/>
  <c r="L738" i="1"/>
  <c r="M738" i="1" s="1"/>
  <c r="V736" i="1"/>
  <c r="W736" i="1" s="1"/>
  <c r="T736" i="1"/>
  <c r="U736" i="1" s="1"/>
  <c r="R736" i="1"/>
  <c r="S736" i="1" s="1"/>
  <c r="P736" i="1"/>
  <c r="Q736" i="1" s="1"/>
  <c r="N736" i="1"/>
  <c r="O736" i="1" s="1"/>
  <c r="L736" i="1"/>
  <c r="M736" i="1" s="1"/>
  <c r="V735" i="1"/>
  <c r="W735" i="1" s="1"/>
  <c r="T735" i="1"/>
  <c r="U735" i="1" s="1"/>
  <c r="R735" i="1"/>
  <c r="S735" i="1" s="1"/>
  <c r="P735" i="1"/>
  <c r="Q735" i="1" s="1"/>
  <c r="N735" i="1"/>
  <c r="O735" i="1" s="1"/>
  <c r="L735" i="1"/>
  <c r="M735" i="1" s="1"/>
  <c r="V702" i="1"/>
  <c r="W702" i="1" s="1"/>
  <c r="T702" i="1"/>
  <c r="U702" i="1" s="1"/>
  <c r="R702" i="1"/>
  <c r="S702" i="1" s="1"/>
  <c r="P702" i="1"/>
  <c r="Q702" i="1" s="1"/>
  <c r="V701" i="1"/>
  <c r="W701" i="1" s="1"/>
  <c r="T701" i="1"/>
  <c r="U701" i="1" s="1"/>
  <c r="R701" i="1"/>
  <c r="S701" i="1" s="1"/>
  <c r="P701" i="1"/>
  <c r="Q701" i="1" s="1"/>
  <c r="V700" i="1"/>
  <c r="W700" i="1" s="1"/>
  <c r="T700" i="1"/>
  <c r="U700" i="1" s="1"/>
  <c r="R700" i="1"/>
  <c r="S700" i="1" s="1"/>
  <c r="P700" i="1"/>
  <c r="Q700" i="1" s="1"/>
  <c r="V699" i="1"/>
  <c r="W699" i="1" s="1"/>
  <c r="T699" i="1"/>
  <c r="U699" i="1" s="1"/>
  <c r="R699" i="1"/>
  <c r="S699" i="1" s="1"/>
  <c r="P699" i="1"/>
  <c r="Q699" i="1" s="1"/>
  <c r="V698" i="1"/>
  <c r="W698" i="1" s="1"/>
  <c r="T698" i="1"/>
  <c r="U698" i="1" s="1"/>
  <c r="R698" i="1"/>
  <c r="S698" i="1" s="1"/>
  <c r="P698" i="1"/>
  <c r="Q698" i="1" s="1"/>
  <c r="V697" i="1"/>
  <c r="W697" i="1" s="1"/>
  <c r="T697" i="1"/>
  <c r="U697" i="1" s="1"/>
  <c r="R697" i="1"/>
  <c r="S697" i="1" s="1"/>
  <c r="P697" i="1"/>
  <c r="Q697" i="1" s="1"/>
  <c r="V696" i="1"/>
  <c r="W696" i="1" s="1"/>
  <c r="T696" i="1"/>
  <c r="U696" i="1" s="1"/>
  <c r="R696" i="1"/>
  <c r="S696" i="1" s="1"/>
  <c r="P696" i="1"/>
  <c r="Q696" i="1" s="1"/>
  <c r="V695" i="1"/>
  <c r="W695" i="1" s="1"/>
  <c r="T695" i="1"/>
  <c r="U695" i="1" s="1"/>
  <c r="R695" i="1"/>
  <c r="S695" i="1" s="1"/>
  <c r="P695" i="1"/>
  <c r="Q695" i="1" s="1"/>
  <c r="V725" i="1"/>
  <c r="W725" i="1" s="1"/>
  <c r="T725" i="1"/>
  <c r="U725" i="1" s="1"/>
  <c r="R725" i="1"/>
  <c r="S725" i="1" s="1"/>
  <c r="P725" i="1"/>
  <c r="Q725" i="1" s="1"/>
  <c r="N725" i="1"/>
  <c r="O725" i="1" s="1"/>
  <c r="L725" i="1"/>
  <c r="M725" i="1" s="1"/>
  <c r="J725" i="1"/>
  <c r="K725" i="1" s="1"/>
  <c r="H725" i="1"/>
  <c r="I725" i="1" s="1"/>
  <c r="V724" i="1"/>
  <c r="W724" i="1" s="1"/>
  <c r="T724" i="1"/>
  <c r="U724" i="1" s="1"/>
  <c r="R724" i="1"/>
  <c r="S724" i="1" s="1"/>
  <c r="P724" i="1"/>
  <c r="Q724" i="1" s="1"/>
  <c r="N724" i="1"/>
  <c r="O724" i="1" s="1"/>
  <c r="L724" i="1"/>
  <c r="M724" i="1" s="1"/>
  <c r="J724" i="1"/>
  <c r="K724" i="1" s="1"/>
  <c r="H724" i="1"/>
  <c r="I724" i="1" s="1"/>
  <c r="V717" i="1"/>
  <c r="W717" i="1" s="1"/>
  <c r="T717" i="1"/>
  <c r="U717" i="1" s="1"/>
  <c r="R717" i="1"/>
  <c r="S717" i="1" s="1"/>
  <c r="V716" i="1"/>
  <c r="W716" i="1" s="1"/>
  <c r="T716" i="1"/>
  <c r="U716" i="1" s="1"/>
  <c r="R716" i="1"/>
  <c r="S716" i="1" s="1"/>
  <c r="V715" i="1"/>
  <c r="W715" i="1" s="1"/>
  <c r="T715" i="1"/>
  <c r="U715" i="1" s="1"/>
  <c r="R715" i="1"/>
  <c r="S715" i="1" s="1"/>
  <c r="V714" i="1"/>
  <c r="W714" i="1" s="1"/>
  <c r="T714" i="1"/>
  <c r="U714" i="1" s="1"/>
  <c r="R714" i="1"/>
  <c r="S714" i="1" s="1"/>
  <c r="V713" i="1"/>
  <c r="W713" i="1" s="1"/>
  <c r="T713" i="1"/>
  <c r="U713" i="1" s="1"/>
  <c r="R713" i="1"/>
  <c r="S713" i="1" s="1"/>
  <c r="P713" i="1"/>
  <c r="Q713" i="1" s="1"/>
  <c r="N713" i="1"/>
  <c r="O713" i="1" s="1"/>
  <c r="L713" i="1"/>
  <c r="M713" i="1" s="1"/>
  <c r="V473" i="1" l="1"/>
  <c r="W473" i="1" s="1"/>
  <c r="T473" i="1"/>
  <c r="U473" i="1" s="1"/>
  <c r="R473" i="1"/>
  <c r="S473" i="1" s="1"/>
  <c r="P473" i="1"/>
  <c r="Q473" i="1" s="1"/>
  <c r="N473" i="1"/>
  <c r="O473" i="1" s="1"/>
  <c r="L473" i="1"/>
  <c r="M473" i="1" s="1"/>
  <c r="J473" i="1"/>
  <c r="K473" i="1" s="1"/>
  <c r="F744" i="1"/>
  <c r="T744" i="1" s="1"/>
  <c r="U744" i="1" s="1"/>
  <c r="T745" i="1"/>
  <c r="U745" i="1" s="1"/>
  <c r="R743" i="1"/>
  <c r="S743" i="1" s="1"/>
  <c r="T741" i="1"/>
  <c r="U741" i="1" s="1"/>
  <c r="R741" i="1"/>
  <c r="S741" i="1" s="1"/>
  <c r="P741" i="1"/>
  <c r="Q741" i="1" s="1"/>
  <c r="N741" i="1"/>
  <c r="O741" i="1" s="1"/>
  <c r="L741" i="1"/>
  <c r="M741" i="1" s="1"/>
  <c r="J741" i="1"/>
  <c r="K741" i="1" s="1"/>
  <c r="T737" i="1"/>
  <c r="U737" i="1" s="1"/>
  <c r="R737" i="1"/>
  <c r="S737" i="1" s="1"/>
  <c r="P737" i="1"/>
  <c r="Q737" i="1" s="1"/>
  <c r="N737" i="1"/>
  <c r="O737" i="1" s="1"/>
  <c r="L737" i="1"/>
  <c r="M737" i="1" s="1"/>
  <c r="J737" i="1"/>
  <c r="K737" i="1" s="1"/>
  <c r="F614" i="1"/>
  <c r="J614" i="1" s="1"/>
  <c r="J613" i="1"/>
  <c r="L743" i="1" l="1"/>
  <c r="M743" i="1" s="1"/>
  <c r="N743" i="1"/>
  <c r="O743" i="1" s="1"/>
  <c r="N745" i="1"/>
  <c r="O745" i="1" s="1"/>
  <c r="P745" i="1"/>
  <c r="Q745" i="1" s="1"/>
  <c r="T743" i="1"/>
  <c r="U743" i="1" s="1"/>
  <c r="N744" i="1"/>
  <c r="O744" i="1" s="1"/>
  <c r="P744" i="1"/>
  <c r="Q744" i="1" s="1"/>
  <c r="J744" i="1"/>
  <c r="K744" i="1" s="1"/>
  <c r="R744" i="1"/>
  <c r="S744" i="1" s="1"/>
  <c r="L744" i="1"/>
  <c r="M744" i="1" s="1"/>
  <c r="J745" i="1"/>
  <c r="K745" i="1" s="1"/>
  <c r="R745" i="1"/>
  <c r="S745" i="1" s="1"/>
  <c r="L745" i="1"/>
  <c r="M745" i="1" s="1"/>
  <c r="P743" i="1"/>
  <c r="Q743" i="1" s="1"/>
  <c r="J743" i="1"/>
  <c r="K743" i="1" s="1"/>
  <c r="V573" i="1" l="1"/>
  <c r="W573" i="1" s="1"/>
  <c r="T573" i="1"/>
  <c r="U573" i="1" s="1"/>
  <c r="R573" i="1"/>
  <c r="S573" i="1" s="1"/>
  <c r="P573" i="1"/>
  <c r="Q573" i="1" s="1"/>
  <c r="N573" i="1"/>
  <c r="O573" i="1" s="1"/>
  <c r="L573" i="1"/>
  <c r="M573" i="1" s="1"/>
  <c r="J573" i="1"/>
  <c r="K573" i="1" s="1"/>
  <c r="H573" i="1"/>
  <c r="I573" i="1" s="1"/>
  <c r="V577" i="1"/>
  <c r="W577" i="1" s="1"/>
  <c r="T577" i="1"/>
  <c r="U577" i="1" s="1"/>
  <c r="R577" i="1"/>
  <c r="S577" i="1" s="1"/>
  <c r="P577" i="1"/>
  <c r="Q577" i="1" s="1"/>
  <c r="N577" i="1"/>
  <c r="O577" i="1" s="1"/>
  <c r="L577" i="1"/>
  <c r="M577" i="1" s="1"/>
  <c r="J577" i="1"/>
  <c r="K577" i="1" s="1"/>
  <c r="H577" i="1"/>
  <c r="I577" i="1" s="1"/>
  <c r="V604" i="1"/>
  <c r="W604" i="1" s="1"/>
  <c r="T604" i="1"/>
  <c r="U604" i="1" s="1"/>
  <c r="R604" i="1"/>
  <c r="S604" i="1" s="1"/>
  <c r="P604" i="1"/>
  <c r="Q604" i="1" s="1"/>
  <c r="N604" i="1"/>
  <c r="O604" i="1" s="1"/>
  <c r="L604" i="1"/>
  <c r="M604" i="1" s="1"/>
  <c r="V607" i="1"/>
  <c r="W607" i="1" s="1"/>
  <c r="T607" i="1"/>
  <c r="U607" i="1" s="1"/>
  <c r="R607" i="1"/>
  <c r="S607" i="1" s="1"/>
  <c r="P607" i="1"/>
  <c r="Q607" i="1" s="1"/>
  <c r="N607" i="1"/>
  <c r="O607" i="1" s="1"/>
  <c r="L607" i="1"/>
  <c r="M607" i="1" s="1"/>
  <c r="H613" i="1"/>
  <c r="I613" i="1" s="1"/>
  <c r="K613" i="1"/>
  <c r="L613" i="1"/>
  <c r="M613" i="1" s="1"/>
  <c r="N613" i="1"/>
  <c r="O613" i="1" s="1"/>
  <c r="P613" i="1"/>
  <c r="Q613" i="1" s="1"/>
  <c r="R613" i="1"/>
  <c r="S613" i="1" s="1"/>
  <c r="T613" i="1"/>
  <c r="U613" i="1" s="1"/>
  <c r="V613" i="1"/>
  <c r="W613" i="1" s="1"/>
  <c r="H614" i="1"/>
  <c r="I614" i="1" s="1"/>
  <c r="K614" i="1"/>
  <c r="L614" i="1"/>
  <c r="M614" i="1" s="1"/>
  <c r="N614" i="1"/>
  <c r="O614" i="1" s="1"/>
  <c r="P614" i="1"/>
  <c r="Q614" i="1" s="1"/>
  <c r="R614" i="1"/>
  <c r="S614" i="1" s="1"/>
  <c r="T614" i="1"/>
  <c r="U614" i="1" s="1"/>
  <c r="V614" i="1"/>
  <c r="W614" i="1" s="1"/>
  <c r="V602" i="1"/>
  <c r="W602" i="1" s="1"/>
  <c r="T602" i="1"/>
  <c r="U602" i="1" s="1"/>
  <c r="R602" i="1"/>
  <c r="S602" i="1" s="1"/>
  <c r="P602" i="1"/>
  <c r="Q602" i="1" s="1"/>
  <c r="N602" i="1"/>
  <c r="O602" i="1" s="1"/>
  <c r="L602" i="1"/>
  <c r="M602" i="1" s="1"/>
  <c r="K602" i="1"/>
  <c r="H602" i="1"/>
  <c r="I602" i="1" s="1"/>
  <c r="V595" i="1"/>
  <c r="W595" i="1" s="1"/>
  <c r="T595" i="1"/>
  <c r="U595" i="1" s="1"/>
  <c r="R595" i="1"/>
  <c r="S595" i="1" s="1"/>
  <c r="V598" i="1"/>
  <c r="W598" i="1" s="1"/>
  <c r="T598" i="1"/>
  <c r="U598" i="1" s="1"/>
  <c r="R598" i="1"/>
  <c r="S598" i="1" s="1"/>
  <c r="P598" i="1"/>
  <c r="Q598" i="1" s="1"/>
  <c r="N598" i="1"/>
  <c r="O598" i="1" s="1"/>
  <c r="L598" i="1"/>
  <c r="M598" i="1" s="1"/>
  <c r="H530" i="1"/>
  <c r="H529" i="1"/>
  <c r="V535" i="1"/>
  <c r="W535" i="1" s="1"/>
  <c r="T535" i="1"/>
  <c r="U535" i="1" s="1"/>
  <c r="R535" i="1"/>
  <c r="S535" i="1" s="1"/>
  <c r="P535" i="1"/>
  <c r="Q535" i="1" s="1"/>
  <c r="N535" i="1"/>
  <c r="O535" i="1" s="1"/>
  <c r="L535" i="1"/>
  <c r="M535" i="1" s="1"/>
  <c r="J535" i="1"/>
  <c r="K535" i="1" s="1"/>
  <c r="V534" i="1"/>
  <c r="W534" i="1" s="1"/>
  <c r="T534" i="1"/>
  <c r="U534" i="1" s="1"/>
  <c r="R534" i="1"/>
  <c r="S534" i="1" s="1"/>
  <c r="P534" i="1"/>
  <c r="Q534" i="1" s="1"/>
  <c r="N534" i="1"/>
  <c r="O534" i="1" s="1"/>
  <c r="L534" i="1"/>
  <c r="M534" i="1" s="1"/>
  <c r="J534" i="1"/>
  <c r="K534" i="1" s="1"/>
  <c r="V533" i="1"/>
  <c r="W533" i="1" s="1"/>
  <c r="T533" i="1"/>
  <c r="U533" i="1" s="1"/>
  <c r="R533" i="1"/>
  <c r="S533" i="1" s="1"/>
  <c r="P533" i="1"/>
  <c r="Q533" i="1" s="1"/>
  <c r="N533" i="1"/>
  <c r="O533" i="1" s="1"/>
  <c r="L533" i="1"/>
  <c r="M533" i="1" s="1"/>
  <c r="J533" i="1"/>
  <c r="K533" i="1" s="1"/>
  <c r="V530" i="1"/>
  <c r="W530" i="1" s="1"/>
  <c r="T530" i="1"/>
  <c r="U530" i="1" s="1"/>
  <c r="R530" i="1"/>
  <c r="S530" i="1" s="1"/>
  <c r="P530" i="1"/>
  <c r="Q530" i="1" s="1"/>
  <c r="N530" i="1"/>
  <c r="O530" i="1" s="1"/>
  <c r="L530" i="1"/>
  <c r="M530" i="1" s="1"/>
  <c r="J530" i="1"/>
  <c r="K530" i="1" s="1"/>
  <c r="V529" i="1"/>
  <c r="W529" i="1" s="1"/>
  <c r="T529" i="1"/>
  <c r="U529" i="1" s="1"/>
  <c r="R529" i="1"/>
  <c r="S529" i="1" s="1"/>
  <c r="P529" i="1"/>
  <c r="Q529" i="1" s="1"/>
  <c r="N529" i="1"/>
  <c r="O529" i="1" s="1"/>
  <c r="L529" i="1"/>
  <c r="M529" i="1" s="1"/>
  <c r="J529" i="1"/>
  <c r="K529" i="1" s="1"/>
  <c r="J520" i="1"/>
  <c r="V520" i="1"/>
  <c r="W520" i="1" s="1"/>
  <c r="T520" i="1"/>
  <c r="U520" i="1" s="1"/>
  <c r="R520" i="1"/>
  <c r="S520" i="1" s="1"/>
  <c r="P520" i="1"/>
  <c r="Q520" i="1" s="1"/>
  <c r="N520" i="1"/>
  <c r="O520" i="1" s="1"/>
  <c r="L520" i="1"/>
  <c r="M520" i="1" s="1"/>
  <c r="V528" i="1"/>
  <c r="W528" i="1" s="1"/>
  <c r="T528" i="1"/>
  <c r="U528" i="1" s="1"/>
  <c r="R528" i="1"/>
  <c r="S528" i="1" s="1"/>
  <c r="P528" i="1"/>
  <c r="Q528" i="1" s="1"/>
  <c r="N528" i="1"/>
  <c r="O528" i="1" s="1"/>
  <c r="L528" i="1"/>
  <c r="M528" i="1" s="1"/>
  <c r="J528" i="1"/>
  <c r="K528" i="1" s="1"/>
  <c r="V527" i="1"/>
  <c r="W527" i="1" s="1"/>
  <c r="T527" i="1"/>
  <c r="U527" i="1" s="1"/>
  <c r="R527" i="1"/>
  <c r="S527" i="1" s="1"/>
  <c r="P527" i="1"/>
  <c r="Q527" i="1" s="1"/>
  <c r="N527" i="1"/>
  <c r="O527" i="1" s="1"/>
  <c r="L527" i="1"/>
  <c r="M527" i="1" s="1"/>
  <c r="J527" i="1"/>
  <c r="K527" i="1" s="1"/>
  <c r="H527" i="1"/>
  <c r="I527" i="1" s="1"/>
  <c r="V526" i="1"/>
  <c r="W526" i="1" s="1"/>
  <c r="T526" i="1"/>
  <c r="U526" i="1" s="1"/>
  <c r="R526" i="1"/>
  <c r="S526" i="1" s="1"/>
  <c r="P526" i="1"/>
  <c r="Q526" i="1" s="1"/>
  <c r="N526" i="1"/>
  <c r="O526" i="1" s="1"/>
  <c r="L526" i="1"/>
  <c r="M526" i="1" s="1"/>
  <c r="J526" i="1"/>
  <c r="K526" i="1" s="1"/>
  <c r="H526" i="1"/>
  <c r="I526" i="1" s="1"/>
  <c r="V525" i="1"/>
  <c r="W525" i="1" s="1"/>
  <c r="T525" i="1"/>
  <c r="U525" i="1" s="1"/>
  <c r="R525" i="1"/>
  <c r="S525" i="1" s="1"/>
  <c r="P525" i="1"/>
  <c r="Q525" i="1" s="1"/>
  <c r="N525" i="1"/>
  <c r="O525" i="1" s="1"/>
  <c r="L525" i="1"/>
  <c r="M525" i="1" s="1"/>
  <c r="J525" i="1"/>
  <c r="K525" i="1" s="1"/>
  <c r="H525" i="1"/>
  <c r="I525" i="1" s="1"/>
  <c r="V524" i="1"/>
  <c r="W524" i="1" s="1"/>
  <c r="T524" i="1"/>
  <c r="U524" i="1" s="1"/>
  <c r="R524" i="1"/>
  <c r="S524" i="1" s="1"/>
  <c r="P524" i="1"/>
  <c r="Q524" i="1" s="1"/>
  <c r="N524" i="1"/>
  <c r="O524" i="1" s="1"/>
  <c r="L524" i="1"/>
  <c r="M524" i="1" s="1"/>
  <c r="J524" i="1"/>
  <c r="K524" i="1" s="1"/>
  <c r="H524" i="1"/>
  <c r="I524" i="1" s="1"/>
  <c r="T523" i="1"/>
  <c r="V523" i="1"/>
  <c r="R523" i="1"/>
  <c r="P523" i="1"/>
  <c r="N523" i="1"/>
  <c r="V516" i="1"/>
  <c r="W516" i="1" s="1"/>
  <c r="T516" i="1"/>
  <c r="U516" i="1" s="1"/>
  <c r="R516" i="1"/>
  <c r="S516" i="1" s="1"/>
  <c r="P516" i="1"/>
  <c r="Q516" i="1" s="1"/>
  <c r="N516" i="1"/>
  <c r="O516" i="1" s="1"/>
  <c r="L516" i="1"/>
  <c r="M516" i="1" s="1"/>
  <c r="V517" i="1"/>
  <c r="W517" i="1" s="1"/>
  <c r="T517" i="1"/>
  <c r="U517" i="1" s="1"/>
  <c r="R517" i="1"/>
  <c r="S517" i="1" s="1"/>
  <c r="P517" i="1"/>
  <c r="Q517" i="1" s="1"/>
  <c r="N517" i="1"/>
  <c r="O517" i="1" s="1"/>
  <c r="L517" i="1"/>
  <c r="M517" i="1" s="1"/>
  <c r="V518" i="1"/>
  <c r="W518" i="1" s="1"/>
  <c r="T518" i="1"/>
  <c r="U518" i="1" s="1"/>
  <c r="R518" i="1"/>
  <c r="S518" i="1" s="1"/>
  <c r="P518" i="1"/>
  <c r="Q518" i="1" s="1"/>
  <c r="N518" i="1"/>
  <c r="O518" i="1" s="1"/>
  <c r="L518" i="1"/>
  <c r="M518" i="1" s="1"/>
  <c r="V519" i="1"/>
  <c r="W519" i="1" s="1"/>
  <c r="T519" i="1"/>
  <c r="U519" i="1" s="1"/>
  <c r="R519" i="1"/>
  <c r="S519" i="1" s="1"/>
  <c r="P519" i="1"/>
  <c r="Q519" i="1" s="1"/>
  <c r="N519" i="1"/>
  <c r="O519" i="1" s="1"/>
  <c r="L519" i="1"/>
  <c r="M519" i="1" s="1"/>
  <c r="V521" i="1"/>
  <c r="W521" i="1" s="1"/>
  <c r="T521" i="1"/>
  <c r="U521" i="1" s="1"/>
  <c r="R521" i="1"/>
  <c r="S521" i="1" s="1"/>
  <c r="P521" i="1"/>
  <c r="Q521" i="1" s="1"/>
  <c r="N521" i="1"/>
  <c r="O521" i="1" s="1"/>
  <c r="L521" i="1"/>
  <c r="M521" i="1" s="1"/>
  <c r="H523" i="1"/>
  <c r="J523" i="1"/>
  <c r="L523" i="1"/>
  <c r="V522" i="1"/>
  <c r="N522" i="1"/>
  <c r="L522" i="1"/>
  <c r="P522" i="1"/>
  <c r="R522" i="1"/>
  <c r="T522" i="1"/>
  <c r="W467" i="1" l="1"/>
  <c r="W468" i="1"/>
  <c r="H468" i="1"/>
  <c r="N374" i="1"/>
  <c r="O374" i="1" s="1"/>
  <c r="L374" i="1"/>
  <c r="M374" i="1" s="1"/>
  <c r="J374" i="1"/>
  <c r="K374" i="1" s="1"/>
  <c r="H374" i="1"/>
  <c r="I374" i="1" s="1"/>
  <c r="L429" i="1"/>
  <c r="M429" i="1" s="1"/>
  <c r="N429" i="1"/>
  <c r="O429" i="1" s="1"/>
  <c r="P429" i="1"/>
  <c r="Q429" i="1" s="1"/>
  <c r="R429" i="1"/>
  <c r="S429" i="1" s="1"/>
  <c r="T429" i="1"/>
  <c r="U429" i="1" s="1"/>
  <c r="V429" i="1"/>
  <c r="W429" i="1" s="1"/>
  <c r="V403" i="1"/>
  <c r="W403" i="1" s="1"/>
  <c r="T403" i="1"/>
  <c r="U403" i="1" s="1"/>
  <c r="R403" i="1"/>
  <c r="S403" i="1" s="1"/>
  <c r="P403" i="1"/>
  <c r="Q403" i="1" s="1"/>
  <c r="N403" i="1"/>
  <c r="O403" i="1" s="1"/>
  <c r="L403" i="1"/>
  <c r="M403" i="1" s="1"/>
  <c r="V391" i="1"/>
  <c r="W391" i="1" s="1"/>
  <c r="T391" i="1"/>
  <c r="U391" i="1" s="1"/>
  <c r="R391" i="1"/>
  <c r="S391" i="1" s="1"/>
  <c r="P391" i="1"/>
  <c r="Q391" i="1" s="1"/>
  <c r="N391" i="1"/>
  <c r="O391" i="1" s="1"/>
  <c r="L391" i="1"/>
  <c r="M391" i="1" s="1"/>
  <c r="J347" i="1"/>
  <c r="V347" i="1"/>
  <c r="W347" i="1" s="1"/>
  <c r="T347" i="1"/>
  <c r="U347" i="1" s="1"/>
  <c r="R347" i="1"/>
  <c r="S347" i="1" s="1"/>
  <c r="P347" i="1"/>
  <c r="Q347" i="1" s="1"/>
  <c r="N347" i="1"/>
  <c r="O347" i="1" s="1"/>
  <c r="L347" i="1"/>
  <c r="M347" i="1" s="1"/>
  <c r="V314" i="1"/>
  <c r="W314" i="1" s="1"/>
  <c r="T314" i="1"/>
  <c r="U314" i="1" s="1"/>
  <c r="R314" i="1"/>
  <c r="S314" i="1" s="1"/>
  <c r="P314" i="1"/>
  <c r="Q314" i="1" s="1"/>
  <c r="N314" i="1"/>
  <c r="O314" i="1" s="1"/>
  <c r="L314" i="1"/>
  <c r="M314" i="1" s="1"/>
  <c r="J314" i="1"/>
  <c r="K314" i="1" s="1"/>
  <c r="H314" i="1"/>
  <c r="I314" i="1" s="1"/>
  <c r="V313" i="1"/>
  <c r="W313" i="1" s="1"/>
  <c r="T313" i="1"/>
  <c r="U313" i="1" s="1"/>
  <c r="R313" i="1"/>
  <c r="S313" i="1" s="1"/>
  <c r="P313" i="1"/>
  <c r="Q313" i="1" s="1"/>
  <c r="N313" i="1"/>
  <c r="O313" i="1" s="1"/>
  <c r="L313" i="1"/>
  <c r="M313" i="1" s="1"/>
  <c r="J313" i="1"/>
  <c r="K313" i="1" s="1"/>
  <c r="H313" i="1"/>
  <c r="I313" i="1" s="1"/>
  <c r="V312" i="1"/>
  <c r="W312" i="1" s="1"/>
  <c r="T312" i="1"/>
  <c r="U312" i="1" s="1"/>
  <c r="R312" i="1"/>
  <c r="S312" i="1" s="1"/>
  <c r="P312" i="1"/>
  <c r="Q312" i="1" s="1"/>
  <c r="N312" i="1"/>
  <c r="O312" i="1" s="1"/>
  <c r="L312" i="1"/>
  <c r="M312" i="1" s="1"/>
  <c r="J312" i="1"/>
  <c r="K312" i="1" s="1"/>
  <c r="H312" i="1"/>
  <c r="I312" i="1" s="1"/>
  <c r="V311" i="1"/>
  <c r="W311" i="1" s="1"/>
  <c r="T311" i="1"/>
  <c r="U311" i="1" s="1"/>
  <c r="R311" i="1"/>
  <c r="S311" i="1" s="1"/>
  <c r="P311" i="1"/>
  <c r="Q311" i="1" s="1"/>
  <c r="N311" i="1"/>
  <c r="O311" i="1" s="1"/>
  <c r="L311" i="1"/>
  <c r="M311" i="1" s="1"/>
  <c r="J311" i="1"/>
  <c r="K311" i="1" s="1"/>
  <c r="H311" i="1"/>
  <c r="I311" i="1" s="1"/>
  <c r="V310" i="1"/>
  <c r="W310" i="1" s="1"/>
  <c r="T310" i="1"/>
  <c r="U310" i="1" s="1"/>
  <c r="R310" i="1"/>
  <c r="S310" i="1" s="1"/>
  <c r="P310" i="1"/>
  <c r="Q310" i="1" s="1"/>
  <c r="N310" i="1"/>
  <c r="O310" i="1" s="1"/>
  <c r="L310" i="1"/>
  <c r="M310" i="1" s="1"/>
  <c r="J310" i="1"/>
  <c r="K310" i="1" s="1"/>
  <c r="H310" i="1"/>
  <c r="I310" i="1" s="1"/>
  <c r="V309" i="1"/>
  <c r="W309" i="1" s="1"/>
  <c r="T309" i="1"/>
  <c r="U309" i="1" s="1"/>
  <c r="R309" i="1"/>
  <c r="S309" i="1" s="1"/>
  <c r="P309" i="1"/>
  <c r="Q309" i="1" s="1"/>
  <c r="N309" i="1"/>
  <c r="O309" i="1" s="1"/>
  <c r="L309" i="1"/>
  <c r="M309" i="1" s="1"/>
  <c r="J309" i="1"/>
  <c r="K309" i="1" s="1"/>
  <c r="H309" i="1"/>
  <c r="I309" i="1" s="1"/>
  <c r="V306" i="1"/>
  <c r="W306" i="1" s="1"/>
  <c r="T306" i="1"/>
  <c r="U306" i="1" s="1"/>
  <c r="R306" i="1"/>
  <c r="S306" i="1" s="1"/>
  <c r="P306" i="1"/>
  <c r="Q306" i="1" s="1"/>
  <c r="N306" i="1"/>
  <c r="O306" i="1" s="1"/>
  <c r="L306" i="1"/>
  <c r="M306" i="1" s="1"/>
  <c r="J306" i="1"/>
  <c r="K306" i="1" s="1"/>
  <c r="H306" i="1"/>
  <c r="I306" i="1" s="1"/>
  <c r="V325" i="1"/>
  <c r="W325" i="1" s="1"/>
  <c r="T325" i="1"/>
  <c r="U325" i="1" s="1"/>
  <c r="R325" i="1"/>
  <c r="S325" i="1" s="1"/>
  <c r="P325" i="1"/>
  <c r="Q325" i="1" s="1"/>
  <c r="N325" i="1"/>
  <c r="O325" i="1" s="1"/>
  <c r="L325" i="1"/>
  <c r="M325" i="1" s="1"/>
  <c r="J325" i="1"/>
  <c r="K325" i="1" s="1"/>
  <c r="H325" i="1"/>
  <c r="I325" i="1" s="1"/>
  <c r="V338" i="1"/>
  <c r="W338" i="1" s="1"/>
  <c r="T338" i="1"/>
  <c r="U338" i="1" s="1"/>
  <c r="R338" i="1"/>
  <c r="S338" i="1" s="1"/>
  <c r="P338" i="1"/>
  <c r="Q338" i="1" s="1"/>
  <c r="N338" i="1"/>
  <c r="O338" i="1" s="1"/>
  <c r="L338" i="1"/>
  <c r="M338" i="1" s="1"/>
  <c r="J338" i="1"/>
  <c r="K338" i="1" s="1"/>
  <c r="H338" i="1"/>
  <c r="I338" i="1" s="1"/>
  <c r="V339" i="1"/>
  <c r="W339" i="1" s="1"/>
  <c r="T339" i="1"/>
  <c r="U339" i="1" s="1"/>
  <c r="R339" i="1"/>
  <c r="S339" i="1" s="1"/>
  <c r="P339" i="1"/>
  <c r="Q339" i="1" s="1"/>
  <c r="N339" i="1"/>
  <c r="O339" i="1" s="1"/>
  <c r="L339" i="1"/>
  <c r="M339" i="1" s="1"/>
  <c r="J339" i="1"/>
  <c r="K339" i="1" s="1"/>
  <c r="H339" i="1"/>
  <c r="I339" i="1" s="1"/>
  <c r="V340" i="1"/>
  <c r="T340" i="1"/>
  <c r="R340" i="1"/>
  <c r="P340" i="1"/>
  <c r="N340" i="1"/>
  <c r="L340" i="1"/>
  <c r="J340" i="1"/>
  <c r="H340" i="1"/>
  <c r="V303" i="1"/>
  <c r="W303" i="1" s="1"/>
  <c r="T303" i="1"/>
  <c r="U303" i="1" s="1"/>
  <c r="R303" i="1"/>
  <c r="S303" i="1" s="1"/>
  <c r="P303" i="1"/>
  <c r="Q303" i="1" s="1"/>
  <c r="N303" i="1"/>
  <c r="O303" i="1" s="1"/>
  <c r="L303" i="1"/>
  <c r="M303" i="1" s="1"/>
  <c r="V302" i="1"/>
  <c r="W302" i="1" s="1"/>
  <c r="T302" i="1"/>
  <c r="U302" i="1" s="1"/>
  <c r="R302" i="1"/>
  <c r="S302" i="1" s="1"/>
  <c r="P302" i="1"/>
  <c r="Q302" i="1" s="1"/>
  <c r="N302" i="1"/>
  <c r="O302" i="1" s="1"/>
  <c r="L302" i="1"/>
  <c r="M302" i="1" s="1"/>
  <c r="V301" i="1"/>
  <c r="W301" i="1" s="1"/>
  <c r="T301" i="1"/>
  <c r="U301" i="1" s="1"/>
  <c r="R301" i="1"/>
  <c r="S301" i="1" s="1"/>
  <c r="P301" i="1"/>
  <c r="Q301" i="1" s="1"/>
  <c r="N301" i="1"/>
  <c r="O301" i="1" s="1"/>
  <c r="L301" i="1"/>
  <c r="M301" i="1" s="1"/>
  <c r="V291" i="1"/>
  <c r="T291" i="1"/>
  <c r="R291" i="1"/>
  <c r="P291" i="1"/>
  <c r="N291" i="1"/>
  <c r="L291" i="1"/>
  <c r="J291" i="1"/>
  <c r="H250" i="1"/>
  <c r="I250" i="1" s="1"/>
  <c r="J250" i="1"/>
  <c r="K250" i="1" s="1"/>
  <c r="L250" i="1"/>
  <c r="M250" i="1" s="1"/>
  <c r="N250" i="1"/>
  <c r="O250" i="1" s="1"/>
  <c r="P250" i="1"/>
  <c r="Q250" i="1" s="1"/>
  <c r="R250" i="1"/>
  <c r="S250" i="1" s="1"/>
  <c r="T250" i="1"/>
  <c r="U250" i="1" s="1"/>
  <c r="V250" i="1"/>
  <c r="W250" i="1" s="1"/>
  <c r="H253" i="1"/>
  <c r="I253" i="1" s="1"/>
  <c r="J253" i="1"/>
  <c r="K253" i="1" s="1"/>
  <c r="L253" i="1"/>
  <c r="M253" i="1" s="1"/>
  <c r="N253" i="1"/>
  <c r="O253" i="1" s="1"/>
  <c r="P253" i="1"/>
  <c r="Q253" i="1" s="1"/>
  <c r="R253" i="1"/>
  <c r="S253" i="1" s="1"/>
  <c r="T253" i="1"/>
  <c r="U253" i="1" s="1"/>
  <c r="V253" i="1"/>
  <c r="W253" i="1" s="1"/>
  <c r="V513" i="1"/>
  <c r="W513" i="1" s="1"/>
  <c r="T513" i="1"/>
  <c r="U513" i="1" s="1"/>
  <c r="R513" i="1"/>
  <c r="S513" i="1" s="1"/>
  <c r="P513" i="1"/>
  <c r="Q513" i="1" s="1"/>
  <c r="N513" i="1"/>
  <c r="O513" i="1" s="1"/>
  <c r="L513" i="1"/>
  <c r="M513" i="1" s="1"/>
  <c r="J513" i="1"/>
  <c r="K513" i="1" s="1"/>
  <c r="G497" i="1"/>
  <c r="G496" i="1"/>
  <c r="G495" i="1"/>
  <c r="G494" i="1" l="1"/>
  <c r="V197" i="1"/>
  <c r="W197" i="1" s="1"/>
  <c r="T197" i="1"/>
  <c r="U197" i="1" s="1"/>
  <c r="R197" i="1"/>
  <c r="S197" i="1" s="1"/>
  <c r="P197" i="1"/>
  <c r="Q197" i="1" s="1"/>
  <c r="N197" i="1"/>
  <c r="O197" i="1" s="1"/>
  <c r="L197" i="1"/>
  <c r="M197" i="1" s="1"/>
  <c r="J231" i="1"/>
  <c r="N231" i="1"/>
  <c r="L231" i="1"/>
  <c r="L232" i="1"/>
  <c r="N246" i="1"/>
  <c r="L246" i="1"/>
  <c r="J246" i="1"/>
  <c r="P246" i="1"/>
  <c r="R246" i="1"/>
  <c r="T246" i="1"/>
  <c r="V246" i="1"/>
  <c r="H246" i="1"/>
  <c r="W230" i="1"/>
  <c r="U230" i="1"/>
  <c r="S230" i="1"/>
  <c r="Q230" i="1"/>
  <c r="O230" i="1"/>
  <c r="M230" i="1"/>
  <c r="K230" i="1"/>
  <c r="V226" i="1"/>
  <c r="W226" i="1" s="1"/>
  <c r="T226" i="1"/>
  <c r="U226" i="1" s="1"/>
  <c r="R226" i="1"/>
  <c r="S226" i="1" s="1"/>
  <c r="P226" i="1"/>
  <c r="Q226" i="1" s="1"/>
  <c r="N226" i="1"/>
  <c r="O226" i="1" s="1"/>
  <c r="L226" i="1"/>
  <c r="M226" i="1" s="1"/>
  <c r="J226" i="1"/>
  <c r="K226" i="1" s="1"/>
  <c r="V218" i="1"/>
  <c r="W218" i="1" s="1"/>
  <c r="T218" i="1"/>
  <c r="U218" i="1" s="1"/>
  <c r="R218" i="1"/>
  <c r="S218" i="1" s="1"/>
  <c r="P218" i="1"/>
  <c r="Q218" i="1" s="1"/>
  <c r="N218" i="1"/>
  <c r="O218" i="1" s="1"/>
  <c r="V220" i="1"/>
  <c r="W220" i="1" s="1"/>
  <c r="T220" i="1"/>
  <c r="U220" i="1" s="1"/>
  <c r="V219" i="1"/>
  <c r="W219" i="1" s="1"/>
  <c r="T219" i="1"/>
  <c r="U219" i="1" s="1"/>
  <c r="V217" i="1"/>
  <c r="W217" i="1" s="1"/>
  <c r="T217" i="1"/>
  <c r="U217" i="1" s="1"/>
  <c r="R217" i="1"/>
  <c r="S217" i="1" s="1"/>
  <c r="P217" i="1"/>
  <c r="Q217" i="1" s="1"/>
  <c r="N217" i="1"/>
  <c r="O217" i="1" s="1"/>
  <c r="L217" i="1"/>
  <c r="M217" i="1" s="1"/>
  <c r="J217" i="1"/>
  <c r="K217" i="1" s="1"/>
  <c r="V214" i="1"/>
  <c r="W214" i="1" s="1"/>
  <c r="T214" i="1"/>
  <c r="U214" i="1" s="1"/>
  <c r="R214" i="1"/>
  <c r="S214" i="1" s="1"/>
  <c r="P214" i="1"/>
  <c r="Q214" i="1" s="1"/>
  <c r="N214" i="1"/>
  <c r="O214" i="1" s="1"/>
  <c r="L214" i="1"/>
  <c r="M214" i="1" s="1"/>
  <c r="J214" i="1"/>
  <c r="K214" i="1" s="1"/>
  <c r="V203" i="1"/>
  <c r="T203" i="1"/>
  <c r="T199" i="1"/>
  <c r="T200" i="1"/>
  <c r="T201" i="1"/>
  <c r="T202" i="1"/>
  <c r="V199" i="1"/>
  <c r="V200" i="1"/>
  <c r="V201" i="1"/>
  <c r="V202" i="1"/>
  <c r="V198" i="1"/>
  <c r="T198" i="1"/>
  <c r="R203" i="1"/>
  <c r="R199" i="1"/>
  <c r="R200" i="1"/>
  <c r="R201" i="1"/>
  <c r="R202" i="1"/>
  <c r="R198" i="1"/>
  <c r="P203" i="1"/>
  <c r="P199" i="1"/>
  <c r="Q199" i="1" s="1"/>
  <c r="P200" i="1"/>
  <c r="Q200" i="1" s="1"/>
  <c r="P201" i="1"/>
  <c r="Q201" i="1" s="1"/>
  <c r="P202" i="1"/>
  <c r="Q202" i="1" s="1"/>
  <c r="P198" i="1"/>
  <c r="N203" i="1"/>
  <c r="N199" i="1"/>
  <c r="N200" i="1"/>
  <c r="N201" i="1"/>
  <c r="N202" i="1"/>
  <c r="N198" i="1"/>
  <c r="L203" i="1"/>
  <c r="L199" i="1"/>
  <c r="L200" i="1"/>
  <c r="L201" i="1"/>
  <c r="L202" i="1"/>
  <c r="L198" i="1"/>
  <c r="V196" i="1"/>
  <c r="W196" i="1" s="1"/>
  <c r="T196" i="1"/>
  <c r="U196" i="1" s="1"/>
  <c r="R196" i="1"/>
  <c r="S196" i="1" s="1"/>
  <c r="P196" i="1"/>
  <c r="Q196" i="1" s="1"/>
  <c r="N196" i="1"/>
  <c r="O196" i="1" s="1"/>
  <c r="V195" i="1"/>
  <c r="W195" i="1" s="1"/>
  <c r="T195" i="1"/>
  <c r="U195" i="1" s="1"/>
  <c r="R195" i="1"/>
  <c r="S195" i="1" s="1"/>
  <c r="P195" i="1"/>
  <c r="Q195" i="1" s="1"/>
  <c r="N195" i="1"/>
  <c r="O195" i="1" s="1"/>
  <c r="V194" i="1"/>
  <c r="W194" i="1" s="1"/>
  <c r="T194" i="1"/>
  <c r="U194" i="1" s="1"/>
  <c r="R194" i="1"/>
  <c r="S194" i="1" s="1"/>
  <c r="P194" i="1"/>
  <c r="Q194" i="1" s="1"/>
  <c r="N194" i="1"/>
  <c r="O194" i="1" s="1"/>
  <c r="T193" i="1"/>
  <c r="V193" i="1"/>
  <c r="R193" i="1"/>
  <c r="P193" i="1"/>
  <c r="N193" i="1"/>
  <c r="V134" i="1" l="1"/>
  <c r="T134" i="1"/>
  <c r="R134" i="1"/>
  <c r="P134" i="1"/>
  <c r="N134" i="1"/>
  <c r="L134" i="1"/>
  <c r="V169" i="1"/>
  <c r="W169" i="1" s="1"/>
  <c r="T169" i="1"/>
  <c r="U169" i="1" s="1"/>
  <c r="R169" i="1"/>
  <c r="S169" i="1" s="1"/>
  <c r="P169" i="1"/>
  <c r="Q169" i="1" s="1"/>
  <c r="N169" i="1"/>
  <c r="O169" i="1" s="1"/>
  <c r="L169" i="1"/>
  <c r="M169" i="1" s="1"/>
  <c r="J169" i="1"/>
  <c r="K169" i="1" s="1"/>
  <c r="P133" i="1"/>
  <c r="Q133" i="1" s="1"/>
  <c r="N133" i="1"/>
  <c r="O133" i="1" s="1"/>
  <c r="L133" i="1"/>
  <c r="M133" i="1" s="1"/>
  <c r="J133" i="1"/>
  <c r="K133" i="1" s="1"/>
  <c r="V104" i="1"/>
  <c r="W104" i="1" s="1"/>
  <c r="T104" i="1"/>
  <c r="U104" i="1" s="1"/>
  <c r="R104" i="1"/>
  <c r="S104" i="1" s="1"/>
  <c r="P104" i="1"/>
  <c r="Q104" i="1" s="1"/>
  <c r="N104" i="1"/>
  <c r="O104" i="1" s="1"/>
  <c r="L104" i="1"/>
  <c r="M104" i="1" s="1"/>
  <c r="J104" i="1"/>
  <c r="K104" i="1" s="1"/>
  <c r="L95" i="1"/>
  <c r="J95" i="1"/>
  <c r="J97" i="1"/>
  <c r="G346" i="1" l="1"/>
  <c r="F267" i="1" l="1"/>
  <c r="V267" i="1" l="1"/>
  <c r="W267" i="1" s="1"/>
  <c r="J267" i="1"/>
  <c r="K267" i="1" s="1"/>
  <c r="L267" i="1"/>
  <c r="M267" i="1" s="1"/>
  <c r="N267" i="1"/>
  <c r="O267" i="1" s="1"/>
  <c r="P267" i="1"/>
  <c r="Q267" i="1" s="1"/>
  <c r="H267" i="1"/>
  <c r="I267" i="1" s="1"/>
  <c r="R267" i="1"/>
  <c r="S267" i="1" s="1"/>
  <c r="T267" i="1"/>
  <c r="U267" i="1" s="1"/>
  <c r="H268" i="1"/>
  <c r="I268" i="1" s="1"/>
  <c r="J268" i="1"/>
  <c r="K268" i="1" s="1"/>
  <c r="L268" i="1"/>
  <c r="M268" i="1" s="1"/>
  <c r="N268" i="1"/>
  <c r="O268" i="1" s="1"/>
  <c r="G268" i="1"/>
  <c r="G267" i="1"/>
  <c r="J643" i="1"/>
  <c r="H634" i="1" l="1"/>
  <c r="I634" i="1" s="1"/>
  <c r="N634" i="1"/>
  <c r="O634" i="1" s="1"/>
  <c r="L634" i="1"/>
  <c r="M634" i="1" s="1"/>
  <c r="T634" i="1"/>
  <c r="U634" i="1" s="1"/>
  <c r="V634" i="1"/>
  <c r="W634" i="1" s="1"/>
  <c r="P634" i="1"/>
  <c r="Q634" i="1" s="1"/>
  <c r="R634" i="1"/>
  <c r="S634" i="1" s="1"/>
  <c r="K634" i="1"/>
  <c r="H643" i="1"/>
  <c r="I643" i="1" s="1"/>
  <c r="N643" i="1"/>
  <c r="O643" i="1" s="1"/>
  <c r="L643" i="1"/>
  <c r="M643" i="1" s="1"/>
  <c r="T643" i="1"/>
  <c r="U643" i="1" s="1"/>
  <c r="V643" i="1"/>
  <c r="W643" i="1" s="1"/>
  <c r="K643" i="1"/>
  <c r="P643" i="1"/>
  <c r="Q643" i="1" s="1"/>
  <c r="R643" i="1"/>
  <c r="S643" i="1" s="1"/>
  <c r="N323" i="1"/>
  <c r="O323" i="1" s="1"/>
  <c r="L323" i="1"/>
  <c r="M323" i="1" s="1"/>
  <c r="J323" i="1"/>
  <c r="K323" i="1" s="1"/>
  <c r="H323" i="1"/>
  <c r="I323" i="1" s="1"/>
  <c r="V323" i="1"/>
  <c r="W323" i="1" s="1"/>
  <c r="T323" i="1"/>
  <c r="U323" i="1" s="1"/>
  <c r="R323" i="1"/>
  <c r="S323" i="1" s="1"/>
  <c r="P323" i="1"/>
  <c r="Q323" i="1" s="1"/>
  <c r="F137" i="1"/>
  <c r="N182" i="1" l="1"/>
  <c r="O182" i="1" s="1"/>
  <c r="L182" i="1"/>
  <c r="M182" i="1" s="1"/>
  <c r="J182" i="1"/>
  <c r="K182" i="1" s="1"/>
  <c r="R182" i="1"/>
  <c r="S182" i="1" s="1"/>
  <c r="H182" i="1"/>
  <c r="I182" i="1" s="1"/>
  <c r="P182" i="1"/>
  <c r="Q182" i="1" s="1"/>
  <c r="V182" i="1"/>
  <c r="W182" i="1" s="1"/>
  <c r="T182" i="1"/>
  <c r="U182" i="1" s="1"/>
  <c r="N137" i="1"/>
  <c r="O137" i="1" s="1"/>
  <c r="L137" i="1"/>
  <c r="M137" i="1" s="1"/>
  <c r="J137" i="1"/>
  <c r="V137" i="1"/>
  <c r="W137" i="1" s="1"/>
  <c r="T137" i="1"/>
  <c r="U137" i="1" s="1"/>
  <c r="R137" i="1"/>
  <c r="S137" i="1" s="1"/>
  <c r="P137" i="1"/>
  <c r="Q137" i="1" s="1"/>
  <c r="G182" i="1"/>
  <c r="L28" i="1" l="1"/>
  <c r="N28" i="1"/>
  <c r="P28" i="1"/>
  <c r="R28" i="1"/>
  <c r="T28" i="1"/>
  <c r="H21" i="1"/>
  <c r="I21" i="1" s="1"/>
  <c r="H22" i="1"/>
  <c r="I22" i="1" s="1"/>
  <c r="V12" i="1"/>
  <c r="W12" i="1" s="1"/>
  <c r="T12" i="1"/>
  <c r="U12" i="1" s="1"/>
  <c r="R12" i="1"/>
  <c r="S12" i="1" s="1"/>
  <c r="P12" i="1"/>
  <c r="Q12" i="1" s="1"/>
  <c r="N12" i="1"/>
  <c r="O12" i="1" s="1"/>
  <c r="V11" i="1"/>
  <c r="W11" i="1" s="1"/>
  <c r="T11" i="1"/>
  <c r="U11" i="1" s="1"/>
  <c r="R11" i="1"/>
  <c r="S11" i="1" s="1"/>
  <c r="P11" i="1"/>
  <c r="Q11" i="1" s="1"/>
  <c r="N11" i="1"/>
  <c r="O11" i="1" s="1"/>
  <c r="V10" i="1"/>
  <c r="W10" i="1" s="1"/>
  <c r="T10" i="1"/>
  <c r="U10" i="1" s="1"/>
  <c r="R10" i="1"/>
  <c r="S10" i="1" s="1"/>
  <c r="P10" i="1"/>
  <c r="Q10" i="1" s="1"/>
  <c r="N10" i="1"/>
  <c r="O10" i="1" s="1"/>
  <c r="H70" i="1"/>
  <c r="V70" i="1"/>
  <c r="W70" i="1" s="1"/>
  <c r="T70" i="1"/>
  <c r="U70" i="1" s="1"/>
  <c r="R70" i="1"/>
  <c r="S70" i="1" s="1"/>
  <c r="P70" i="1"/>
  <c r="Q70" i="1" s="1"/>
  <c r="N70" i="1"/>
  <c r="O70" i="1" s="1"/>
  <c r="L70" i="1"/>
  <c r="M70" i="1" s="1"/>
  <c r="J70" i="1"/>
  <c r="K70" i="1" s="1"/>
  <c r="V67" i="1"/>
  <c r="W67" i="1" s="1"/>
  <c r="T67" i="1"/>
  <c r="U67" i="1" s="1"/>
  <c r="R67" i="1"/>
  <c r="S67" i="1" s="1"/>
  <c r="P67" i="1"/>
  <c r="Q67" i="1" s="1"/>
  <c r="N67" i="1"/>
  <c r="O67" i="1" s="1"/>
  <c r="V66" i="1"/>
  <c r="W66" i="1" s="1"/>
  <c r="T66" i="1"/>
  <c r="U66" i="1" s="1"/>
  <c r="R66" i="1"/>
  <c r="S66" i="1" s="1"/>
  <c r="P66" i="1"/>
  <c r="Q66" i="1" s="1"/>
  <c r="N66" i="1"/>
  <c r="O66" i="1" s="1"/>
  <c r="V58" i="1"/>
  <c r="W58" i="1" s="1"/>
  <c r="T58" i="1"/>
  <c r="U58" i="1" s="1"/>
  <c r="R58" i="1"/>
  <c r="S58" i="1" s="1"/>
  <c r="P58" i="1"/>
  <c r="Q58" i="1" s="1"/>
  <c r="N58" i="1"/>
  <c r="O58" i="1" s="1"/>
  <c r="L58" i="1"/>
  <c r="M58" i="1" s="1"/>
  <c r="V59" i="1"/>
  <c r="W59" i="1" s="1"/>
  <c r="T59" i="1"/>
  <c r="U59" i="1" s="1"/>
  <c r="R59" i="1"/>
  <c r="S59" i="1" s="1"/>
  <c r="P59" i="1"/>
  <c r="Q59" i="1" s="1"/>
  <c r="N59" i="1"/>
  <c r="O59" i="1" s="1"/>
  <c r="L59" i="1"/>
  <c r="M59" i="1" s="1"/>
  <c r="V61" i="1"/>
  <c r="W61" i="1" s="1"/>
  <c r="T61" i="1"/>
  <c r="U61" i="1" s="1"/>
  <c r="R61" i="1"/>
  <c r="S61" i="1" s="1"/>
  <c r="P61" i="1"/>
  <c r="Q61" i="1" s="1"/>
  <c r="N61" i="1"/>
  <c r="O61" i="1" s="1"/>
  <c r="L61" i="1"/>
  <c r="M61" i="1" s="1"/>
  <c r="V60" i="1"/>
  <c r="W60" i="1" s="1"/>
  <c r="T60" i="1"/>
  <c r="U60" i="1" s="1"/>
  <c r="R60" i="1"/>
  <c r="S60" i="1" s="1"/>
  <c r="P60" i="1"/>
  <c r="Q60" i="1" s="1"/>
  <c r="N60" i="1"/>
  <c r="O60" i="1" s="1"/>
  <c r="L60" i="1"/>
  <c r="M60" i="1" s="1"/>
  <c r="F537" i="1" l="1"/>
  <c r="F536" i="1"/>
  <c r="T536" i="1" l="1"/>
  <c r="U536" i="1" s="1"/>
  <c r="L536" i="1"/>
  <c r="M536" i="1" s="1"/>
  <c r="R536" i="1"/>
  <c r="S536" i="1" s="1"/>
  <c r="J536" i="1"/>
  <c r="K536" i="1" s="1"/>
  <c r="P536" i="1"/>
  <c r="Q536" i="1" s="1"/>
  <c r="N536" i="1"/>
  <c r="O536" i="1" s="1"/>
  <c r="H536" i="1"/>
  <c r="I536" i="1" s="1"/>
  <c r="V536" i="1"/>
  <c r="W536" i="1" s="1"/>
  <c r="V537" i="1"/>
  <c r="W537" i="1" s="1"/>
  <c r="P537" i="1"/>
  <c r="Q537" i="1" s="1"/>
  <c r="T537" i="1"/>
  <c r="U537" i="1" s="1"/>
  <c r="J537" i="1"/>
  <c r="K537" i="1" s="1"/>
  <c r="N537" i="1"/>
  <c r="O537" i="1" s="1"/>
  <c r="R537" i="1"/>
  <c r="S537" i="1" s="1"/>
  <c r="L537" i="1"/>
  <c r="M537" i="1" s="1"/>
  <c r="H537" i="1"/>
  <c r="I537" i="1" s="1"/>
  <c r="G537" i="1"/>
  <c r="G536" i="1"/>
  <c r="V57" i="1"/>
  <c r="T57" i="1"/>
  <c r="R57" i="1"/>
  <c r="P57" i="1"/>
  <c r="N57" i="1"/>
  <c r="L57" i="1"/>
  <c r="J57" i="1"/>
  <c r="G696" i="1" l="1"/>
  <c r="G695" i="1"/>
  <c r="G697" i="1"/>
  <c r="G698" i="1"/>
  <c r="G699" i="1"/>
  <c r="G700" i="1"/>
  <c r="G701" i="1"/>
  <c r="G702" i="1"/>
  <c r="T458" i="1" l="1"/>
  <c r="U458" i="1" s="1"/>
  <c r="J458" i="1"/>
  <c r="K458" i="1" s="1"/>
  <c r="N458" i="1"/>
  <c r="O458" i="1" s="1"/>
  <c r="H458" i="1"/>
  <c r="I458" i="1" s="1"/>
  <c r="R458" i="1"/>
  <c r="S458" i="1" s="1"/>
  <c r="L458" i="1"/>
  <c r="M458" i="1" s="1"/>
  <c r="V458" i="1"/>
  <c r="W458" i="1" s="1"/>
  <c r="P458" i="1"/>
  <c r="Q458" i="1" s="1"/>
  <c r="G458" i="1"/>
  <c r="J658" i="1"/>
  <c r="L658" i="1" l="1"/>
  <c r="M658" i="1" s="1"/>
  <c r="R658" i="1"/>
  <c r="S658" i="1" s="1"/>
  <c r="H658" i="1"/>
  <c r="I658" i="1" s="1"/>
  <c r="N658" i="1"/>
  <c r="O658" i="1" s="1"/>
  <c r="K658" i="1"/>
  <c r="P658" i="1"/>
  <c r="Q658" i="1" s="1"/>
  <c r="T658" i="1"/>
  <c r="U658" i="1" s="1"/>
  <c r="V658" i="1"/>
  <c r="W658" i="1" s="1"/>
  <c r="G658" i="1"/>
  <c r="F455" i="1"/>
  <c r="R459" i="1" l="1"/>
  <c r="S459" i="1" s="1"/>
  <c r="L459" i="1"/>
  <c r="M459" i="1" s="1"/>
  <c r="V459" i="1"/>
  <c r="W459" i="1" s="1"/>
  <c r="J459" i="1"/>
  <c r="K459" i="1" s="1"/>
  <c r="T459" i="1"/>
  <c r="U459" i="1" s="1"/>
  <c r="P459" i="1"/>
  <c r="Q459" i="1" s="1"/>
  <c r="N459" i="1"/>
  <c r="O459" i="1" s="1"/>
  <c r="L457" i="1"/>
  <c r="M457" i="1" s="1"/>
  <c r="H457" i="1"/>
  <c r="I457" i="1" s="1"/>
  <c r="R457" i="1"/>
  <c r="S457" i="1" s="1"/>
  <c r="J457" i="1"/>
  <c r="K457" i="1" s="1"/>
  <c r="V457" i="1"/>
  <c r="W457" i="1" s="1"/>
  <c r="P457" i="1"/>
  <c r="Q457" i="1" s="1"/>
  <c r="T457" i="1"/>
  <c r="U457" i="1" s="1"/>
  <c r="N457" i="1"/>
  <c r="O457" i="1" s="1"/>
  <c r="T455" i="1"/>
  <c r="U455" i="1" s="1"/>
  <c r="N455" i="1"/>
  <c r="O455" i="1" s="1"/>
  <c r="H455" i="1"/>
  <c r="I455" i="1" s="1"/>
  <c r="L455" i="1"/>
  <c r="M455" i="1" s="1"/>
  <c r="R455" i="1"/>
  <c r="S455" i="1" s="1"/>
  <c r="V455" i="1"/>
  <c r="W455" i="1" s="1"/>
  <c r="P455" i="1"/>
  <c r="Q455" i="1" s="1"/>
  <c r="J455" i="1"/>
  <c r="K455" i="1" s="1"/>
  <c r="L384" i="1"/>
  <c r="M384" i="1" s="1"/>
  <c r="V384" i="1"/>
  <c r="W384" i="1" s="1"/>
  <c r="T384" i="1"/>
  <c r="U384" i="1" s="1"/>
  <c r="R384" i="1"/>
  <c r="S384" i="1" s="1"/>
  <c r="P384" i="1"/>
  <c r="Q384" i="1" s="1"/>
  <c r="N384" i="1"/>
  <c r="O384" i="1" s="1"/>
  <c r="G384" i="1"/>
  <c r="G457" i="1"/>
  <c r="G455" i="1"/>
  <c r="F245" i="1" l="1"/>
  <c r="P388" i="1" l="1"/>
  <c r="Q388" i="1" s="1"/>
  <c r="N388" i="1"/>
  <c r="O388" i="1" s="1"/>
  <c r="L388" i="1"/>
  <c r="M388" i="1" s="1"/>
  <c r="V388" i="1"/>
  <c r="W388" i="1" s="1"/>
  <c r="T388" i="1"/>
  <c r="U388" i="1" s="1"/>
  <c r="R388" i="1"/>
  <c r="S388" i="1" s="1"/>
  <c r="R245" i="1"/>
  <c r="S245" i="1" s="1"/>
  <c r="V245" i="1"/>
  <c r="W245" i="1" s="1"/>
  <c r="T245" i="1"/>
  <c r="U245" i="1" s="1"/>
  <c r="P245" i="1"/>
  <c r="Q245" i="1" s="1"/>
  <c r="N245" i="1"/>
  <c r="O245" i="1" s="1"/>
  <c r="L245" i="1"/>
  <c r="M245" i="1" s="1"/>
  <c r="J245" i="1"/>
  <c r="K245" i="1" s="1"/>
  <c r="H245" i="1"/>
  <c r="I245" i="1" s="1"/>
  <c r="F656" i="1"/>
  <c r="J656" i="1" s="1"/>
  <c r="L656" i="1" l="1"/>
  <c r="M656" i="1" s="1"/>
  <c r="R656" i="1"/>
  <c r="S656" i="1" s="1"/>
  <c r="H656" i="1"/>
  <c r="I656" i="1" s="1"/>
  <c r="N656" i="1"/>
  <c r="O656" i="1" s="1"/>
  <c r="K656" i="1"/>
  <c r="T656" i="1"/>
  <c r="U656" i="1" s="1"/>
  <c r="V656" i="1"/>
  <c r="W656" i="1" s="1"/>
  <c r="P656" i="1"/>
  <c r="Q656" i="1" s="1"/>
  <c r="G656" i="1"/>
  <c r="N369" i="1" l="1"/>
  <c r="O369" i="1" s="1"/>
  <c r="P369" i="1"/>
  <c r="Q369" i="1" s="1"/>
  <c r="R369" i="1"/>
  <c r="S369" i="1" s="1"/>
  <c r="T369" i="1"/>
  <c r="U369" i="1" s="1"/>
  <c r="V369" i="1"/>
  <c r="W369" i="1" s="1"/>
  <c r="L369" i="1"/>
  <c r="M369" i="1" s="1"/>
  <c r="F102" i="1"/>
  <c r="R102" i="1" l="1"/>
  <c r="S102" i="1" s="1"/>
  <c r="P102" i="1"/>
  <c r="Q102" i="1" s="1"/>
  <c r="N102" i="1"/>
  <c r="O102" i="1" s="1"/>
  <c r="L102" i="1"/>
  <c r="M102" i="1" s="1"/>
  <c r="J102" i="1"/>
  <c r="K102" i="1" s="1"/>
  <c r="V102" i="1"/>
  <c r="W102" i="1" s="1"/>
  <c r="T102" i="1"/>
  <c r="U102" i="1" s="1"/>
  <c r="G102" i="1"/>
  <c r="G186" i="1" l="1"/>
  <c r="T186" i="1"/>
  <c r="U186" i="1" s="1"/>
  <c r="R186" i="1"/>
  <c r="S186" i="1" s="1"/>
  <c r="P186" i="1"/>
  <c r="Q186" i="1" s="1"/>
  <c r="N186" i="1"/>
  <c r="O186" i="1" s="1"/>
  <c r="L186" i="1"/>
  <c r="M186" i="1" s="1"/>
  <c r="J186" i="1"/>
  <c r="K186" i="1" s="1"/>
  <c r="H186" i="1"/>
  <c r="I186" i="1" s="1"/>
  <c r="V186" i="1"/>
  <c r="W186" i="1" s="1"/>
  <c r="R185" i="1"/>
  <c r="S185" i="1" s="1"/>
  <c r="P185" i="1"/>
  <c r="Q185" i="1" s="1"/>
  <c r="N185" i="1"/>
  <c r="O185" i="1" s="1"/>
  <c r="L185" i="1"/>
  <c r="M185" i="1" s="1"/>
  <c r="J185" i="1"/>
  <c r="K185" i="1" s="1"/>
  <c r="H185" i="1"/>
  <c r="I185" i="1" s="1"/>
  <c r="T185" i="1"/>
  <c r="U185" i="1" s="1"/>
  <c r="V185" i="1"/>
  <c r="W185" i="1" s="1"/>
  <c r="R179" i="1" l="1"/>
  <c r="S179" i="1" s="1"/>
  <c r="P179" i="1"/>
  <c r="Q179" i="1" s="1"/>
  <c r="N179" i="1"/>
  <c r="O179" i="1" s="1"/>
  <c r="L179" i="1"/>
  <c r="M179" i="1" s="1"/>
  <c r="T179" i="1"/>
  <c r="U179" i="1" s="1"/>
  <c r="J179" i="1"/>
  <c r="K179" i="1" s="1"/>
  <c r="H179" i="1"/>
  <c r="I179" i="1" s="1"/>
  <c r="V179" i="1"/>
  <c r="W179" i="1" s="1"/>
  <c r="G179" i="1"/>
  <c r="V180" i="1" l="1"/>
  <c r="W180" i="1" s="1"/>
  <c r="T180" i="1"/>
  <c r="U180" i="1" s="1"/>
  <c r="R180" i="1"/>
  <c r="S180" i="1" s="1"/>
  <c r="P180" i="1"/>
  <c r="Q180" i="1" s="1"/>
  <c r="N180" i="1"/>
  <c r="O180" i="1" s="1"/>
  <c r="L180" i="1"/>
  <c r="M180" i="1" s="1"/>
  <c r="J180" i="1"/>
  <c r="K180" i="1" s="1"/>
  <c r="H180" i="1"/>
  <c r="I180" i="1" s="1"/>
  <c r="G185" i="1"/>
  <c r="G180" i="1"/>
  <c r="F589" i="1"/>
  <c r="P589" i="1" l="1"/>
  <c r="Q589" i="1" s="1"/>
  <c r="T589" i="1"/>
  <c r="U589" i="1" s="1"/>
  <c r="N589" i="1"/>
  <c r="O589" i="1" s="1"/>
  <c r="V589" i="1"/>
  <c r="W589" i="1" s="1"/>
  <c r="L589" i="1"/>
  <c r="M589" i="1" s="1"/>
  <c r="R589" i="1"/>
  <c r="S589" i="1" s="1"/>
  <c r="G589" i="1"/>
  <c r="F591" i="1" l="1"/>
  <c r="T591" i="1" l="1"/>
  <c r="U591" i="1" s="1"/>
  <c r="R591" i="1"/>
  <c r="S591" i="1" s="1"/>
  <c r="N591" i="1"/>
  <c r="O591" i="1" s="1"/>
  <c r="V591" i="1"/>
  <c r="W591" i="1" s="1"/>
  <c r="P591" i="1"/>
  <c r="Q591" i="1" s="1"/>
  <c r="T442" i="1" l="1"/>
  <c r="U442" i="1" s="1"/>
  <c r="N442" i="1"/>
  <c r="O442" i="1" s="1"/>
  <c r="J442" i="1"/>
  <c r="K442" i="1" s="1"/>
  <c r="V442" i="1"/>
  <c r="W442" i="1" s="1"/>
  <c r="H442" i="1"/>
  <c r="I442" i="1" s="1"/>
  <c r="L442" i="1"/>
  <c r="M442" i="1" s="1"/>
  <c r="R442" i="1"/>
  <c r="S442" i="1" s="1"/>
  <c r="P442" i="1"/>
  <c r="Q442" i="1" s="1"/>
  <c r="L432" i="1"/>
  <c r="M432" i="1" s="1"/>
  <c r="N432" i="1"/>
  <c r="O432" i="1" s="1"/>
  <c r="P432" i="1"/>
  <c r="Q432" i="1" s="1"/>
  <c r="R432" i="1"/>
  <c r="S432" i="1" s="1"/>
  <c r="T432" i="1"/>
  <c r="U432" i="1" s="1"/>
  <c r="V432" i="1"/>
  <c r="W432" i="1" s="1"/>
  <c r="H628" i="1" l="1"/>
  <c r="I628" i="1" s="1"/>
  <c r="L628" i="1"/>
  <c r="M628" i="1" s="1"/>
  <c r="P628" i="1"/>
  <c r="Q628" i="1" s="1"/>
  <c r="T628" i="1"/>
  <c r="U628" i="1" s="1"/>
  <c r="K628" i="1"/>
  <c r="V628" i="1"/>
  <c r="W628" i="1" s="1"/>
  <c r="N628" i="1"/>
  <c r="O628" i="1" s="1"/>
  <c r="R628" i="1"/>
  <c r="S628" i="1" s="1"/>
  <c r="G628" i="1"/>
  <c r="F596" i="1" l="1"/>
  <c r="F454" i="1"/>
  <c r="F453" i="1"/>
  <c r="F209" i="1"/>
  <c r="V453" i="1" l="1"/>
  <c r="W453" i="1" s="1"/>
  <c r="P453" i="1"/>
  <c r="Q453" i="1" s="1"/>
  <c r="H453" i="1"/>
  <c r="I453" i="1" s="1"/>
  <c r="L453" i="1"/>
  <c r="M453" i="1" s="1"/>
  <c r="R453" i="1"/>
  <c r="S453" i="1" s="1"/>
  <c r="T453" i="1"/>
  <c r="U453" i="1" s="1"/>
  <c r="N453" i="1"/>
  <c r="O453" i="1" s="1"/>
  <c r="J453" i="1"/>
  <c r="K453" i="1" s="1"/>
  <c r="V454" i="1"/>
  <c r="W454" i="1" s="1"/>
  <c r="N454" i="1"/>
  <c r="O454" i="1" s="1"/>
  <c r="J454" i="1"/>
  <c r="K454" i="1" s="1"/>
  <c r="P454" i="1"/>
  <c r="Q454" i="1" s="1"/>
  <c r="T454" i="1"/>
  <c r="U454" i="1" s="1"/>
  <c r="L454" i="1"/>
  <c r="M454" i="1" s="1"/>
  <c r="R454" i="1"/>
  <c r="S454" i="1" s="1"/>
  <c r="H454" i="1"/>
  <c r="I454" i="1" s="1"/>
  <c r="R596" i="1"/>
  <c r="S596" i="1" s="1"/>
  <c r="V596" i="1"/>
  <c r="W596" i="1" s="1"/>
  <c r="P596" i="1"/>
  <c r="Q596" i="1" s="1"/>
  <c r="N596" i="1"/>
  <c r="O596" i="1" s="1"/>
  <c r="T596" i="1"/>
  <c r="U596" i="1" s="1"/>
  <c r="V209" i="1"/>
  <c r="W209" i="1" s="1"/>
  <c r="T209" i="1"/>
  <c r="U209" i="1" s="1"/>
  <c r="R209" i="1"/>
  <c r="S209" i="1" s="1"/>
  <c r="P209" i="1"/>
  <c r="Q209" i="1" s="1"/>
  <c r="N209" i="1"/>
  <c r="O209" i="1" s="1"/>
  <c r="L209" i="1"/>
  <c r="M209" i="1" s="1"/>
  <c r="J209" i="1"/>
  <c r="K209" i="1" s="1"/>
  <c r="H209" i="1"/>
  <c r="I209" i="1" s="1"/>
  <c r="G595" i="1"/>
  <c r="G454" i="1"/>
  <c r="G453" i="1"/>
  <c r="G209" i="1"/>
  <c r="L178" i="1" l="1"/>
  <c r="M178" i="1" s="1"/>
  <c r="J178" i="1"/>
  <c r="K178" i="1" s="1"/>
  <c r="H178" i="1"/>
  <c r="I178" i="1" s="1"/>
  <c r="V178" i="1"/>
  <c r="W178" i="1" s="1"/>
  <c r="P178" i="1"/>
  <c r="Q178" i="1" s="1"/>
  <c r="T178" i="1"/>
  <c r="U178" i="1" s="1"/>
  <c r="R178" i="1"/>
  <c r="S178" i="1" s="1"/>
  <c r="N178" i="1"/>
  <c r="O178" i="1" s="1"/>
  <c r="N208" i="1"/>
  <c r="O208" i="1" s="1"/>
  <c r="V208" i="1"/>
  <c r="W208" i="1" s="1"/>
  <c r="T208" i="1"/>
  <c r="U208" i="1" s="1"/>
  <c r="R208" i="1"/>
  <c r="S208" i="1" s="1"/>
  <c r="P208" i="1"/>
  <c r="Q208" i="1" s="1"/>
  <c r="H208" i="1"/>
  <c r="I208" i="1" s="1"/>
  <c r="L208" i="1"/>
  <c r="M208" i="1" s="1"/>
  <c r="J208" i="1"/>
  <c r="K208" i="1" s="1"/>
  <c r="N176" i="1"/>
  <c r="O176" i="1" s="1"/>
  <c r="L176" i="1"/>
  <c r="M176" i="1" s="1"/>
  <c r="J176" i="1"/>
  <c r="K176" i="1" s="1"/>
  <c r="H176" i="1"/>
  <c r="I176" i="1" s="1"/>
  <c r="R176" i="1"/>
  <c r="S176" i="1" s="1"/>
  <c r="P176" i="1"/>
  <c r="Q176" i="1" s="1"/>
  <c r="V176" i="1"/>
  <c r="W176" i="1" s="1"/>
  <c r="T176" i="1"/>
  <c r="U176" i="1" s="1"/>
  <c r="G208" i="1"/>
  <c r="G176" i="1"/>
  <c r="F726" i="1"/>
  <c r="F709" i="1"/>
  <c r="F730" i="1"/>
  <c r="F248" i="1"/>
  <c r="T726" i="1" l="1"/>
  <c r="L726" i="1"/>
  <c r="M726" i="1" s="1"/>
  <c r="R726" i="1"/>
  <c r="J726" i="1"/>
  <c r="K726" i="1" s="1"/>
  <c r="P726" i="1"/>
  <c r="Q726" i="1" s="1"/>
  <c r="V726" i="1"/>
  <c r="W726" i="1" s="1"/>
  <c r="N726" i="1"/>
  <c r="O726" i="1" s="1"/>
  <c r="T730" i="1"/>
  <c r="U730" i="1" s="1"/>
  <c r="J730" i="1"/>
  <c r="K730" i="1" s="1"/>
  <c r="N730" i="1"/>
  <c r="O730" i="1" s="1"/>
  <c r="H730" i="1"/>
  <c r="I730" i="1" s="1"/>
  <c r="P730" i="1"/>
  <c r="Q730" i="1" s="1"/>
  <c r="R730" i="1"/>
  <c r="S730" i="1" s="1"/>
  <c r="L730" i="1"/>
  <c r="M730" i="1" s="1"/>
  <c r="V730" i="1"/>
  <c r="W730" i="1" s="1"/>
  <c r="V709" i="1"/>
  <c r="W709" i="1" s="1"/>
  <c r="J709" i="1"/>
  <c r="K709" i="1" s="1"/>
  <c r="T709" i="1"/>
  <c r="U709" i="1" s="1"/>
  <c r="L709" i="1"/>
  <c r="M709" i="1" s="1"/>
  <c r="P709" i="1"/>
  <c r="Q709" i="1" s="1"/>
  <c r="R709" i="1"/>
  <c r="S709" i="1" s="1"/>
  <c r="N709" i="1"/>
  <c r="O709" i="1" s="1"/>
  <c r="V248" i="1"/>
  <c r="W248" i="1" s="1"/>
  <c r="T248" i="1"/>
  <c r="U248" i="1" s="1"/>
  <c r="R248" i="1"/>
  <c r="S248" i="1" s="1"/>
  <c r="P248" i="1"/>
  <c r="Q248" i="1" s="1"/>
  <c r="N248" i="1"/>
  <c r="O248" i="1" s="1"/>
  <c r="L248" i="1"/>
  <c r="M248" i="1" s="1"/>
  <c r="J248" i="1"/>
  <c r="K248" i="1" s="1"/>
  <c r="H248" i="1"/>
  <c r="I248" i="1" s="1"/>
  <c r="R266" i="1"/>
  <c r="S266" i="1" s="1"/>
  <c r="V266" i="1"/>
  <c r="W266" i="1" s="1"/>
  <c r="H266" i="1"/>
  <c r="I266" i="1" s="1"/>
  <c r="J266" i="1"/>
  <c r="K266" i="1" s="1"/>
  <c r="L266" i="1"/>
  <c r="M266" i="1" s="1"/>
  <c r="N266" i="1"/>
  <c r="O266" i="1" s="1"/>
  <c r="T266" i="1"/>
  <c r="U266" i="1" s="1"/>
  <c r="P266" i="1"/>
  <c r="Q266" i="1" s="1"/>
  <c r="V249" i="1"/>
  <c r="W249" i="1" s="1"/>
  <c r="T249" i="1"/>
  <c r="U249" i="1" s="1"/>
  <c r="R249" i="1"/>
  <c r="S249" i="1" s="1"/>
  <c r="P249" i="1"/>
  <c r="Q249" i="1" s="1"/>
  <c r="N249" i="1"/>
  <c r="O249" i="1" s="1"/>
  <c r="J249" i="1"/>
  <c r="K249" i="1" s="1"/>
  <c r="L249" i="1"/>
  <c r="M249" i="1" s="1"/>
  <c r="H249" i="1"/>
  <c r="I249" i="1" s="1"/>
  <c r="S726" i="1"/>
  <c r="U726" i="1"/>
  <c r="G726" i="1"/>
  <c r="G709" i="1"/>
  <c r="H709" i="1"/>
  <c r="I709" i="1" s="1"/>
  <c r="G730" i="1"/>
  <c r="G248" i="1"/>
  <c r="G249" i="1"/>
  <c r="J269" i="1" l="1"/>
  <c r="K269" i="1" s="1"/>
  <c r="N269" i="1"/>
  <c r="O269" i="1" s="1"/>
  <c r="P269" i="1"/>
  <c r="Q269" i="1" s="1"/>
  <c r="R269" i="1"/>
  <c r="S269" i="1" s="1"/>
  <c r="T269" i="1"/>
  <c r="U269" i="1" s="1"/>
  <c r="H269" i="1"/>
  <c r="I269" i="1" s="1"/>
  <c r="L269" i="1"/>
  <c r="M269" i="1" s="1"/>
  <c r="V269" i="1"/>
  <c r="W269" i="1" s="1"/>
  <c r="G266" i="1"/>
  <c r="F654" i="1" l="1"/>
  <c r="J654" i="1" s="1"/>
  <c r="F653" i="1"/>
  <c r="J653" i="1" s="1"/>
  <c r="J652" i="1"/>
  <c r="F636" i="1"/>
  <c r="J636" i="1" s="1"/>
  <c r="F615" i="1"/>
  <c r="J615" i="1" s="1"/>
  <c r="F597" i="1"/>
  <c r="F590" i="1"/>
  <c r="F572" i="1"/>
  <c r="F571" i="1"/>
  <c r="P504" i="1" l="1"/>
  <c r="Q504" i="1" s="1"/>
  <c r="V504" i="1"/>
  <c r="W504" i="1" s="1"/>
  <c r="N504" i="1"/>
  <c r="O504" i="1" s="1"/>
  <c r="T504" i="1"/>
  <c r="U504" i="1" s="1"/>
  <c r="L504" i="1"/>
  <c r="M504" i="1" s="1"/>
  <c r="R504" i="1"/>
  <c r="S504" i="1" s="1"/>
  <c r="J504" i="1"/>
  <c r="K504" i="1" s="1"/>
  <c r="P601" i="1"/>
  <c r="Q601" i="1" s="1"/>
  <c r="H601" i="1"/>
  <c r="I601" i="1" s="1"/>
  <c r="V601" i="1"/>
  <c r="W601" i="1" s="1"/>
  <c r="N601" i="1"/>
  <c r="O601" i="1" s="1"/>
  <c r="T601" i="1"/>
  <c r="U601" i="1" s="1"/>
  <c r="L601" i="1"/>
  <c r="M601" i="1" s="1"/>
  <c r="R601" i="1"/>
  <c r="S601" i="1" s="1"/>
  <c r="K601" i="1"/>
  <c r="H624" i="1"/>
  <c r="I624" i="1" s="1"/>
  <c r="L624" i="1"/>
  <c r="M624" i="1" s="1"/>
  <c r="P624" i="1"/>
  <c r="Q624" i="1" s="1"/>
  <c r="T624" i="1"/>
  <c r="U624" i="1" s="1"/>
  <c r="N624" i="1"/>
  <c r="O624" i="1" s="1"/>
  <c r="V624" i="1"/>
  <c r="W624" i="1" s="1"/>
  <c r="R624" i="1"/>
  <c r="S624" i="1" s="1"/>
  <c r="K624" i="1"/>
  <c r="H629" i="1"/>
  <c r="I629" i="1" s="1"/>
  <c r="L629" i="1"/>
  <c r="M629" i="1" s="1"/>
  <c r="P629" i="1"/>
  <c r="Q629" i="1" s="1"/>
  <c r="T629" i="1"/>
  <c r="U629" i="1" s="1"/>
  <c r="K629" i="1"/>
  <c r="V629" i="1"/>
  <c r="W629" i="1" s="1"/>
  <c r="R629" i="1"/>
  <c r="S629" i="1" s="1"/>
  <c r="N629" i="1"/>
  <c r="O629" i="1" s="1"/>
  <c r="V546" i="1"/>
  <c r="L546" i="1"/>
  <c r="R546" i="1"/>
  <c r="J546" i="1"/>
  <c r="P546" i="1"/>
  <c r="N546" i="1"/>
  <c r="T546" i="1"/>
  <c r="H546" i="1"/>
  <c r="T572" i="1"/>
  <c r="U572" i="1" s="1"/>
  <c r="L572" i="1"/>
  <c r="M572" i="1" s="1"/>
  <c r="R572" i="1"/>
  <c r="S572" i="1" s="1"/>
  <c r="J572" i="1"/>
  <c r="K572" i="1" s="1"/>
  <c r="H572" i="1"/>
  <c r="I572" i="1" s="1"/>
  <c r="V572" i="1"/>
  <c r="W572" i="1" s="1"/>
  <c r="P572" i="1"/>
  <c r="Q572" i="1" s="1"/>
  <c r="N572" i="1"/>
  <c r="O572" i="1" s="1"/>
  <c r="H630" i="1"/>
  <c r="I630" i="1" s="1"/>
  <c r="L630" i="1"/>
  <c r="M630" i="1" s="1"/>
  <c r="P630" i="1"/>
  <c r="Q630" i="1" s="1"/>
  <c r="T630" i="1"/>
  <c r="U630" i="1" s="1"/>
  <c r="K630" i="1"/>
  <c r="V630" i="1"/>
  <c r="W630" i="1" s="1"/>
  <c r="N630" i="1"/>
  <c r="O630" i="1" s="1"/>
  <c r="R630" i="1"/>
  <c r="S630" i="1" s="1"/>
  <c r="L652" i="1"/>
  <c r="M652" i="1" s="1"/>
  <c r="R652" i="1"/>
  <c r="S652" i="1" s="1"/>
  <c r="H652" i="1"/>
  <c r="I652" i="1" s="1"/>
  <c r="N652" i="1"/>
  <c r="O652" i="1" s="1"/>
  <c r="K652" i="1"/>
  <c r="T652" i="1"/>
  <c r="U652" i="1" s="1"/>
  <c r="V652" i="1"/>
  <c r="W652" i="1" s="1"/>
  <c r="P652" i="1"/>
  <c r="Q652" i="1" s="1"/>
  <c r="P547" i="1"/>
  <c r="R547" i="1"/>
  <c r="N547" i="1"/>
  <c r="T547" i="1"/>
  <c r="L547" i="1"/>
  <c r="J547" i="1"/>
  <c r="H547" i="1"/>
  <c r="V547" i="1"/>
  <c r="P590" i="1"/>
  <c r="Q590" i="1" s="1"/>
  <c r="V590" i="1"/>
  <c r="W590" i="1" s="1"/>
  <c r="N590" i="1"/>
  <c r="O590" i="1" s="1"/>
  <c r="R590" i="1"/>
  <c r="S590" i="1" s="1"/>
  <c r="T590" i="1"/>
  <c r="U590" i="1" s="1"/>
  <c r="K615" i="1"/>
  <c r="T615" i="1"/>
  <c r="U615" i="1" s="1"/>
  <c r="P615" i="1"/>
  <c r="Q615" i="1" s="1"/>
  <c r="V615" i="1"/>
  <c r="W615" i="1" s="1"/>
  <c r="L615" i="1"/>
  <c r="M615" i="1" s="1"/>
  <c r="N615" i="1"/>
  <c r="O615" i="1" s="1"/>
  <c r="R615" i="1"/>
  <c r="S615" i="1" s="1"/>
  <c r="H615" i="1"/>
  <c r="I615" i="1" s="1"/>
  <c r="H635" i="1"/>
  <c r="I635" i="1" s="1"/>
  <c r="N635" i="1"/>
  <c r="O635" i="1" s="1"/>
  <c r="R635" i="1"/>
  <c r="S635" i="1" s="1"/>
  <c r="L635" i="1"/>
  <c r="M635" i="1" s="1"/>
  <c r="T635" i="1"/>
  <c r="U635" i="1" s="1"/>
  <c r="K635" i="1"/>
  <c r="P635" i="1"/>
  <c r="Q635" i="1" s="1"/>
  <c r="V635" i="1"/>
  <c r="W635" i="1" s="1"/>
  <c r="L653" i="1"/>
  <c r="M653" i="1" s="1"/>
  <c r="R653" i="1"/>
  <c r="S653" i="1" s="1"/>
  <c r="H653" i="1"/>
  <c r="I653" i="1" s="1"/>
  <c r="N653" i="1"/>
  <c r="O653" i="1" s="1"/>
  <c r="P653" i="1"/>
  <c r="Q653" i="1" s="1"/>
  <c r="K653" i="1"/>
  <c r="T653" i="1"/>
  <c r="U653" i="1" s="1"/>
  <c r="V653" i="1"/>
  <c r="W653" i="1" s="1"/>
  <c r="T571" i="1"/>
  <c r="U571" i="1" s="1"/>
  <c r="L571" i="1"/>
  <c r="M571" i="1" s="1"/>
  <c r="R571" i="1"/>
  <c r="S571" i="1" s="1"/>
  <c r="J571" i="1"/>
  <c r="K571" i="1" s="1"/>
  <c r="P571" i="1"/>
  <c r="Q571" i="1" s="1"/>
  <c r="N571" i="1"/>
  <c r="O571" i="1" s="1"/>
  <c r="V571" i="1"/>
  <c r="W571" i="1" s="1"/>
  <c r="H571" i="1"/>
  <c r="I571" i="1" s="1"/>
  <c r="H637" i="1"/>
  <c r="I637" i="1" s="1"/>
  <c r="N637" i="1"/>
  <c r="O637" i="1" s="1"/>
  <c r="V637" i="1"/>
  <c r="W637" i="1" s="1"/>
  <c r="K637" i="1"/>
  <c r="P637" i="1"/>
  <c r="Q637" i="1" s="1"/>
  <c r="T637" i="1"/>
  <c r="U637" i="1" s="1"/>
  <c r="L637" i="1"/>
  <c r="M637" i="1" s="1"/>
  <c r="R637" i="1"/>
  <c r="S637" i="1" s="1"/>
  <c r="P608" i="1"/>
  <c r="Q608" i="1" s="1"/>
  <c r="H608" i="1"/>
  <c r="I608" i="1" s="1"/>
  <c r="V608" i="1"/>
  <c r="W608" i="1" s="1"/>
  <c r="N608" i="1"/>
  <c r="O608" i="1" s="1"/>
  <c r="T608" i="1"/>
  <c r="U608" i="1" s="1"/>
  <c r="R608" i="1"/>
  <c r="S608" i="1" s="1"/>
  <c r="L608" i="1"/>
  <c r="M608" i="1" s="1"/>
  <c r="K608" i="1"/>
  <c r="R597" i="1"/>
  <c r="S597" i="1" s="1"/>
  <c r="V597" i="1"/>
  <c r="W597" i="1" s="1"/>
  <c r="P597" i="1"/>
  <c r="Q597" i="1" s="1"/>
  <c r="T597" i="1"/>
  <c r="U597" i="1" s="1"/>
  <c r="N597" i="1"/>
  <c r="O597" i="1" s="1"/>
  <c r="H618" i="1"/>
  <c r="I618" i="1" s="1"/>
  <c r="L618" i="1"/>
  <c r="M618" i="1" s="1"/>
  <c r="P618" i="1"/>
  <c r="Q618" i="1" s="1"/>
  <c r="T618" i="1"/>
  <c r="U618" i="1" s="1"/>
  <c r="N618" i="1"/>
  <c r="O618" i="1" s="1"/>
  <c r="V618" i="1"/>
  <c r="W618" i="1" s="1"/>
  <c r="K618" i="1"/>
  <c r="R618" i="1"/>
  <c r="S618" i="1" s="1"/>
  <c r="H636" i="1"/>
  <c r="I636" i="1" s="1"/>
  <c r="N636" i="1"/>
  <c r="O636" i="1" s="1"/>
  <c r="K636" i="1"/>
  <c r="P636" i="1"/>
  <c r="Q636" i="1" s="1"/>
  <c r="R636" i="1"/>
  <c r="S636" i="1" s="1"/>
  <c r="L636" i="1"/>
  <c r="M636" i="1" s="1"/>
  <c r="T636" i="1"/>
  <c r="U636" i="1" s="1"/>
  <c r="V636" i="1"/>
  <c r="W636" i="1" s="1"/>
  <c r="L654" i="1"/>
  <c r="M654" i="1" s="1"/>
  <c r="R654" i="1"/>
  <c r="S654" i="1" s="1"/>
  <c r="H654" i="1"/>
  <c r="I654" i="1" s="1"/>
  <c r="N654" i="1"/>
  <c r="O654" i="1" s="1"/>
  <c r="K654" i="1"/>
  <c r="T654" i="1"/>
  <c r="U654" i="1" s="1"/>
  <c r="P654" i="1"/>
  <c r="Q654" i="1" s="1"/>
  <c r="V654" i="1"/>
  <c r="W654" i="1" s="1"/>
  <c r="R484" i="1"/>
  <c r="S484" i="1" s="1"/>
  <c r="P484" i="1"/>
  <c r="Q484" i="1" s="1"/>
  <c r="V484" i="1"/>
  <c r="W484" i="1" s="1"/>
  <c r="T484" i="1"/>
  <c r="U484" i="1" s="1"/>
  <c r="L484" i="1"/>
  <c r="M484" i="1" s="1"/>
  <c r="H484" i="1"/>
  <c r="I484" i="1" s="1"/>
  <c r="N484" i="1"/>
  <c r="O484" i="1" s="1"/>
  <c r="J484" i="1"/>
  <c r="K484" i="1" s="1"/>
  <c r="J174" i="1"/>
  <c r="K174" i="1" s="1"/>
  <c r="H174" i="1"/>
  <c r="I174" i="1" s="1"/>
  <c r="V174" i="1"/>
  <c r="W174" i="1" s="1"/>
  <c r="T174" i="1"/>
  <c r="U174" i="1" s="1"/>
  <c r="R174" i="1"/>
  <c r="S174" i="1" s="1"/>
  <c r="P174" i="1"/>
  <c r="Q174" i="1" s="1"/>
  <c r="N174" i="1"/>
  <c r="O174" i="1" s="1"/>
  <c r="L174" i="1"/>
  <c r="M174" i="1" s="1"/>
  <c r="G174" i="1"/>
  <c r="G629" i="1"/>
  <c r="F433" i="1" l="1"/>
  <c r="F392" i="1"/>
  <c r="F270" i="1"/>
  <c r="F262" i="1"/>
  <c r="F261" i="1"/>
  <c r="F260" i="1"/>
  <c r="F243" i="1"/>
  <c r="F242" i="1"/>
  <c r="F241" i="1"/>
  <c r="F204" i="1"/>
  <c r="F210" i="1"/>
  <c r="F103" i="1"/>
  <c r="F101" i="1"/>
  <c r="F100" i="1"/>
  <c r="F99" i="1"/>
  <c r="F98" i="1"/>
  <c r="F30" i="1"/>
  <c r="F17" i="1"/>
  <c r="F26" i="1"/>
  <c r="F29" i="1"/>
  <c r="P26" i="1" l="1"/>
  <c r="Q26" i="1" s="1"/>
  <c r="T26" i="1"/>
  <c r="U26" i="1" s="1"/>
  <c r="N26" i="1"/>
  <c r="O26" i="1" s="1"/>
  <c r="R26" i="1"/>
  <c r="S26" i="1" s="1"/>
  <c r="L26" i="1"/>
  <c r="M26" i="1" s="1"/>
  <c r="V433" i="1"/>
  <c r="W433" i="1" s="1"/>
  <c r="N433" i="1"/>
  <c r="O433" i="1" s="1"/>
  <c r="J433" i="1"/>
  <c r="K433" i="1" s="1"/>
  <c r="H433" i="1"/>
  <c r="I433" i="1" s="1"/>
  <c r="T433" i="1"/>
  <c r="U433" i="1" s="1"/>
  <c r="L433" i="1"/>
  <c r="M433" i="1" s="1"/>
  <c r="R433" i="1"/>
  <c r="S433" i="1" s="1"/>
  <c r="P433" i="1"/>
  <c r="Q433" i="1" s="1"/>
  <c r="R443" i="1"/>
  <c r="S443" i="1" s="1"/>
  <c r="L443" i="1"/>
  <c r="M443" i="1" s="1"/>
  <c r="T443" i="1"/>
  <c r="U443" i="1" s="1"/>
  <c r="H443" i="1"/>
  <c r="I443" i="1" s="1"/>
  <c r="V443" i="1"/>
  <c r="W443" i="1" s="1"/>
  <c r="P443" i="1"/>
  <c r="Q443" i="1" s="1"/>
  <c r="J443" i="1"/>
  <c r="K443" i="1" s="1"/>
  <c r="N443" i="1"/>
  <c r="O443" i="1" s="1"/>
  <c r="N427" i="1"/>
  <c r="O427" i="1" s="1"/>
  <c r="P427" i="1"/>
  <c r="Q427" i="1" s="1"/>
  <c r="R427" i="1"/>
  <c r="S427" i="1" s="1"/>
  <c r="T427" i="1"/>
  <c r="U427" i="1" s="1"/>
  <c r="V427" i="1"/>
  <c r="W427" i="1" s="1"/>
  <c r="L426" i="1"/>
  <c r="M426" i="1" s="1"/>
  <c r="N426" i="1"/>
  <c r="O426" i="1" s="1"/>
  <c r="P426" i="1"/>
  <c r="Q426" i="1" s="1"/>
  <c r="R426" i="1"/>
  <c r="S426" i="1" s="1"/>
  <c r="T426" i="1"/>
  <c r="U426" i="1" s="1"/>
  <c r="V426" i="1"/>
  <c r="W426" i="1" s="1"/>
  <c r="J98" i="1"/>
  <c r="K98" i="1" s="1"/>
  <c r="L98" i="1"/>
  <c r="M98" i="1" s="1"/>
  <c r="V98" i="1"/>
  <c r="W98" i="1" s="1"/>
  <c r="T98" i="1"/>
  <c r="U98" i="1" s="1"/>
  <c r="R98" i="1"/>
  <c r="S98" i="1" s="1"/>
  <c r="H98" i="1"/>
  <c r="P98" i="1"/>
  <c r="Q98" i="1" s="1"/>
  <c r="N98" i="1"/>
  <c r="O98" i="1" s="1"/>
  <c r="J175" i="1"/>
  <c r="K175" i="1" s="1"/>
  <c r="H175" i="1"/>
  <c r="I175" i="1" s="1"/>
  <c r="V175" i="1"/>
  <c r="W175" i="1" s="1"/>
  <c r="T175" i="1"/>
  <c r="U175" i="1" s="1"/>
  <c r="N175" i="1"/>
  <c r="O175" i="1" s="1"/>
  <c r="L175" i="1"/>
  <c r="M175" i="1" s="1"/>
  <c r="R175" i="1"/>
  <c r="S175" i="1" s="1"/>
  <c r="P175" i="1"/>
  <c r="Q175" i="1" s="1"/>
  <c r="P243" i="1"/>
  <c r="Q243" i="1" s="1"/>
  <c r="N243" i="1"/>
  <c r="O243" i="1" s="1"/>
  <c r="L243" i="1"/>
  <c r="M243" i="1" s="1"/>
  <c r="J243" i="1"/>
  <c r="K243" i="1" s="1"/>
  <c r="V243" i="1"/>
  <c r="W243" i="1" s="1"/>
  <c r="T243" i="1"/>
  <c r="U243" i="1" s="1"/>
  <c r="R243" i="1"/>
  <c r="S243" i="1" s="1"/>
  <c r="P392" i="1"/>
  <c r="Q392" i="1" s="1"/>
  <c r="L392" i="1"/>
  <c r="M392" i="1" s="1"/>
  <c r="J392" i="1"/>
  <c r="V392" i="1"/>
  <c r="W392" i="1" s="1"/>
  <c r="T392" i="1"/>
  <c r="U392" i="1" s="1"/>
  <c r="R392" i="1"/>
  <c r="S392" i="1" s="1"/>
  <c r="N392" i="1"/>
  <c r="O392" i="1" s="1"/>
  <c r="P99" i="1"/>
  <c r="Q99" i="1" s="1"/>
  <c r="T99" i="1"/>
  <c r="U99" i="1" s="1"/>
  <c r="N99" i="1"/>
  <c r="O99" i="1" s="1"/>
  <c r="L99" i="1"/>
  <c r="M99" i="1" s="1"/>
  <c r="R99" i="1"/>
  <c r="S99" i="1" s="1"/>
  <c r="J99" i="1"/>
  <c r="K99" i="1" s="1"/>
  <c r="V99" i="1"/>
  <c r="W99" i="1" s="1"/>
  <c r="H99" i="1"/>
  <c r="V184" i="1"/>
  <c r="W184" i="1" s="1"/>
  <c r="T184" i="1"/>
  <c r="U184" i="1" s="1"/>
  <c r="R184" i="1"/>
  <c r="S184" i="1" s="1"/>
  <c r="P184" i="1"/>
  <c r="Q184" i="1" s="1"/>
  <c r="N184" i="1"/>
  <c r="O184" i="1" s="1"/>
  <c r="J184" i="1"/>
  <c r="K184" i="1" s="1"/>
  <c r="L184" i="1"/>
  <c r="M184" i="1" s="1"/>
  <c r="H184" i="1"/>
  <c r="I184" i="1" s="1"/>
  <c r="R256" i="1"/>
  <c r="S256" i="1" s="1"/>
  <c r="T256" i="1"/>
  <c r="U256" i="1" s="1"/>
  <c r="V256" i="1"/>
  <c r="W256" i="1" s="1"/>
  <c r="H256" i="1"/>
  <c r="I256" i="1" s="1"/>
  <c r="J256" i="1"/>
  <c r="K256" i="1" s="1"/>
  <c r="L256" i="1"/>
  <c r="M256" i="1" s="1"/>
  <c r="N256" i="1"/>
  <c r="O256" i="1" s="1"/>
  <c r="P256" i="1"/>
  <c r="Q256" i="1" s="1"/>
  <c r="T393" i="1"/>
  <c r="U393" i="1" s="1"/>
  <c r="R393" i="1"/>
  <c r="S393" i="1" s="1"/>
  <c r="P393" i="1"/>
  <c r="Q393" i="1" s="1"/>
  <c r="N393" i="1"/>
  <c r="O393" i="1" s="1"/>
  <c r="L393" i="1"/>
  <c r="M393" i="1" s="1"/>
  <c r="V393" i="1"/>
  <c r="W393" i="1" s="1"/>
  <c r="V241" i="1"/>
  <c r="W241" i="1" s="1"/>
  <c r="T241" i="1"/>
  <c r="U241" i="1" s="1"/>
  <c r="R241" i="1"/>
  <c r="S241" i="1" s="1"/>
  <c r="P241" i="1"/>
  <c r="Q241" i="1" s="1"/>
  <c r="N241" i="1"/>
  <c r="O241" i="1" s="1"/>
  <c r="L241" i="1"/>
  <c r="M241" i="1" s="1"/>
  <c r="J241" i="1"/>
  <c r="K241" i="1" s="1"/>
  <c r="G183" i="1"/>
  <c r="R183" i="1"/>
  <c r="S183" i="1" s="1"/>
  <c r="P183" i="1"/>
  <c r="Q183" i="1" s="1"/>
  <c r="N183" i="1"/>
  <c r="O183" i="1" s="1"/>
  <c r="J183" i="1"/>
  <c r="K183" i="1" s="1"/>
  <c r="H183" i="1"/>
  <c r="I183" i="1" s="1"/>
  <c r="T183" i="1"/>
  <c r="U183" i="1" s="1"/>
  <c r="L183" i="1"/>
  <c r="M183" i="1" s="1"/>
  <c r="V183" i="1"/>
  <c r="W183" i="1" s="1"/>
  <c r="J260" i="1"/>
  <c r="K260" i="1" s="1"/>
  <c r="N260" i="1"/>
  <c r="O260" i="1" s="1"/>
  <c r="P260" i="1"/>
  <c r="Q260" i="1" s="1"/>
  <c r="R260" i="1"/>
  <c r="S260" i="1" s="1"/>
  <c r="T260" i="1"/>
  <c r="U260" i="1" s="1"/>
  <c r="H260" i="1"/>
  <c r="I260" i="1" s="1"/>
  <c r="L260" i="1"/>
  <c r="M260" i="1" s="1"/>
  <c r="V260" i="1"/>
  <c r="W260" i="1" s="1"/>
  <c r="V394" i="1"/>
  <c r="W394" i="1" s="1"/>
  <c r="T394" i="1"/>
  <c r="U394" i="1" s="1"/>
  <c r="R394" i="1"/>
  <c r="S394" i="1" s="1"/>
  <c r="P394" i="1"/>
  <c r="Q394" i="1" s="1"/>
  <c r="N394" i="1"/>
  <c r="O394" i="1" s="1"/>
  <c r="L394" i="1"/>
  <c r="M394" i="1" s="1"/>
  <c r="V101" i="1"/>
  <c r="W101" i="1" s="1"/>
  <c r="T101" i="1"/>
  <c r="U101" i="1" s="1"/>
  <c r="R101" i="1"/>
  <c r="S101" i="1" s="1"/>
  <c r="P101" i="1"/>
  <c r="Q101" i="1" s="1"/>
  <c r="L101" i="1"/>
  <c r="M101" i="1" s="1"/>
  <c r="N101" i="1"/>
  <c r="O101" i="1" s="1"/>
  <c r="J101" i="1"/>
  <c r="K101" i="1" s="1"/>
  <c r="H101" i="1"/>
  <c r="L210" i="1"/>
  <c r="M210" i="1" s="1"/>
  <c r="J210" i="1"/>
  <c r="K210" i="1" s="1"/>
  <c r="H210" i="1"/>
  <c r="I210" i="1" s="1"/>
  <c r="N210" i="1"/>
  <c r="O210" i="1" s="1"/>
  <c r="R210" i="1"/>
  <c r="S210" i="1" s="1"/>
  <c r="V210" i="1"/>
  <c r="W210" i="1" s="1"/>
  <c r="T210" i="1"/>
  <c r="U210" i="1" s="1"/>
  <c r="P210" i="1"/>
  <c r="Q210" i="1" s="1"/>
  <c r="J261" i="1"/>
  <c r="K261" i="1" s="1"/>
  <c r="H261" i="1"/>
  <c r="I261" i="1" s="1"/>
  <c r="V401" i="1"/>
  <c r="W401" i="1" s="1"/>
  <c r="T401" i="1"/>
  <c r="U401" i="1" s="1"/>
  <c r="R401" i="1"/>
  <c r="S401" i="1" s="1"/>
  <c r="P401" i="1"/>
  <c r="Q401" i="1" s="1"/>
  <c r="N401" i="1"/>
  <c r="O401" i="1" s="1"/>
  <c r="L401" i="1"/>
  <c r="M401" i="1" s="1"/>
  <c r="T280" i="1"/>
  <c r="U280" i="1" s="1"/>
  <c r="R280" i="1"/>
  <c r="S280" i="1" s="1"/>
  <c r="N280" i="1"/>
  <c r="O280" i="1" s="1"/>
  <c r="L280" i="1"/>
  <c r="M280" i="1" s="1"/>
  <c r="J280" i="1"/>
  <c r="K280" i="1" s="1"/>
  <c r="H280" i="1"/>
  <c r="I280" i="1" s="1"/>
  <c r="P280" i="1"/>
  <c r="Q280" i="1" s="1"/>
  <c r="V280" i="1"/>
  <c r="W280" i="1" s="1"/>
  <c r="V103" i="1"/>
  <c r="W103" i="1" s="1"/>
  <c r="H103" i="1"/>
  <c r="T103" i="1"/>
  <c r="U103" i="1" s="1"/>
  <c r="R103" i="1"/>
  <c r="S103" i="1" s="1"/>
  <c r="P103" i="1"/>
  <c r="Q103" i="1" s="1"/>
  <c r="N103" i="1"/>
  <c r="O103" i="1" s="1"/>
  <c r="J103" i="1"/>
  <c r="K103" i="1" s="1"/>
  <c r="L103" i="1"/>
  <c r="M103" i="1" s="1"/>
  <c r="T207" i="1"/>
  <c r="U207" i="1" s="1"/>
  <c r="R207" i="1"/>
  <c r="S207" i="1" s="1"/>
  <c r="P207" i="1"/>
  <c r="Q207" i="1" s="1"/>
  <c r="N207" i="1"/>
  <c r="O207" i="1" s="1"/>
  <c r="L207" i="1"/>
  <c r="M207" i="1" s="1"/>
  <c r="V207" i="1"/>
  <c r="W207" i="1" s="1"/>
  <c r="J262" i="1"/>
  <c r="K262" i="1" s="1"/>
  <c r="N262" i="1"/>
  <c r="O262" i="1" s="1"/>
  <c r="R262" i="1"/>
  <c r="S262" i="1" s="1"/>
  <c r="T262" i="1"/>
  <c r="U262" i="1" s="1"/>
  <c r="V262" i="1"/>
  <c r="W262" i="1" s="1"/>
  <c r="L262" i="1"/>
  <c r="M262" i="1" s="1"/>
  <c r="P262" i="1"/>
  <c r="Q262" i="1" s="1"/>
  <c r="H262" i="1"/>
  <c r="I262" i="1" s="1"/>
  <c r="J277" i="1"/>
  <c r="K277" i="1" s="1"/>
  <c r="P277" i="1"/>
  <c r="Q277" i="1" s="1"/>
  <c r="R277" i="1"/>
  <c r="S277" i="1" s="1"/>
  <c r="T277" i="1"/>
  <c r="U277" i="1" s="1"/>
  <c r="N277" i="1"/>
  <c r="O277" i="1" s="1"/>
  <c r="H277" i="1"/>
  <c r="I277" i="1" s="1"/>
  <c r="V277" i="1"/>
  <c r="W277" i="1" s="1"/>
  <c r="L277" i="1"/>
  <c r="M277" i="1" s="1"/>
  <c r="V205" i="1"/>
  <c r="W205" i="1" s="1"/>
  <c r="T205" i="1"/>
  <c r="U205" i="1" s="1"/>
  <c r="R205" i="1"/>
  <c r="S205" i="1" s="1"/>
  <c r="P205" i="1"/>
  <c r="Q205" i="1" s="1"/>
  <c r="N205" i="1"/>
  <c r="O205" i="1" s="1"/>
  <c r="L205" i="1"/>
  <c r="M205" i="1" s="1"/>
  <c r="N263" i="1"/>
  <c r="O263" i="1" s="1"/>
  <c r="P263" i="1"/>
  <c r="Q263" i="1" s="1"/>
  <c r="R263" i="1"/>
  <c r="S263" i="1" s="1"/>
  <c r="T263" i="1"/>
  <c r="U263" i="1" s="1"/>
  <c r="V263" i="1"/>
  <c r="W263" i="1" s="1"/>
  <c r="H263" i="1"/>
  <c r="I263" i="1" s="1"/>
  <c r="L263" i="1"/>
  <c r="M263" i="1" s="1"/>
  <c r="J263" i="1"/>
  <c r="K263" i="1" s="1"/>
  <c r="N204" i="1"/>
  <c r="O204" i="1" s="1"/>
  <c r="L204" i="1"/>
  <c r="M204" i="1" s="1"/>
  <c r="R204" i="1"/>
  <c r="S204" i="1" s="1"/>
  <c r="P204" i="1"/>
  <c r="Q204" i="1" s="1"/>
  <c r="V204" i="1"/>
  <c r="W204" i="1" s="1"/>
  <c r="T204" i="1"/>
  <c r="U204" i="1" s="1"/>
  <c r="J270" i="1"/>
  <c r="K270" i="1" s="1"/>
  <c r="L270" i="1"/>
  <c r="M270" i="1" s="1"/>
  <c r="N270" i="1"/>
  <c r="O270" i="1" s="1"/>
  <c r="P270" i="1"/>
  <c r="Q270" i="1" s="1"/>
  <c r="R270" i="1"/>
  <c r="S270" i="1" s="1"/>
  <c r="T270" i="1"/>
  <c r="U270" i="1" s="1"/>
  <c r="V270" i="1"/>
  <c r="W270" i="1" s="1"/>
  <c r="H270" i="1"/>
  <c r="I270" i="1" s="1"/>
  <c r="J242" i="1"/>
  <c r="K242" i="1" s="1"/>
  <c r="V242" i="1"/>
  <c r="W242" i="1" s="1"/>
  <c r="T242" i="1"/>
  <c r="U242" i="1" s="1"/>
  <c r="R242" i="1"/>
  <c r="S242" i="1" s="1"/>
  <c r="N242" i="1"/>
  <c r="O242" i="1" s="1"/>
  <c r="L242" i="1"/>
  <c r="M242" i="1" s="1"/>
  <c r="P242" i="1"/>
  <c r="Q242" i="1" s="1"/>
  <c r="N100" i="1"/>
  <c r="O100" i="1" s="1"/>
  <c r="R100" i="1"/>
  <c r="S100" i="1" s="1"/>
  <c r="V100" i="1"/>
  <c r="W100" i="1" s="1"/>
  <c r="P100" i="1"/>
  <c r="Q100" i="1" s="1"/>
  <c r="L100" i="1"/>
  <c r="M100" i="1" s="1"/>
  <c r="J100" i="1"/>
  <c r="K100" i="1" s="1"/>
  <c r="H100" i="1"/>
  <c r="T100" i="1"/>
  <c r="U100" i="1" s="1"/>
  <c r="J271" i="1"/>
  <c r="K271" i="1" s="1"/>
  <c r="N271" i="1"/>
  <c r="O271" i="1" s="1"/>
  <c r="R271" i="1"/>
  <c r="S271" i="1" s="1"/>
  <c r="T271" i="1"/>
  <c r="U271" i="1" s="1"/>
  <c r="V271" i="1"/>
  <c r="W271" i="1" s="1"/>
  <c r="H271" i="1"/>
  <c r="I271" i="1" s="1"/>
  <c r="L271" i="1"/>
  <c r="M271" i="1" s="1"/>
  <c r="P271" i="1"/>
  <c r="Q271" i="1" s="1"/>
  <c r="H276" i="1"/>
  <c r="I276" i="1" s="1"/>
  <c r="L276" i="1"/>
  <c r="M276" i="1" s="1"/>
  <c r="N276" i="1"/>
  <c r="O276" i="1" s="1"/>
  <c r="P276" i="1"/>
  <c r="Q276" i="1" s="1"/>
  <c r="R276" i="1"/>
  <c r="S276" i="1" s="1"/>
  <c r="V276" i="1"/>
  <c r="W276" i="1" s="1"/>
  <c r="T276" i="1"/>
  <c r="U276" i="1" s="1"/>
  <c r="J276" i="1"/>
  <c r="K276" i="1" s="1"/>
  <c r="T29" i="1"/>
  <c r="U29" i="1" s="1"/>
  <c r="R29" i="1"/>
  <c r="S29" i="1" s="1"/>
  <c r="P29" i="1"/>
  <c r="Q29" i="1" s="1"/>
  <c r="N29" i="1"/>
  <c r="O29" i="1" s="1"/>
  <c r="L29" i="1"/>
  <c r="M29" i="1" s="1"/>
  <c r="T17" i="1"/>
  <c r="U17" i="1" s="1"/>
  <c r="P17" i="1"/>
  <c r="Q17" i="1" s="1"/>
  <c r="R17" i="1"/>
  <c r="S17" i="1" s="1"/>
  <c r="N17" i="1"/>
  <c r="O17" i="1" s="1"/>
  <c r="L17" i="1"/>
  <c r="M17" i="1" s="1"/>
  <c r="L30" i="1"/>
  <c r="M30" i="1" s="1"/>
  <c r="T30" i="1"/>
  <c r="U30" i="1" s="1"/>
  <c r="R30" i="1"/>
  <c r="S30" i="1" s="1"/>
  <c r="P30" i="1"/>
  <c r="Q30" i="1" s="1"/>
  <c r="N30" i="1"/>
  <c r="O30" i="1" s="1"/>
  <c r="V30" i="1"/>
  <c r="W30" i="1" s="1"/>
  <c r="G17" i="1"/>
  <c r="F213" i="1" l="1"/>
  <c r="F212" i="1"/>
  <c r="J139" i="1" l="1"/>
  <c r="V139" i="1"/>
  <c r="W139" i="1" s="1"/>
  <c r="T139" i="1"/>
  <c r="U139" i="1" s="1"/>
  <c r="N139" i="1"/>
  <c r="O139" i="1" s="1"/>
  <c r="R139" i="1"/>
  <c r="S139" i="1" s="1"/>
  <c r="P139" i="1"/>
  <c r="Q139" i="1" s="1"/>
  <c r="L139" i="1"/>
  <c r="M139" i="1" s="1"/>
  <c r="R138" i="1"/>
  <c r="S138" i="1" s="1"/>
  <c r="P138" i="1"/>
  <c r="Q138" i="1" s="1"/>
  <c r="J138" i="1"/>
  <c r="N138" i="1"/>
  <c r="O138" i="1" s="1"/>
  <c r="L138" i="1"/>
  <c r="M138" i="1" s="1"/>
  <c r="T138" i="1"/>
  <c r="U138" i="1" s="1"/>
  <c r="V138" i="1"/>
  <c r="W138" i="1" s="1"/>
  <c r="V212" i="1"/>
  <c r="W212" i="1" s="1"/>
  <c r="T212" i="1"/>
  <c r="U212" i="1" s="1"/>
  <c r="R212" i="1"/>
  <c r="S212" i="1" s="1"/>
  <c r="P212" i="1"/>
  <c r="Q212" i="1" s="1"/>
  <c r="L212" i="1"/>
  <c r="M212" i="1" s="1"/>
  <c r="N212" i="1"/>
  <c r="O212" i="1" s="1"/>
  <c r="J212" i="1"/>
  <c r="K212" i="1" s="1"/>
  <c r="J213" i="1"/>
  <c r="K213" i="1" s="1"/>
  <c r="V213" i="1"/>
  <c r="W213" i="1" s="1"/>
  <c r="T213" i="1"/>
  <c r="U213" i="1" s="1"/>
  <c r="N213" i="1"/>
  <c r="O213" i="1" s="1"/>
  <c r="R213" i="1"/>
  <c r="S213" i="1" s="1"/>
  <c r="P213" i="1"/>
  <c r="Q213" i="1" s="1"/>
  <c r="L213" i="1"/>
  <c r="M213" i="1" s="1"/>
  <c r="F563" i="1"/>
  <c r="F555" i="1"/>
  <c r="F554" i="1"/>
  <c r="F569" i="1"/>
  <c r="F568" i="1"/>
  <c r="F567" i="1"/>
  <c r="F566" i="1"/>
  <c r="F278" i="1"/>
  <c r="F412" i="1"/>
  <c r="T440" i="1" l="1"/>
  <c r="U440" i="1" s="1"/>
  <c r="H440" i="1"/>
  <c r="I440" i="1" s="1"/>
  <c r="L440" i="1"/>
  <c r="M440" i="1" s="1"/>
  <c r="P440" i="1"/>
  <c r="Q440" i="1" s="1"/>
  <c r="N440" i="1"/>
  <c r="O440" i="1" s="1"/>
  <c r="R440" i="1"/>
  <c r="S440" i="1" s="1"/>
  <c r="V440" i="1"/>
  <c r="W440" i="1" s="1"/>
  <c r="J440" i="1"/>
  <c r="K440" i="1" s="1"/>
  <c r="H344" i="1"/>
  <c r="I344" i="1" s="1"/>
  <c r="O344" i="1"/>
  <c r="S344" i="1"/>
  <c r="M344" i="1"/>
  <c r="Q344" i="1"/>
  <c r="K344" i="1"/>
  <c r="P444" i="1"/>
  <c r="Q444" i="1" s="1"/>
  <c r="H444" i="1"/>
  <c r="I444" i="1" s="1"/>
  <c r="T444" i="1"/>
  <c r="U444" i="1" s="1"/>
  <c r="J444" i="1"/>
  <c r="K444" i="1" s="1"/>
  <c r="V444" i="1"/>
  <c r="W444" i="1" s="1"/>
  <c r="N444" i="1"/>
  <c r="O444" i="1" s="1"/>
  <c r="L444" i="1"/>
  <c r="M444" i="1" s="1"/>
  <c r="R444" i="1"/>
  <c r="S444" i="1" s="1"/>
  <c r="T449" i="1"/>
  <c r="U449" i="1" s="1"/>
  <c r="P449" i="1"/>
  <c r="Q449" i="1" s="1"/>
  <c r="H449" i="1"/>
  <c r="I449" i="1" s="1"/>
  <c r="R449" i="1"/>
  <c r="S449" i="1" s="1"/>
  <c r="N449" i="1"/>
  <c r="O449" i="1" s="1"/>
  <c r="L449" i="1"/>
  <c r="M449" i="1" s="1"/>
  <c r="V449" i="1"/>
  <c r="W449" i="1" s="1"/>
  <c r="J449" i="1"/>
  <c r="K449" i="1" s="1"/>
  <c r="V435" i="1"/>
  <c r="W435" i="1" s="1"/>
  <c r="P435" i="1"/>
  <c r="Q435" i="1" s="1"/>
  <c r="J435" i="1"/>
  <c r="K435" i="1" s="1"/>
  <c r="N435" i="1"/>
  <c r="O435" i="1" s="1"/>
  <c r="R435" i="1"/>
  <c r="S435" i="1" s="1"/>
  <c r="T435" i="1"/>
  <c r="U435" i="1" s="1"/>
  <c r="H435" i="1"/>
  <c r="I435" i="1" s="1"/>
  <c r="L435" i="1"/>
  <c r="M435" i="1" s="1"/>
  <c r="T447" i="1"/>
  <c r="U447" i="1" s="1"/>
  <c r="L447" i="1"/>
  <c r="M447" i="1" s="1"/>
  <c r="P447" i="1"/>
  <c r="Q447" i="1" s="1"/>
  <c r="V447" i="1"/>
  <c r="W447" i="1" s="1"/>
  <c r="R447" i="1"/>
  <c r="S447" i="1" s="1"/>
  <c r="J447" i="1"/>
  <c r="K447" i="1" s="1"/>
  <c r="H447" i="1"/>
  <c r="I447" i="1" s="1"/>
  <c r="N447" i="1"/>
  <c r="O447" i="1" s="1"/>
  <c r="T569" i="1"/>
  <c r="U569" i="1" s="1"/>
  <c r="L569" i="1"/>
  <c r="M569" i="1" s="1"/>
  <c r="R569" i="1"/>
  <c r="S569" i="1" s="1"/>
  <c r="J569" i="1"/>
  <c r="K569" i="1" s="1"/>
  <c r="H569" i="1"/>
  <c r="I569" i="1" s="1"/>
  <c r="V569" i="1"/>
  <c r="W569" i="1" s="1"/>
  <c r="P569" i="1"/>
  <c r="Q569" i="1" s="1"/>
  <c r="N569" i="1"/>
  <c r="O569" i="1" s="1"/>
  <c r="N434" i="1"/>
  <c r="O434" i="1" s="1"/>
  <c r="P434" i="1"/>
  <c r="Q434" i="1" s="1"/>
  <c r="T434" i="1"/>
  <c r="U434" i="1" s="1"/>
  <c r="H434" i="1"/>
  <c r="I434" i="1" s="1"/>
  <c r="R434" i="1"/>
  <c r="S434" i="1" s="1"/>
  <c r="L434" i="1"/>
  <c r="M434" i="1" s="1"/>
  <c r="V434" i="1"/>
  <c r="W434" i="1" s="1"/>
  <c r="J434" i="1"/>
  <c r="K434" i="1" s="1"/>
  <c r="T566" i="1"/>
  <c r="U566" i="1" s="1"/>
  <c r="L566" i="1"/>
  <c r="M566" i="1" s="1"/>
  <c r="R566" i="1"/>
  <c r="S566" i="1" s="1"/>
  <c r="J566" i="1"/>
  <c r="K566" i="1" s="1"/>
  <c r="H566" i="1"/>
  <c r="I566" i="1" s="1"/>
  <c r="V566" i="1"/>
  <c r="W566" i="1" s="1"/>
  <c r="P566" i="1"/>
  <c r="Q566" i="1" s="1"/>
  <c r="N566" i="1"/>
  <c r="O566" i="1" s="1"/>
  <c r="T554" i="1"/>
  <c r="U554" i="1" s="1"/>
  <c r="L554" i="1"/>
  <c r="M554" i="1" s="1"/>
  <c r="R554" i="1"/>
  <c r="S554" i="1" s="1"/>
  <c r="J554" i="1"/>
  <c r="K554" i="1" s="1"/>
  <c r="H554" i="1"/>
  <c r="I554" i="1" s="1"/>
  <c r="V554" i="1"/>
  <c r="W554" i="1" s="1"/>
  <c r="P554" i="1"/>
  <c r="Q554" i="1" s="1"/>
  <c r="N554" i="1"/>
  <c r="O554" i="1" s="1"/>
  <c r="V445" i="1"/>
  <c r="W445" i="1" s="1"/>
  <c r="N445" i="1"/>
  <c r="O445" i="1" s="1"/>
  <c r="J445" i="1"/>
  <c r="K445" i="1" s="1"/>
  <c r="H445" i="1"/>
  <c r="I445" i="1" s="1"/>
  <c r="T445" i="1"/>
  <c r="U445" i="1" s="1"/>
  <c r="L445" i="1"/>
  <c r="M445" i="1" s="1"/>
  <c r="R445" i="1"/>
  <c r="S445" i="1" s="1"/>
  <c r="P445" i="1"/>
  <c r="Q445" i="1" s="1"/>
  <c r="R448" i="1"/>
  <c r="S448" i="1" s="1"/>
  <c r="L448" i="1"/>
  <c r="M448" i="1" s="1"/>
  <c r="V448" i="1"/>
  <c r="W448" i="1" s="1"/>
  <c r="P448" i="1"/>
  <c r="Q448" i="1" s="1"/>
  <c r="J448" i="1"/>
  <c r="K448" i="1" s="1"/>
  <c r="T448" i="1"/>
  <c r="U448" i="1" s="1"/>
  <c r="H448" i="1"/>
  <c r="I448" i="1" s="1"/>
  <c r="N448" i="1"/>
  <c r="O448" i="1" s="1"/>
  <c r="T567" i="1"/>
  <c r="U567" i="1" s="1"/>
  <c r="L567" i="1"/>
  <c r="M567" i="1" s="1"/>
  <c r="R567" i="1"/>
  <c r="S567" i="1" s="1"/>
  <c r="J567" i="1"/>
  <c r="K567" i="1" s="1"/>
  <c r="H567" i="1"/>
  <c r="I567" i="1" s="1"/>
  <c r="V567" i="1"/>
  <c r="W567" i="1" s="1"/>
  <c r="P567" i="1"/>
  <c r="Q567" i="1" s="1"/>
  <c r="N567" i="1"/>
  <c r="O567" i="1" s="1"/>
  <c r="T555" i="1"/>
  <c r="U555" i="1" s="1"/>
  <c r="L555" i="1"/>
  <c r="M555" i="1" s="1"/>
  <c r="R555" i="1"/>
  <c r="S555" i="1" s="1"/>
  <c r="J555" i="1"/>
  <c r="K555" i="1" s="1"/>
  <c r="P555" i="1"/>
  <c r="Q555" i="1" s="1"/>
  <c r="N555" i="1"/>
  <c r="O555" i="1" s="1"/>
  <c r="V555" i="1"/>
  <c r="W555" i="1" s="1"/>
  <c r="H555" i="1"/>
  <c r="I555" i="1" s="1"/>
  <c r="R441" i="1"/>
  <c r="S441" i="1" s="1"/>
  <c r="L441" i="1"/>
  <c r="M441" i="1" s="1"/>
  <c r="N441" i="1"/>
  <c r="O441" i="1" s="1"/>
  <c r="V441" i="1"/>
  <c r="W441" i="1" s="1"/>
  <c r="P441" i="1"/>
  <c r="Q441" i="1" s="1"/>
  <c r="J441" i="1"/>
  <c r="K441" i="1" s="1"/>
  <c r="T441" i="1"/>
  <c r="U441" i="1" s="1"/>
  <c r="H441" i="1"/>
  <c r="I441" i="1" s="1"/>
  <c r="N446" i="1"/>
  <c r="O446" i="1" s="1"/>
  <c r="H446" i="1"/>
  <c r="I446" i="1" s="1"/>
  <c r="R446" i="1"/>
  <c r="S446" i="1" s="1"/>
  <c r="V446" i="1"/>
  <c r="W446" i="1" s="1"/>
  <c r="T446" i="1"/>
  <c r="U446" i="1" s="1"/>
  <c r="L446" i="1"/>
  <c r="M446" i="1" s="1"/>
  <c r="J446" i="1"/>
  <c r="K446" i="1" s="1"/>
  <c r="P446" i="1"/>
  <c r="Q446" i="1" s="1"/>
  <c r="V568" i="1"/>
  <c r="W568" i="1" s="1"/>
  <c r="P568" i="1"/>
  <c r="Q568" i="1" s="1"/>
  <c r="T568" i="1"/>
  <c r="U568" i="1" s="1"/>
  <c r="J568" i="1"/>
  <c r="K568" i="1" s="1"/>
  <c r="H568" i="1"/>
  <c r="I568" i="1" s="1"/>
  <c r="R568" i="1"/>
  <c r="S568" i="1" s="1"/>
  <c r="N568" i="1"/>
  <c r="O568" i="1" s="1"/>
  <c r="L568" i="1"/>
  <c r="M568" i="1" s="1"/>
  <c r="V563" i="1"/>
  <c r="W563" i="1" s="1"/>
  <c r="P563" i="1"/>
  <c r="Q563" i="1" s="1"/>
  <c r="T563" i="1"/>
  <c r="U563" i="1" s="1"/>
  <c r="J563" i="1"/>
  <c r="K563" i="1" s="1"/>
  <c r="N563" i="1"/>
  <c r="O563" i="1" s="1"/>
  <c r="L563" i="1"/>
  <c r="M563" i="1" s="1"/>
  <c r="R563" i="1"/>
  <c r="S563" i="1" s="1"/>
  <c r="H563" i="1"/>
  <c r="I563" i="1" s="1"/>
  <c r="P419" i="1"/>
  <c r="Q419" i="1" s="1"/>
  <c r="N419" i="1"/>
  <c r="O419" i="1" s="1"/>
  <c r="L419" i="1"/>
  <c r="M419" i="1" s="1"/>
  <c r="R419" i="1"/>
  <c r="S419" i="1" s="1"/>
  <c r="V419" i="1"/>
  <c r="W419" i="1" s="1"/>
  <c r="T419" i="1"/>
  <c r="U419" i="1" s="1"/>
  <c r="T413" i="1"/>
  <c r="U413" i="1" s="1"/>
  <c r="R413" i="1"/>
  <c r="S413" i="1" s="1"/>
  <c r="P413" i="1"/>
  <c r="Q413" i="1" s="1"/>
  <c r="L413" i="1"/>
  <c r="M413" i="1" s="1"/>
  <c r="N413" i="1"/>
  <c r="O413" i="1" s="1"/>
  <c r="V413" i="1"/>
  <c r="W413" i="1" s="1"/>
  <c r="N428" i="1"/>
  <c r="O428" i="1" s="1"/>
  <c r="P428" i="1"/>
  <c r="Q428" i="1" s="1"/>
  <c r="R428" i="1"/>
  <c r="S428" i="1" s="1"/>
  <c r="V428" i="1"/>
  <c r="W428" i="1" s="1"/>
  <c r="T428" i="1"/>
  <c r="U428" i="1" s="1"/>
  <c r="L428" i="1"/>
  <c r="M428" i="1" s="1"/>
  <c r="V412" i="1"/>
  <c r="W412" i="1" s="1"/>
  <c r="N412" i="1"/>
  <c r="O412" i="1" s="1"/>
  <c r="T412" i="1"/>
  <c r="U412" i="1" s="1"/>
  <c r="R412" i="1"/>
  <c r="S412" i="1" s="1"/>
  <c r="L412" i="1"/>
  <c r="M412" i="1" s="1"/>
  <c r="P412" i="1"/>
  <c r="Q412" i="1" s="1"/>
  <c r="V418" i="1"/>
  <c r="W418" i="1" s="1"/>
  <c r="T418" i="1"/>
  <c r="U418" i="1" s="1"/>
  <c r="R418" i="1"/>
  <c r="S418" i="1" s="1"/>
  <c r="P418" i="1"/>
  <c r="Q418" i="1" s="1"/>
  <c r="N418" i="1"/>
  <c r="O418" i="1" s="1"/>
  <c r="L418" i="1"/>
  <c r="M418" i="1" s="1"/>
  <c r="N415" i="1"/>
  <c r="O415" i="1" s="1"/>
  <c r="V415" i="1"/>
  <c r="W415" i="1" s="1"/>
  <c r="L415" i="1"/>
  <c r="M415" i="1" s="1"/>
  <c r="T415" i="1"/>
  <c r="U415" i="1" s="1"/>
  <c r="R415" i="1"/>
  <c r="S415" i="1" s="1"/>
  <c r="P415" i="1"/>
  <c r="Q415" i="1" s="1"/>
  <c r="V381" i="1"/>
  <c r="W381" i="1" s="1"/>
  <c r="T381" i="1"/>
  <c r="U381" i="1" s="1"/>
  <c r="R381" i="1"/>
  <c r="S381" i="1" s="1"/>
  <c r="P381" i="1"/>
  <c r="Q381" i="1" s="1"/>
  <c r="N381" i="1"/>
  <c r="O381" i="1" s="1"/>
  <c r="L381" i="1"/>
  <c r="M381" i="1" s="1"/>
  <c r="V377" i="1"/>
  <c r="W377" i="1" s="1"/>
  <c r="R377" i="1"/>
  <c r="S377" i="1" s="1"/>
  <c r="P377" i="1"/>
  <c r="Q377" i="1" s="1"/>
  <c r="N377" i="1"/>
  <c r="O377" i="1" s="1"/>
  <c r="L377" i="1"/>
  <c r="M377" i="1" s="1"/>
  <c r="T377" i="1"/>
  <c r="U377" i="1" s="1"/>
  <c r="P324" i="1"/>
  <c r="Q324" i="1" s="1"/>
  <c r="N324" i="1"/>
  <c r="O324" i="1" s="1"/>
  <c r="L324" i="1"/>
  <c r="M324" i="1" s="1"/>
  <c r="J324" i="1"/>
  <c r="K324" i="1" s="1"/>
  <c r="H324" i="1"/>
  <c r="I324" i="1" s="1"/>
  <c r="V324" i="1"/>
  <c r="W324" i="1" s="1"/>
  <c r="T324" i="1"/>
  <c r="U324" i="1" s="1"/>
  <c r="R324" i="1"/>
  <c r="S324" i="1" s="1"/>
  <c r="L330" i="1"/>
  <c r="M330" i="1" s="1"/>
  <c r="J330" i="1"/>
  <c r="K330" i="1" s="1"/>
  <c r="H330" i="1"/>
  <c r="I330" i="1" s="1"/>
  <c r="V330" i="1"/>
  <c r="W330" i="1" s="1"/>
  <c r="T330" i="1"/>
  <c r="U330" i="1" s="1"/>
  <c r="R330" i="1"/>
  <c r="S330" i="1" s="1"/>
  <c r="P330" i="1"/>
  <c r="Q330" i="1" s="1"/>
  <c r="N330" i="1"/>
  <c r="O330" i="1" s="1"/>
  <c r="L278" i="1"/>
  <c r="M278" i="1" s="1"/>
  <c r="V278" i="1"/>
  <c r="W278" i="1" s="1"/>
  <c r="T278" i="1"/>
  <c r="U278" i="1" s="1"/>
  <c r="R278" i="1"/>
  <c r="S278" i="1" s="1"/>
  <c r="P278" i="1"/>
  <c r="Q278" i="1" s="1"/>
  <c r="N278" i="1"/>
  <c r="O278" i="1" s="1"/>
  <c r="J278" i="1"/>
  <c r="K278" i="1" s="1"/>
  <c r="V304" i="1"/>
  <c r="W304" i="1" s="1"/>
  <c r="T304" i="1"/>
  <c r="U304" i="1" s="1"/>
  <c r="R304" i="1"/>
  <c r="S304" i="1" s="1"/>
  <c r="P304" i="1"/>
  <c r="Q304" i="1" s="1"/>
  <c r="N304" i="1"/>
  <c r="O304" i="1" s="1"/>
  <c r="L304" i="1"/>
  <c r="M304" i="1" s="1"/>
  <c r="J304" i="1"/>
  <c r="K304" i="1" s="1"/>
  <c r="H304" i="1"/>
  <c r="I304" i="1" s="1"/>
  <c r="T405" i="1"/>
  <c r="U405" i="1" s="1"/>
  <c r="R405" i="1"/>
  <c r="S405" i="1" s="1"/>
  <c r="P405" i="1"/>
  <c r="Q405" i="1" s="1"/>
  <c r="N405" i="1"/>
  <c r="O405" i="1" s="1"/>
  <c r="L405" i="1"/>
  <c r="M405" i="1" s="1"/>
  <c r="V405" i="1"/>
  <c r="W405" i="1" s="1"/>
  <c r="P404" i="1"/>
  <c r="Q404" i="1" s="1"/>
  <c r="N404" i="1"/>
  <c r="O404" i="1" s="1"/>
  <c r="L404" i="1"/>
  <c r="M404" i="1" s="1"/>
  <c r="V404" i="1"/>
  <c r="W404" i="1" s="1"/>
  <c r="T404" i="1"/>
  <c r="U404" i="1" s="1"/>
  <c r="R404" i="1"/>
  <c r="S404" i="1" s="1"/>
  <c r="G330" i="1"/>
  <c r="G324" i="1"/>
  <c r="G278" i="1"/>
  <c r="G412" i="1"/>
  <c r="G413" i="1"/>
  <c r="G445" i="1" l="1"/>
  <c r="F493" i="1" l="1"/>
  <c r="F512" i="1"/>
  <c r="G535" i="1"/>
  <c r="F532" i="1"/>
  <c r="F711" i="1"/>
  <c r="F733" i="1"/>
  <c r="F731" i="1"/>
  <c r="V731" i="1" s="1"/>
  <c r="T733" i="1" l="1"/>
  <c r="N733" i="1"/>
  <c r="L733" i="1"/>
  <c r="P733" i="1"/>
  <c r="J733" i="1"/>
  <c r="K733" i="1" s="1"/>
  <c r="R733" i="1"/>
  <c r="R728" i="1"/>
  <c r="P728" i="1"/>
  <c r="T728" i="1"/>
  <c r="J728" i="1"/>
  <c r="K728" i="1" s="1"/>
  <c r="V728" i="1"/>
  <c r="L728" i="1"/>
  <c r="N728" i="1"/>
  <c r="R731" i="1"/>
  <c r="S731" i="1" s="1"/>
  <c r="J731" i="1"/>
  <c r="K731" i="1" s="1"/>
  <c r="P731" i="1"/>
  <c r="Q731" i="1" s="1"/>
  <c r="H731" i="1"/>
  <c r="I731" i="1" s="1"/>
  <c r="T731" i="1"/>
  <c r="U731" i="1" s="1"/>
  <c r="W731" i="1"/>
  <c r="N731" i="1"/>
  <c r="O731" i="1" s="1"/>
  <c r="L731" i="1"/>
  <c r="M731" i="1" s="1"/>
  <c r="R711" i="1"/>
  <c r="S711" i="1" s="1"/>
  <c r="J711" i="1"/>
  <c r="K711" i="1" s="1"/>
  <c r="T711" i="1"/>
  <c r="U711" i="1" s="1"/>
  <c r="L711" i="1"/>
  <c r="M711" i="1" s="1"/>
  <c r="P711" i="1"/>
  <c r="Q711" i="1" s="1"/>
  <c r="H711" i="1"/>
  <c r="I711" i="1" s="1"/>
  <c r="V711" i="1"/>
  <c r="W711" i="1" s="1"/>
  <c r="N711" i="1"/>
  <c r="O711" i="1" s="1"/>
  <c r="R531" i="1"/>
  <c r="S531" i="1" s="1"/>
  <c r="L531" i="1"/>
  <c r="M531" i="1" s="1"/>
  <c r="H531" i="1"/>
  <c r="I531" i="1" s="1"/>
  <c r="V531" i="1"/>
  <c r="W531" i="1" s="1"/>
  <c r="P531" i="1"/>
  <c r="Q531" i="1" s="1"/>
  <c r="N531" i="1"/>
  <c r="O531" i="1" s="1"/>
  <c r="T531" i="1"/>
  <c r="U531" i="1" s="1"/>
  <c r="J531" i="1"/>
  <c r="K531" i="1" s="1"/>
  <c r="H532" i="1"/>
  <c r="I532" i="1" s="1"/>
  <c r="N532" i="1"/>
  <c r="O532" i="1" s="1"/>
  <c r="R532" i="1"/>
  <c r="S532" i="1" s="1"/>
  <c r="L532" i="1"/>
  <c r="M532" i="1" s="1"/>
  <c r="T532" i="1"/>
  <c r="U532" i="1" s="1"/>
  <c r="J532" i="1"/>
  <c r="K532" i="1" s="1"/>
  <c r="V532" i="1"/>
  <c r="W532" i="1" s="1"/>
  <c r="P532" i="1"/>
  <c r="Q532" i="1" s="1"/>
  <c r="T541" i="1"/>
  <c r="U541" i="1" s="1"/>
  <c r="L541" i="1"/>
  <c r="M541" i="1" s="1"/>
  <c r="R541" i="1"/>
  <c r="S541" i="1" s="1"/>
  <c r="J541" i="1"/>
  <c r="K541" i="1" s="1"/>
  <c r="N541" i="1"/>
  <c r="O541" i="1" s="1"/>
  <c r="V541" i="1"/>
  <c r="W541" i="1" s="1"/>
  <c r="P541" i="1"/>
  <c r="Q541" i="1" s="1"/>
  <c r="R515" i="1"/>
  <c r="S515" i="1" s="1"/>
  <c r="H515" i="1"/>
  <c r="I515" i="1" s="1"/>
  <c r="V515" i="1"/>
  <c r="W515" i="1" s="1"/>
  <c r="T515" i="1"/>
  <c r="U515" i="1" s="1"/>
  <c r="P515" i="1"/>
  <c r="Q515" i="1" s="1"/>
  <c r="L515" i="1"/>
  <c r="M515" i="1" s="1"/>
  <c r="N515" i="1"/>
  <c r="O515" i="1" s="1"/>
  <c r="J515" i="1"/>
  <c r="K515" i="1" s="1"/>
  <c r="L512" i="1"/>
  <c r="M512" i="1" s="1"/>
  <c r="J512" i="1"/>
  <c r="K512" i="1" s="1"/>
  <c r="N512" i="1"/>
  <c r="O512" i="1" s="1"/>
  <c r="H512" i="1"/>
  <c r="I512" i="1" s="1"/>
  <c r="V512" i="1"/>
  <c r="W512" i="1" s="1"/>
  <c r="R512" i="1"/>
  <c r="S512" i="1" s="1"/>
  <c r="P512" i="1"/>
  <c r="Q512" i="1" s="1"/>
  <c r="T512" i="1"/>
  <c r="U512" i="1" s="1"/>
  <c r="G532" i="1"/>
  <c r="G531" i="1"/>
  <c r="G711" i="1"/>
  <c r="G731" i="1"/>
  <c r="J655" i="1" l="1"/>
  <c r="L655" i="1" l="1"/>
  <c r="M655" i="1" s="1"/>
  <c r="R655" i="1"/>
  <c r="S655" i="1" s="1"/>
  <c r="H655" i="1"/>
  <c r="I655" i="1" s="1"/>
  <c r="N655" i="1"/>
  <c r="O655" i="1" s="1"/>
  <c r="K655" i="1"/>
  <c r="V655" i="1"/>
  <c r="W655" i="1" s="1"/>
  <c r="P655" i="1"/>
  <c r="Q655" i="1" s="1"/>
  <c r="T655" i="1"/>
  <c r="U655" i="1" s="1"/>
  <c r="H328" i="1"/>
  <c r="I328" i="1" s="1"/>
  <c r="H14" i="1"/>
  <c r="R14" i="1"/>
  <c r="J14" i="1"/>
  <c r="T14" i="1"/>
  <c r="L14" i="1"/>
  <c r="P14" i="1"/>
  <c r="N14" i="1"/>
  <c r="G655" i="1"/>
  <c r="G499" i="1"/>
  <c r="G435" i="1" l="1"/>
  <c r="G498" i="1"/>
  <c r="F348" i="1"/>
  <c r="G348" i="1" l="1"/>
  <c r="G243" i="1" l="1"/>
  <c r="G573" i="1" l="1"/>
  <c r="R298" i="1" l="1"/>
  <c r="S298" i="1" s="1"/>
  <c r="N298" i="1"/>
  <c r="O298" i="1" s="1"/>
  <c r="L298" i="1"/>
  <c r="M298" i="1" s="1"/>
  <c r="J298" i="1"/>
  <c r="K298" i="1" s="1"/>
  <c r="H298" i="1"/>
  <c r="I298" i="1" s="1"/>
  <c r="V298" i="1"/>
  <c r="W298" i="1" s="1"/>
  <c r="T298" i="1"/>
  <c r="U298" i="1" s="1"/>
  <c r="P298" i="1"/>
  <c r="Q298" i="1" s="1"/>
  <c r="G298" i="1"/>
  <c r="G276" i="1" l="1"/>
  <c r="F452" i="1" l="1"/>
  <c r="F438" i="1"/>
  <c r="V438" i="1" l="1"/>
  <c r="W438" i="1" s="1"/>
  <c r="N438" i="1"/>
  <c r="O438" i="1" s="1"/>
  <c r="J438" i="1"/>
  <c r="K438" i="1" s="1"/>
  <c r="H438" i="1"/>
  <c r="I438" i="1" s="1"/>
  <c r="T438" i="1"/>
  <c r="U438" i="1" s="1"/>
  <c r="L438" i="1"/>
  <c r="M438" i="1" s="1"/>
  <c r="R438" i="1"/>
  <c r="S438" i="1" s="1"/>
  <c r="P438" i="1"/>
  <c r="Q438" i="1" s="1"/>
  <c r="P452" i="1"/>
  <c r="Q452" i="1" s="1"/>
  <c r="H452" i="1"/>
  <c r="I452" i="1" s="1"/>
  <c r="L452" i="1"/>
  <c r="M452" i="1" s="1"/>
  <c r="R452" i="1"/>
  <c r="S452" i="1" s="1"/>
  <c r="V452" i="1"/>
  <c r="W452" i="1" s="1"/>
  <c r="N452" i="1"/>
  <c r="O452" i="1" s="1"/>
  <c r="T452" i="1"/>
  <c r="U452" i="1" s="1"/>
  <c r="J452" i="1"/>
  <c r="K452" i="1" s="1"/>
  <c r="G452" i="1"/>
  <c r="G438" i="1"/>
  <c r="K520" i="1"/>
  <c r="G520" i="1"/>
  <c r="I672" i="1"/>
  <c r="I673" i="1"/>
  <c r="W522" i="1"/>
  <c r="U522" i="1"/>
  <c r="S522" i="1"/>
  <c r="Q522" i="1"/>
  <c r="O522" i="1"/>
  <c r="M522" i="1"/>
  <c r="P439" i="1" l="1"/>
  <c r="Q439" i="1" s="1"/>
  <c r="H439" i="1"/>
  <c r="I439" i="1" s="1"/>
  <c r="J439" i="1"/>
  <c r="K439" i="1" s="1"/>
  <c r="V439" i="1"/>
  <c r="W439" i="1" s="1"/>
  <c r="N439" i="1"/>
  <c r="O439" i="1" s="1"/>
  <c r="T439" i="1"/>
  <c r="U439" i="1" s="1"/>
  <c r="L439" i="1"/>
  <c r="M439" i="1" s="1"/>
  <c r="R439" i="1"/>
  <c r="S439" i="1" s="1"/>
  <c r="N254" i="1"/>
  <c r="O254" i="1" s="1"/>
  <c r="P254" i="1"/>
  <c r="Q254" i="1" s="1"/>
  <c r="R254" i="1"/>
  <c r="S254" i="1" s="1"/>
  <c r="T254" i="1"/>
  <c r="U254" i="1" s="1"/>
  <c r="V254" i="1"/>
  <c r="W254" i="1" s="1"/>
  <c r="H254" i="1"/>
  <c r="I254" i="1" s="1"/>
  <c r="J254" i="1"/>
  <c r="K254" i="1" s="1"/>
  <c r="L254" i="1"/>
  <c r="M254" i="1" s="1"/>
  <c r="G597" i="1"/>
  <c r="G254" i="1"/>
  <c r="G439" i="1"/>
  <c r="P493" i="1"/>
  <c r="J493" i="1" l="1"/>
  <c r="K493" i="1" s="1"/>
  <c r="L493" i="1"/>
  <c r="M493" i="1" s="1"/>
  <c r="N493" i="1"/>
  <c r="O493" i="1" s="1"/>
  <c r="V493" i="1"/>
  <c r="W493" i="1" s="1"/>
  <c r="T493" i="1"/>
  <c r="U493" i="1" s="1"/>
  <c r="R493" i="1"/>
  <c r="S493" i="1" s="1"/>
  <c r="G178" i="1"/>
  <c r="Q493" i="1"/>
  <c r="G493" i="1"/>
  <c r="G261" i="1" l="1"/>
  <c r="F385" i="1"/>
  <c r="V385" i="1" l="1"/>
  <c r="W385" i="1" s="1"/>
  <c r="R385" i="1"/>
  <c r="S385" i="1" s="1"/>
  <c r="P385" i="1"/>
  <c r="Q385" i="1" s="1"/>
  <c r="N385" i="1"/>
  <c r="O385" i="1" s="1"/>
  <c r="L385" i="1"/>
  <c r="M385" i="1" s="1"/>
  <c r="T385" i="1"/>
  <c r="U385" i="1" s="1"/>
  <c r="G385" i="1"/>
  <c r="V411" i="1" l="1"/>
  <c r="W411" i="1" s="1"/>
  <c r="T411" i="1"/>
  <c r="U411" i="1" s="1"/>
  <c r="R411" i="1"/>
  <c r="S411" i="1" s="1"/>
  <c r="L411" i="1"/>
  <c r="M411" i="1" s="1"/>
  <c r="P411" i="1"/>
  <c r="Q411" i="1" s="1"/>
  <c r="N411" i="1"/>
  <c r="O411" i="1" s="1"/>
  <c r="V375" i="1"/>
  <c r="W375" i="1" s="1"/>
  <c r="T375" i="1"/>
  <c r="U375" i="1" s="1"/>
  <c r="R375" i="1"/>
  <c r="S375" i="1" s="1"/>
  <c r="P375" i="1"/>
  <c r="Q375" i="1" s="1"/>
  <c r="N375" i="1"/>
  <c r="O375" i="1" s="1"/>
  <c r="L375" i="1"/>
  <c r="M375" i="1" s="1"/>
  <c r="G630" i="1"/>
  <c r="P605" i="1" l="1"/>
  <c r="Q605" i="1" s="1"/>
  <c r="H605" i="1"/>
  <c r="I605" i="1" s="1"/>
  <c r="V605" i="1"/>
  <c r="W605" i="1" s="1"/>
  <c r="N605" i="1"/>
  <c r="O605" i="1" s="1"/>
  <c r="T605" i="1"/>
  <c r="U605" i="1" s="1"/>
  <c r="L605" i="1"/>
  <c r="M605" i="1" s="1"/>
  <c r="K605" i="1"/>
  <c r="R605" i="1"/>
  <c r="S605" i="1" s="1"/>
  <c r="H625" i="1"/>
  <c r="I625" i="1" s="1"/>
  <c r="L625" i="1"/>
  <c r="M625" i="1" s="1"/>
  <c r="P625" i="1"/>
  <c r="Q625" i="1" s="1"/>
  <c r="T625" i="1"/>
  <c r="U625" i="1" s="1"/>
  <c r="N625" i="1"/>
  <c r="O625" i="1" s="1"/>
  <c r="V625" i="1"/>
  <c r="W625" i="1" s="1"/>
  <c r="K625" i="1"/>
  <c r="R625" i="1"/>
  <c r="S625" i="1" s="1"/>
  <c r="P603" i="1"/>
  <c r="Q603" i="1" s="1"/>
  <c r="H603" i="1"/>
  <c r="I603" i="1" s="1"/>
  <c r="V603" i="1"/>
  <c r="W603" i="1" s="1"/>
  <c r="N603" i="1"/>
  <c r="O603" i="1" s="1"/>
  <c r="T603" i="1"/>
  <c r="U603" i="1" s="1"/>
  <c r="R603" i="1"/>
  <c r="S603" i="1" s="1"/>
  <c r="L603" i="1"/>
  <c r="M603" i="1" s="1"/>
  <c r="K603" i="1"/>
  <c r="H620" i="1"/>
  <c r="I620" i="1" s="1"/>
  <c r="L620" i="1"/>
  <c r="M620" i="1" s="1"/>
  <c r="P620" i="1"/>
  <c r="Q620" i="1" s="1"/>
  <c r="T620" i="1"/>
  <c r="U620" i="1" s="1"/>
  <c r="N620" i="1"/>
  <c r="O620" i="1" s="1"/>
  <c r="V620" i="1"/>
  <c r="W620" i="1" s="1"/>
  <c r="K620" i="1"/>
  <c r="R620" i="1"/>
  <c r="S620" i="1" s="1"/>
  <c r="P609" i="1"/>
  <c r="Q609" i="1" s="1"/>
  <c r="H609" i="1"/>
  <c r="I609" i="1" s="1"/>
  <c r="V609" i="1"/>
  <c r="W609" i="1" s="1"/>
  <c r="N609" i="1"/>
  <c r="O609" i="1" s="1"/>
  <c r="T609" i="1"/>
  <c r="U609" i="1" s="1"/>
  <c r="L609" i="1"/>
  <c r="M609" i="1" s="1"/>
  <c r="K609" i="1"/>
  <c r="R609" i="1"/>
  <c r="S609" i="1" s="1"/>
  <c r="H612" i="1"/>
  <c r="I612" i="1" s="1"/>
  <c r="L612" i="1"/>
  <c r="M612" i="1" s="1"/>
  <c r="P612" i="1"/>
  <c r="Q612" i="1" s="1"/>
  <c r="T612" i="1"/>
  <c r="U612" i="1" s="1"/>
  <c r="K612" i="1"/>
  <c r="R612" i="1"/>
  <c r="S612" i="1" s="1"/>
  <c r="V612" i="1"/>
  <c r="W612" i="1" s="1"/>
  <c r="N612" i="1"/>
  <c r="O612" i="1" s="1"/>
  <c r="P611" i="1"/>
  <c r="Q611" i="1" s="1"/>
  <c r="H611" i="1"/>
  <c r="I611" i="1" s="1"/>
  <c r="V611" i="1"/>
  <c r="W611" i="1" s="1"/>
  <c r="N611" i="1"/>
  <c r="O611" i="1" s="1"/>
  <c r="T611" i="1"/>
  <c r="U611" i="1" s="1"/>
  <c r="L611" i="1"/>
  <c r="M611" i="1" s="1"/>
  <c r="K611" i="1"/>
  <c r="R611" i="1"/>
  <c r="S611" i="1" s="1"/>
  <c r="G625" i="1"/>
  <c r="G609" i="1"/>
  <c r="G605" i="1"/>
  <c r="F333" i="1" l="1"/>
  <c r="F305" i="1"/>
  <c r="F290" i="1"/>
  <c r="F282" i="1"/>
  <c r="F265" i="1"/>
  <c r="F264" i="1"/>
  <c r="F235" i="1"/>
  <c r="F171" i="1"/>
  <c r="F170" i="1"/>
  <c r="H619" i="1" l="1"/>
  <c r="I619" i="1" s="1"/>
  <c r="L619" i="1"/>
  <c r="M619" i="1" s="1"/>
  <c r="P619" i="1"/>
  <c r="Q619" i="1" s="1"/>
  <c r="T619" i="1"/>
  <c r="U619" i="1" s="1"/>
  <c r="N619" i="1"/>
  <c r="O619" i="1" s="1"/>
  <c r="V619" i="1"/>
  <c r="W619" i="1" s="1"/>
  <c r="R619" i="1"/>
  <c r="S619" i="1" s="1"/>
  <c r="K619" i="1"/>
  <c r="N273" i="1"/>
  <c r="O273" i="1" s="1"/>
  <c r="R273" i="1"/>
  <c r="S273" i="1" s="1"/>
  <c r="V273" i="1"/>
  <c r="W273" i="1" s="1"/>
  <c r="H273" i="1"/>
  <c r="I273" i="1" s="1"/>
  <c r="J273" i="1"/>
  <c r="K273" i="1" s="1"/>
  <c r="L273" i="1"/>
  <c r="M273" i="1" s="1"/>
  <c r="P273" i="1"/>
  <c r="Q273" i="1" s="1"/>
  <c r="T273" i="1"/>
  <c r="U273" i="1" s="1"/>
  <c r="R274" i="1"/>
  <c r="S274" i="1" s="1"/>
  <c r="T274" i="1"/>
  <c r="U274" i="1" s="1"/>
  <c r="V274" i="1"/>
  <c r="W274" i="1" s="1"/>
  <c r="H274" i="1"/>
  <c r="I274" i="1" s="1"/>
  <c r="J274" i="1"/>
  <c r="K274" i="1" s="1"/>
  <c r="L274" i="1"/>
  <c r="M274" i="1" s="1"/>
  <c r="N274" i="1"/>
  <c r="O274" i="1" s="1"/>
  <c r="P274" i="1"/>
  <c r="Q274" i="1" s="1"/>
  <c r="L206" i="1"/>
  <c r="M206" i="1" s="1"/>
  <c r="V206" i="1"/>
  <c r="W206" i="1" s="1"/>
  <c r="T206" i="1"/>
  <c r="U206" i="1" s="1"/>
  <c r="R206" i="1"/>
  <c r="S206" i="1" s="1"/>
  <c r="P206" i="1"/>
  <c r="Q206" i="1" s="1"/>
  <c r="N206" i="1"/>
  <c r="O206" i="1" s="1"/>
  <c r="R170" i="1"/>
  <c r="S170" i="1" s="1"/>
  <c r="N170" i="1"/>
  <c r="O170" i="1" s="1"/>
  <c r="P170" i="1"/>
  <c r="Q170" i="1" s="1"/>
  <c r="T170" i="1"/>
  <c r="U170" i="1" s="1"/>
  <c r="L170" i="1"/>
  <c r="M170" i="1" s="1"/>
  <c r="J170" i="1"/>
  <c r="K170" i="1" s="1"/>
  <c r="V170" i="1"/>
  <c r="W170" i="1" s="1"/>
  <c r="J290" i="1"/>
  <c r="K290" i="1" s="1"/>
  <c r="L290" i="1"/>
  <c r="M290" i="1" s="1"/>
  <c r="P290" i="1"/>
  <c r="Q290" i="1" s="1"/>
  <c r="R290" i="1"/>
  <c r="S290" i="1" s="1"/>
  <c r="T290" i="1"/>
  <c r="U290" i="1" s="1"/>
  <c r="H290" i="1"/>
  <c r="I290" i="1" s="1"/>
  <c r="N290" i="1"/>
  <c r="O290" i="1" s="1"/>
  <c r="V290" i="1"/>
  <c r="W290" i="1" s="1"/>
  <c r="H300" i="1"/>
  <c r="I300" i="1" s="1"/>
  <c r="V300" i="1"/>
  <c r="W300" i="1" s="1"/>
  <c r="T300" i="1"/>
  <c r="U300" i="1" s="1"/>
  <c r="R300" i="1"/>
  <c r="S300" i="1" s="1"/>
  <c r="P300" i="1"/>
  <c r="Q300" i="1" s="1"/>
  <c r="N300" i="1"/>
  <c r="O300" i="1" s="1"/>
  <c r="L300" i="1"/>
  <c r="M300" i="1" s="1"/>
  <c r="J300" i="1"/>
  <c r="K300" i="1" s="1"/>
  <c r="R265" i="1"/>
  <c r="S265" i="1" s="1"/>
  <c r="T265" i="1"/>
  <c r="U265" i="1" s="1"/>
  <c r="V265" i="1"/>
  <c r="W265" i="1" s="1"/>
  <c r="H265" i="1"/>
  <c r="I265" i="1" s="1"/>
  <c r="J265" i="1"/>
  <c r="K265" i="1" s="1"/>
  <c r="L265" i="1"/>
  <c r="M265" i="1" s="1"/>
  <c r="P265" i="1"/>
  <c r="Q265" i="1" s="1"/>
  <c r="N265" i="1"/>
  <c r="O265" i="1" s="1"/>
  <c r="T588" i="1"/>
  <c r="K588" i="1"/>
  <c r="V588" i="1"/>
  <c r="W588" i="1" s="1"/>
  <c r="N588" i="1"/>
  <c r="O588" i="1" s="1"/>
  <c r="P588" i="1"/>
  <c r="Q588" i="1" s="1"/>
  <c r="L588" i="1"/>
  <c r="M588" i="1" s="1"/>
  <c r="R588" i="1"/>
  <c r="S588" i="1" s="1"/>
  <c r="J252" i="1"/>
  <c r="K252" i="1" s="1"/>
  <c r="L252" i="1"/>
  <c r="M252" i="1" s="1"/>
  <c r="N252" i="1"/>
  <c r="O252" i="1" s="1"/>
  <c r="P252" i="1"/>
  <c r="Q252" i="1" s="1"/>
  <c r="R252" i="1"/>
  <c r="S252" i="1" s="1"/>
  <c r="T252" i="1"/>
  <c r="U252" i="1" s="1"/>
  <c r="V252" i="1"/>
  <c r="W252" i="1" s="1"/>
  <c r="H252" i="1"/>
  <c r="I252" i="1" s="1"/>
  <c r="H286" i="1"/>
  <c r="I286" i="1" s="1"/>
  <c r="J286" i="1"/>
  <c r="K286" i="1" s="1"/>
  <c r="L286" i="1"/>
  <c r="M286" i="1" s="1"/>
  <c r="N286" i="1"/>
  <c r="O286" i="1" s="1"/>
  <c r="P286" i="1"/>
  <c r="Q286" i="1" s="1"/>
  <c r="R286" i="1"/>
  <c r="S286" i="1" s="1"/>
  <c r="V286" i="1"/>
  <c r="W286" i="1" s="1"/>
  <c r="T286" i="1"/>
  <c r="U286" i="1" s="1"/>
  <c r="T305" i="1"/>
  <c r="U305" i="1" s="1"/>
  <c r="R305" i="1"/>
  <c r="S305" i="1" s="1"/>
  <c r="P305" i="1"/>
  <c r="Q305" i="1" s="1"/>
  <c r="N305" i="1"/>
  <c r="O305" i="1" s="1"/>
  <c r="L305" i="1"/>
  <c r="M305" i="1" s="1"/>
  <c r="J305" i="1"/>
  <c r="K305" i="1" s="1"/>
  <c r="H305" i="1"/>
  <c r="I305" i="1" s="1"/>
  <c r="V305" i="1"/>
  <c r="W305" i="1" s="1"/>
  <c r="N264" i="1"/>
  <c r="O264" i="1" s="1"/>
  <c r="R264" i="1"/>
  <c r="S264" i="1" s="1"/>
  <c r="V264" i="1"/>
  <c r="W264" i="1" s="1"/>
  <c r="H264" i="1"/>
  <c r="I264" i="1" s="1"/>
  <c r="J264" i="1"/>
  <c r="K264" i="1" s="1"/>
  <c r="L264" i="1"/>
  <c r="M264" i="1" s="1"/>
  <c r="P264" i="1"/>
  <c r="Q264" i="1" s="1"/>
  <c r="T264" i="1"/>
  <c r="U264" i="1" s="1"/>
  <c r="H282" i="1"/>
  <c r="I282" i="1" s="1"/>
  <c r="V282" i="1"/>
  <c r="W282" i="1" s="1"/>
  <c r="J282" i="1"/>
  <c r="K282" i="1" s="1"/>
  <c r="L282" i="1"/>
  <c r="M282" i="1" s="1"/>
  <c r="N282" i="1"/>
  <c r="O282" i="1" s="1"/>
  <c r="P282" i="1"/>
  <c r="Q282" i="1" s="1"/>
  <c r="R282" i="1"/>
  <c r="S282" i="1" s="1"/>
  <c r="T282" i="1"/>
  <c r="U282" i="1" s="1"/>
  <c r="J171" i="1"/>
  <c r="K171" i="1" s="1"/>
  <c r="H171" i="1"/>
  <c r="V171" i="1"/>
  <c r="W171" i="1" s="1"/>
  <c r="T171" i="1"/>
  <c r="U171" i="1" s="1"/>
  <c r="R171" i="1"/>
  <c r="S171" i="1" s="1"/>
  <c r="L171" i="1"/>
  <c r="M171" i="1" s="1"/>
  <c r="P171" i="1"/>
  <c r="Q171" i="1" s="1"/>
  <c r="N171" i="1"/>
  <c r="O171" i="1" s="1"/>
  <c r="J181" i="1"/>
  <c r="K181" i="1" s="1"/>
  <c r="T181" i="1"/>
  <c r="U181" i="1" s="1"/>
  <c r="H181" i="1"/>
  <c r="I181" i="1" s="1"/>
  <c r="V181" i="1"/>
  <c r="W181" i="1" s="1"/>
  <c r="R181" i="1"/>
  <c r="S181" i="1" s="1"/>
  <c r="N181" i="1"/>
  <c r="O181" i="1" s="1"/>
  <c r="L181" i="1"/>
  <c r="M181" i="1" s="1"/>
  <c r="P181" i="1"/>
  <c r="Q181" i="1" s="1"/>
  <c r="T299" i="1"/>
  <c r="U299" i="1" s="1"/>
  <c r="R299" i="1"/>
  <c r="S299" i="1" s="1"/>
  <c r="P299" i="1"/>
  <c r="Q299" i="1" s="1"/>
  <c r="N299" i="1"/>
  <c r="O299" i="1" s="1"/>
  <c r="L299" i="1"/>
  <c r="M299" i="1" s="1"/>
  <c r="J299" i="1"/>
  <c r="K299" i="1" s="1"/>
  <c r="H299" i="1"/>
  <c r="I299" i="1" s="1"/>
  <c r="V299" i="1"/>
  <c r="W299" i="1" s="1"/>
  <c r="R235" i="1"/>
  <c r="S235" i="1" s="1"/>
  <c r="P235" i="1"/>
  <c r="Q235" i="1" s="1"/>
  <c r="N235" i="1"/>
  <c r="O235" i="1" s="1"/>
  <c r="L235" i="1"/>
  <c r="M235" i="1" s="1"/>
  <c r="J235" i="1"/>
  <c r="K235" i="1" s="1"/>
  <c r="V235" i="1"/>
  <c r="W235" i="1" s="1"/>
  <c r="T235" i="1"/>
  <c r="U235" i="1" s="1"/>
  <c r="N255" i="1"/>
  <c r="O255" i="1" s="1"/>
  <c r="R255" i="1"/>
  <c r="S255" i="1" s="1"/>
  <c r="V255" i="1"/>
  <c r="W255" i="1" s="1"/>
  <c r="H255" i="1"/>
  <c r="I255" i="1" s="1"/>
  <c r="J255" i="1"/>
  <c r="K255" i="1" s="1"/>
  <c r="P255" i="1"/>
  <c r="Q255" i="1" s="1"/>
  <c r="T255" i="1"/>
  <c r="U255" i="1" s="1"/>
  <c r="L255" i="1"/>
  <c r="M255" i="1" s="1"/>
  <c r="P333" i="1"/>
  <c r="Q333" i="1" s="1"/>
  <c r="N333" i="1"/>
  <c r="O333" i="1" s="1"/>
  <c r="L333" i="1"/>
  <c r="M333" i="1" s="1"/>
  <c r="J333" i="1"/>
  <c r="K333" i="1" s="1"/>
  <c r="H333" i="1"/>
  <c r="I333" i="1" s="1"/>
  <c r="V333" i="1"/>
  <c r="W333" i="1" s="1"/>
  <c r="R333" i="1"/>
  <c r="S333" i="1" s="1"/>
  <c r="T333" i="1"/>
  <c r="U333" i="1" s="1"/>
  <c r="U588" i="1"/>
  <c r="G290" i="1"/>
  <c r="G252" i="1"/>
  <c r="G588" i="1"/>
  <c r="G404" i="1" l="1"/>
  <c r="H593" i="1" l="1"/>
  <c r="T593" i="1"/>
  <c r="U593" i="1" s="1"/>
  <c r="L593" i="1"/>
  <c r="M593" i="1" s="1"/>
  <c r="R593" i="1"/>
  <c r="S593" i="1" s="1"/>
  <c r="K593" i="1"/>
  <c r="N593" i="1"/>
  <c r="O593" i="1" s="1"/>
  <c r="V593" i="1"/>
  <c r="W593" i="1" s="1"/>
  <c r="P593" i="1"/>
  <c r="Q593" i="1" s="1"/>
  <c r="W665" i="1"/>
  <c r="U665" i="1"/>
  <c r="S665" i="1"/>
  <c r="Q665" i="1"/>
  <c r="O665" i="1"/>
  <c r="M665" i="1"/>
  <c r="K665" i="1"/>
  <c r="N742" i="1" l="1"/>
  <c r="O742" i="1" s="1"/>
  <c r="P742" i="1"/>
  <c r="Q742" i="1" s="1"/>
  <c r="T742" i="1"/>
  <c r="U742" i="1" s="1"/>
  <c r="L742" i="1"/>
  <c r="M742" i="1" s="1"/>
  <c r="R742" i="1"/>
  <c r="S742" i="1" s="1"/>
  <c r="J742" i="1"/>
  <c r="K742" i="1" s="1"/>
  <c r="G328" i="1"/>
  <c r="W340" i="1"/>
  <c r="U340" i="1"/>
  <c r="S340" i="1"/>
  <c r="Q340" i="1"/>
  <c r="O340" i="1"/>
  <c r="M340" i="1"/>
  <c r="K340" i="1"/>
  <c r="I340" i="1"/>
  <c r="W291" i="1"/>
  <c r="U291" i="1"/>
  <c r="S291" i="1"/>
  <c r="Q291" i="1"/>
  <c r="O291" i="1"/>
  <c r="M291" i="1"/>
  <c r="K291" i="1"/>
  <c r="O231" i="1"/>
  <c r="M231" i="1"/>
  <c r="K231" i="1"/>
  <c r="W202" i="1"/>
  <c r="U202" i="1"/>
  <c r="S202" i="1"/>
  <c r="O202" i="1"/>
  <c r="M202" i="1"/>
  <c r="W201" i="1"/>
  <c r="U201" i="1"/>
  <c r="S201" i="1"/>
  <c r="O201" i="1"/>
  <c r="M201" i="1"/>
  <c r="W200" i="1"/>
  <c r="U200" i="1"/>
  <c r="S200" i="1"/>
  <c r="O200" i="1"/>
  <c r="M200" i="1"/>
  <c r="W199" i="1"/>
  <c r="U199" i="1"/>
  <c r="S199" i="1"/>
  <c r="O199" i="1"/>
  <c r="M199" i="1"/>
  <c r="T336" i="1" l="1"/>
  <c r="U336" i="1" s="1"/>
  <c r="R336" i="1"/>
  <c r="S336" i="1" s="1"/>
  <c r="P336" i="1"/>
  <c r="Q336" i="1" s="1"/>
  <c r="N336" i="1"/>
  <c r="O336" i="1" s="1"/>
  <c r="L336" i="1"/>
  <c r="M336" i="1" s="1"/>
  <c r="J336" i="1"/>
  <c r="K336" i="1" s="1"/>
  <c r="H336" i="1"/>
  <c r="I336" i="1" s="1"/>
  <c r="V336" i="1"/>
  <c r="W336" i="1" s="1"/>
  <c r="G336" i="1"/>
  <c r="P168" i="1" l="1"/>
  <c r="Q168" i="1" s="1"/>
  <c r="N168" i="1"/>
  <c r="O168" i="1" s="1"/>
  <c r="L168" i="1"/>
  <c r="M168" i="1" s="1"/>
  <c r="R168" i="1"/>
  <c r="S168" i="1" s="1"/>
  <c r="V168" i="1"/>
  <c r="W168" i="1" s="1"/>
  <c r="T168" i="1"/>
  <c r="U168" i="1" s="1"/>
  <c r="V514" i="1"/>
  <c r="W514" i="1" s="1"/>
  <c r="T514" i="1"/>
  <c r="U514" i="1" s="1"/>
  <c r="P514" i="1"/>
  <c r="Q514" i="1" s="1"/>
  <c r="J514" i="1"/>
  <c r="K514" i="1" s="1"/>
  <c r="L514" i="1"/>
  <c r="M514" i="1" s="1"/>
  <c r="N514" i="1"/>
  <c r="O514" i="1" s="1"/>
  <c r="H514" i="1"/>
  <c r="I514" i="1" s="1"/>
  <c r="R514" i="1"/>
  <c r="S514" i="1" s="1"/>
  <c r="G433" i="1"/>
  <c r="F539" i="1" l="1"/>
  <c r="F538" i="1"/>
  <c r="V538" i="1" l="1"/>
  <c r="P538" i="1"/>
  <c r="T538" i="1"/>
  <c r="R538" i="1"/>
  <c r="H538" i="1"/>
  <c r="N538" i="1"/>
  <c r="J538" i="1"/>
  <c r="L538" i="1"/>
  <c r="T539" i="1"/>
  <c r="U539" i="1" s="1"/>
  <c r="L539" i="1"/>
  <c r="M539" i="1" s="1"/>
  <c r="R539" i="1"/>
  <c r="S539" i="1" s="1"/>
  <c r="J539" i="1"/>
  <c r="K539" i="1" s="1"/>
  <c r="H539" i="1"/>
  <c r="I539" i="1" s="1"/>
  <c r="V539" i="1"/>
  <c r="W539" i="1" s="1"/>
  <c r="P539" i="1"/>
  <c r="Q539" i="1" s="1"/>
  <c r="N539" i="1"/>
  <c r="O539" i="1" s="1"/>
  <c r="G604" i="1" l="1"/>
  <c r="F592" i="1"/>
  <c r="T592" i="1" l="1"/>
  <c r="U592" i="1" s="1"/>
  <c r="N592" i="1"/>
  <c r="O592" i="1" s="1"/>
  <c r="P592" i="1"/>
  <c r="Q592" i="1" s="1"/>
  <c r="V592" i="1"/>
  <c r="W592" i="1" s="1"/>
  <c r="R592" i="1"/>
  <c r="S592" i="1" s="1"/>
  <c r="G592" i="1"/>
  <c r="G591" i="1"/>
  <c r="G590" i="1"/>
  <c r="W509" i="1"/>
  <c r="U509" i="1"/>
  <c r="S509" i="1"/>
  <c r="Q509" i="1"/>
  <c r="O509" i="1"/>
  <c r="W508" i="1"/>
  <c r="U508" i="1"/>
  <c r="S508" i="1"/>
  <c r="Q508" i="1"/>
  <c r="O508" i="1"/>
  <c r="W502" i="1"/>
  <c r="U502" i="1"/>
  <c r="S502" i="1"/>
  <c r="Q502" i="1"/>
  <c r="O502" i="1"/>
  <c r="W501" i="1"/>
  <c r="U501" i="1"/>
  <c r="S501" i="1"/>
  <c r="Q501" i="1"/>
  <c r="O501" i="1"/>
  <c r="P610" i="1" l="1"/>
  <c r="Q610" i="1" s="1"/>
  <c r="H610" i="1"/>
  <c r="I610" i="1" s="1"/>
  <c r="V610" i="1"/>
  <c r="W610" i="1" s="1"/>
  <c r="N610" i="1"/>
  <c r="O610" i="1" s="1"/>
  <c r="T610" i="1"/>
  <c r="U610" i="1" s="1"/>
  <c r="R610" i="1"/>
  <c r="S610" i="1" s="1"/>
  <c r="L610" i="1"/>
  <c r="M610" i="1" s="1"/>
  <c r="K610" i="1"/>
  <c r="G610" i="1"/>
  <c r="F694" i="1" l="1"/>
  <c r="V710" i="1" l="1"/>
  <c r="N710" i="1"/>
  <c r="T710" i="1"/>
  <c r="L710" i="1"/>
  <c r="R710" i="1"/>
  <c r="J710" i="1"/>
  <c r="P710" i="1"/>
  <c r="H710" i="1"/>
  <c r="I710" i="1" s="1"/>
  <c r="J694" i="1"/>
  <c r="K694" i="1" s="1"/>
  <c r="H694" i="1"/>
  <c r="I694" i="1" s="1"/>
  <c r="F257" i="1"/>
  <c r="F284" i="1"/>
  <c r="F689" i="1"/>
  <c r="G169" i="1"/>
  <c r="P489" i="1" l="1"/>
  <c r="Q489" i="1" s="1"/>
  <c r="H489" i="1"/>
  <c r="I489" i="1" s="1"/>
  <c r="V489" i="1"/>
  <c r="W489" i="1" s="1"/>
  <c r="N489" i="1"/>
  <c r="O489" i="1" s="1"/>
  <c r="T489" i="1"/>
  <c r="U489" i="1" s="1"/>
  <c r="L489" i="1"/>
  <c r="M489" i="1" s="1"/>
  <c r="R489" i="1"/>
  <c r="S489" i="1" s="1"/>
  <c r="J489" i="1"/>
  <c r="K489" i="1" s="1"/>
  <c r="J689" i="1"/>
  <c r="K689" i="1" s="1"/>
  <c r="P689" i="1"/>
  <c r="Q689" i="1" s="1"/>
  <c r="N689" i="1"/>
  <c r="O689" i="1" s="1"/>
  <c r="L689" i="1"/>
  <c r="M689" i="1" s="1"/>
  <c r="V420" i="1"/>
  <c r="W420" i="1" s="1"/>
  <c r="T420" i="1"/>
  <c r="U420" i="1" s="1"/>
  <c r="R420" i="1"/>
  <c r="S420" i="1" s="1"/>
  <c r="N420" i="1"/>
  <c r="O420" i="1" s="1"/>
  <c r="P420" i="1"/>
  <c r="Q420" i="1" s="1"/>
  <c r="L420" i="1"/>
  <c r="M420" i="1" s="1"/>
  <c r="N284" i="1"/>
  <c r="O284" i="1" s="1"/>
  <c r="P284" i="1"/>
  <c r="Q284" i="1" s="1"/>
  <c r="R284" i="1"/>
  <c r="S284" i="1" s="1"/>
  <c r="T284" i="1"/>
  <c r="U284" i="1" s="1"/>
  <c r="H284" i="1"/>
  <c r="I284" i="1" s="1"/>
  <c r="V284" i="1"/>
  <c r="W284" i="1" s="1"/>
  <c r="J284" i="1"/>
  <c r="K284" i="1" s="1"/>
  <c r="L284" i="1"/>
  <c r="M284" i="1" s="1"/>
  <c r="R257" i="1"/>
  <c r="S257" i="1" s="1"/>
  <c r="V257" i="1"/>
  <c r="W257" i="1" s="1"/>
  <c r="H257" i="1"/>
  <c r="I257" i="1" s="1"/>
  <c r="J257" i="1"/>
  <c r="K257" i="1" s="1"/>
  <c r="L257" i="1"/>
  <c r="M257" i="1" s="1"/>
  <c r="N257" i="1"/>
  <c r="O257" i="1" s="1"/>
  <c r="P257" i="1"/>
  <c r="Q257" i="1" s="1"/>
  <c r="T257" i="1"/>
  <c r="U257" i="1" s="1"/>
  <c r="G419" i="1"/>
  <c r="G420" i="1"/>
  <c r="G257" i="1"/>
  <c r="G689" i="1"/>
  <c r="G137" i="1"/>
  <c r="K137" i="1"/>
  <c r="G323" i="1" l="1"/>
  <c r="V275" i="1" l="1"/>
  <c r="W275" i="1" s="1"/>
  <c r="H275" i="1"/>
  <c r="I275" i="1" s="1"/>
  <c r="J275" i="1"/>
  <c r="K275" i="1" s="1"/>
  <c r="L275" i="1"/>
  <c r="M275" i="1" s="1"/>
  <c r="N275" i="1"/>
  <c r="O275" i="1" s="1"/>
  <c r="R275" i="1"/>
  <c r="S275" i="1" s="1"/>
  <c r="T275" i="1"/>
  <c r="U275" i="1" s="1"/>
  <c r="P275" i="1"/>
  <c r="Q275" i="1" s="1"/>
  <c r="G275" i="1"/>
  <c r="G299" i="1"/>
  <c r="G265" i="1" l="1"/>
  <c r="J651" i="1"/>
  <c r="L651" i="1" l="1"/>
  <c r="M651" i="1" s="1"/>
  <c r="R651" i="1"/>
  <c r="S651" i="1" s="1"/>
  <c r="H651" i="1"/>
  <c r="I651" i="1" s="1"/>
  <c r="N651" i="1"/>
  <c r="O651" i="1" s="1"/>
  <c r="V651" i="1"/>
  <c r="W651" i="1" s="1"/>
  <c r="P651" i="1"/>
  <c r="Q651" i="1" s="1"/>
  <c r="K651" i="1"/>
  <c r="T651" i="1"/>
  <c r="U651" i="1" s="1"/>
  <c r="G651" i="1"/>
  <c r="R307" i="1" l="1"/>
  <c r="S307" i="1" s="1"/>
  <c r="P307" i="1"/>
  <c r="Q307" i="1" s="1"/>
  <c r="N307" i="1"/>
  <c r="O307" i="1" s="1"/>
  <c r="L307" i="1"/>
  <c r="M307" i="1" s="1"/>
  <c r="J307" i="1"/>
  <c r="K307" i="1" s="1"/>
  <c r="H307" i="1"/>
  <c r="I307" i="1" s="1"/>
  <c r="V307" i="1"/>
  <c r="W307" i="1" s="1"/>
  <c r="T307" i="1"/>
  <c r="U307" i="1" s="1"/>
  <c r="G304" i="1"/>
  <c r="G284" i="1"/>
  <c r="V366" i="1" l="1"/>
  <c r="W366" i="1" s="1"/>
  <c r="L366" i="1"/>
  <c r="M366" i="1" s="1"/>
  <c r="N366" i="1"/>
  <c r="O366" i="1" s="1"/>
  <c r="P366" i="1"/>
  <c r="Q366" i="1" s="1"/>
  <c r="R366" i="1"/>
  <c r="S366" i="1" s="1"/>
  <c r="T366" i="1"/>
  <c r="U366" i="1" s="1"/>
  <c r="L367" i="1"/>
  <c r="M367" i="1" s="1"/>
  <c r="N367" i="1"/>
  <c r="O367" i="1" s="1"/>
  <c r="P367" i="1"/>
  <c r="Q367" i="1" s="1"/>
  <c r="R367" i="1"/>
  <c r="S367" i="1" s="1"/>
  <c r="T367" i="1"/>
  <c r="U367" i="1" s="1"/>
  <c r="V367" i="1"/>
  <c r="W367" i="1" s="1"/>
  <c r="G367" i="1"/>
  <c r="T548" i="1" l="1"/>
  <c r="U548" i="1" s="1"/>
  <c r="L548" i="1"/>
  <c r="M548" i="1" s="1"/>
  <c r="R548" i="1"/>
  <c r="S548" i="1" s="1"/>
  <c r="J548" i="1"/>
  <c r="K548" i="1" s="1"/>
  <c r="P548" i="1"/>
  <c r="Q548" i="1" s="1"/>
  <c r="N548" i="1"/>
  <c r="O548" i="1" s="1"/>
  <c r="V548" i="1"/>
  <c r="W548" i="1" s="1"/>
  <c r="H548" i="1"/>
  <c r="I548" i="1" s="1"/>
  <c r="T549" i="1"/>
  <c r="U549" i="1" s="1"/>
  <c r="L549" i="1"/>
  <c r="M549" i="1" s="1"/>
  <c r="R549" i="1"/>
  <c r="S549" i="1" s="1"/>
  <c r="J549" i="1"/>
  <c r="K549" i="1" s="1"/>
  <c r="P549" i="1"/>
  <c r="Q549" i="1" s="1"/>
  <c r="N549" i="1"/>
  <c r="O549" i="1" s="1"/>
  <c r="H549" i="1"/>
  <c r="I549" i="1" s="1"/>
  <c r="V549" i="1"/>
  <c r="W549" i="1" s="1"/>
  <c r="T550" i="1"/>
  <c r="U550" i="1" s="1"/>
  <c r="L550" i="1"/>
  <c r="M550" i="1" s="1"/>
  <c r="R550" i="1"/>
  <c r="S550" i="1" s="1"/>
  <c r="J550" i="1"/>
  <c r="K550" i="1" s="1"/>
  <c r="P550" i="1"/>
  <c r="Q550" i="1" s="1"/>
  <c r="N550" i="1"/>
  <c r="O550" i="1" s="1"/>
  <c r="H550" i="1"/>
  <c r="I550" i="1" s="1"/>
  <c r="V550" i="1"/>
  <c r="W550" i="1" s="1"/>
  <c r="G381" i="1"/>
  <c r="G736" i="1"/>
  <c r="G735" i="1"/>
  <c r="F690" i="1"/>
  <c r="G528" i="1"/>
  <c r="T690" i="1" l="1"/>
  <c r="U690" i="1" s="1"/>
  <c r="L690" i="1"/>
  <c r="M690" i="1" s="1"/>
  <c r="P690" i="1"/>
  <c r="Q690" i="1" s="1"/>
  <c r="R690" i="1"/>
  <c r="S690" i="1" s="1"/>
  <c r="J690" i="1"/>
  <c r="K690" i="1" s="1"/>
  <c r="H690" i="1"/>
  <c r="I690" i="1" s="1"/>
  <c r="V690" i="1"/>
  <c r="W690" i="1" s="1"/>
  <c r="N690" i="1"/>
  <c r="O690" i="1" s="1"/>
  <c r="V387" i="1"/>
  <c r="W387" i="1" s="1"/>
  <c r="T387" i="1"/>
  <c r="U387" i="1" s="1"/>
  <c r="R387" i="1"/>
  <c r="S387" i="1" s="1"/>
  <c r="P387" i="1"/>
  <c r="Q387" i="1" s="1"/>
  <c r="N387" i="1"/>
  <c r="O387" i="1" s="1"/>
  <c r="L387" i="1"/>
  <c r="M387" i="1" s="1"/>
  <c r="V386" i="1"/>
  <c r="W386" i="1" s="1"/>
  <c r="T386" i="1"/>
  <c r="U386" i="1" s="1"/>
  <c r="R386" i="1"/>
  <c r="S386" i="1" s="1"/>
  <c r="P386" i="1"/>
  <c r="Q386" i="1" s="1"/>
  <c r="N386" i="1"/>
  <c r="O386" i="1" s="1"/>
  <c r="J337" i="1"/>
  <c r="K337" i="1" s="1"/>
  <c r="N337" i="1"/>
  <c r="O337" i="1" s="1"/>
  <c r="P337" i="1"/>
  <c r="Q337" i="1" s="1"/>
  <c r="R337" i="1"/>
  <c r="S337" i="1" s="1"/>
  <c r="T337" i="1"/>
  <c r="U337" i="1" s="1"/>
  <c r="V337" i="1"/>
  <c r="W337" i="1" s="1"/>
  <c r="L337" i="1"/>
  <c r="M337" i="1" s="1"/>
  <c r="H337" i="1"/>
  <c r="I337" i="1" s="1"/>
  <c r="N321" i="1"/>
  <c r="O321" i="1" s="1"/>
  <c r="J321" i="1"/>
  <c r="K321" i="1" s="1"/>
  <c r="H321" i="1"/>
  <c r="I321" i="1" s="1"/>
  <c r="V321" i="1"/>
  <c r="W321" i="1" s="1"/>
  <c r="T321" i="1"/>
  <c r="U321" i="1" s="1"/>
  <c r="R321" i="1"/>
  <c r="S321" i="1" s="1"/>
  <c r="L321" i="1"/>
  <c r="M321" i="1" s="1"/>
  <c r="P321" i="1"/>
  <c r="Q321" i="1" s="1"/>
  <c r="R395" i="1"/>
  <c r="S395" i="1" s="1"/>
  <c r="N395" i="1"/>
  <c r="O395" i="1" s="1"/>
  <c r="L395" i="1"/>
  <c r="M395" i="1" s="1"/>
  <c r="V395" i="1"/>
  <c r="W395" i="1" s="1"/>
  <c r="P395" i="1"/>
  <c r="Q395" i="1" s="1"/>
  <c r="T395" i="1"/>
  <c r="U395" i="1" s="1"/>
  <c r="L390" i="1"/>
  <c r="M390" i="1" s="1"/>
  <c r="V390" i="1"/>
  <c r="W390" i="1" s="1"/>
  <c r="T390" i="1"/>
  <c r="U390" i="1" s="1"/>
  <c r="R390" i="1"/>
  <c r="S390" i="1" s="1"/>
  <c r="N390" i="1"/>
  <c r="O390" i="1" s="1"/>
  <c r="P390" i="1"/>
  <c r="Q390" i="1" s="1"/>
  <c r="G133" i="1" l="1"/>
  <c r="G448" i="1" l="1"/>
  <c r="F727" i="1"/>
  <c r="F688" i="1"/>
  <c r="F551" i="1"/>
  <c r="V727" i="1" l="1"/>
  <c r="W727" i="1" s="1"/>
  <c r="R727" i="1"/>
  <c r="S727" i="1" s="1"/>
  <c r="N727" i="1"/>
  <c r="O727" i="1" s="1"/>
  <c r="T727" i="1"/>
  <c r="U727" i="1" s="1"/>
  <c r="P727" i="1"/>
  <c r="Q727" i="1" s="1"/>
  <c r="L727" i="1"/>
  <c r="M727" i="1" s="1"/>
  <c r="H626" i="1"/>
  <c r="I626" i="1" s="1"/>
  <c r="L626" i="1"/>
  <c r="M626" i="1" s="1"/>
  <c r="P626" i="1"/>
  <c r="Q626" i="1" s="1"/>
  <c r="T626" i="1"/>
  <c r="U626" i="1" s="1"/>
  <c r="K626" i="1"/>
  <c r="V626" i="1"/>
  <c r="W626" i="1" s="1"/>
  <c r="R626" i="1"/>
  <c r="S626" i="1" s="1"/>
  <c r="N626" i="1"/>
  <c r="O626" i="1" s="1"/>
  <c r="T688" i="1"/>
  <c r="U688" i="1" s="1"/>
  <c r="L688" i="1"/>
  <c r="M688" i="1" s="1"/>
  <c r="P688" i="1"/>
  <c r="Q688" i="1" s="1"/>
  <c r="V688" i="1"/>
  <c r="W688" i="1" s="1"/>
  <c r="R688" i="1"/>
  <c r="S688" i="1" s="1"/>
  <c r="J688" i="1"/>
  <c r="K688" i="1" s="1"/>
  <c r="H688" i="1"/>
  <c r="I688" i="1" s="1"/>
  <c r="N688" i="1"/>
  <c r="O688" i="1" s="1"/>
  <c r="T551" i="1"/>
  <c r="U551" i="1" s="1"/>
  <c r="L551" i="1"/>
  <c r="M551" i="1" s="1"/>
  <c r="R551" i="1"/>
  <c r="S551" i="1" s="1"/>
  <c r="J551" i="1"/>
  <c r="K551" i="1" s="1"/>
  <c r="P551" i="1"/>
  <c r="Q551" i="1" s="1"/>
  <c r="N551" i="1"/>
  <c r="O551" i="1" s="1"/>
  <c r="V551" i="1"/>
  <c r="W551" i="1" s="1"/>
  <c r="H551" i="1"/>
  <c r="I551" i="1" s="1"/>
  <c r="H631" i="1"/>
  <c r="I631" i="1" s="1"/>
  <c r="N631" i="1"/>
  <c r="O631" i="1" s="1"/>
  <c r="R631" i="1"/>
  <c r="S631" i="1" s="1"/>
  <c r="L631" i="1"/>
  <c r="M631" i="1" s="1"/>
  <c r="T631" i="1"/>
  <c r="U631" i="1" s="1"/>
  <c r="V631" i="1"/>
  <c r="W631" i="1" s="1"/>
  <c r="P631" i="1"/>
  <c r="Q631" i="1" s="1"/>
  <c r="K631" i="1"/>
  <c r="P600" i="1"/>
  <c r="Q600" i="1" s="1"/>
  <c r="H600" i="1"/>
  <c r="I600" i="1" s="1"/>
  <c r="V600" i="1"/>
  <c r="W600" i="1" s="1"/>
  <c r="N600" i="1"/>
  <c r="O600" i="1" s="1"/>
  <c r="T600" i="1"/>
  <c r="U600" i="1" s="1"/>
  <c r="K600" i="1"/>
  <c r="R600" i="1"/>
  <c r="S600" i="1" s="1"/>
  <c r="L600" i="1"/>
  <c r="M600" i="1" s="1"/>
  <c r="H632" i="1"/>
  <c r="I632" i="1" s="1"/>
  <c r="N632" i="1"/>
  <c r="O632" i="1" s="1"/>
  <c r="K632" i="1"/>
  <c r="P632" i="1"/>
  <c r="Q632" i="1" s="1"/>
  <c r="R632" i="1"/>
  <c r="S632" i="1" s="1"/>
  <c r="T632" i="1"/>
  <c r="U632" i="1" s="1"/>
  <c r="V632" i="1"/>
  <c r="W632" i="1" s="1"/>
  <c r="L632" i="1"/>
  <c r="M632" i="1" s="1"/>
  <c r="P345" i="1"/>
  <c r="Q345" i="1" s="1"/>
  <c r="V345" i="1"/>
  <c r="W345" i="1" s="1"/>
  <c r="N345" i="1"/>
  <c r="O345" i="1" s="1"/>
  <c r="T345" i="1"/>
  <c r="U345" i="1" s="1"/>
  <c r="L345" i="1"/>
  <c r="M345" i="1" s="1"/>
  <c r="R345" i="1"/>
  <c r="S345" i="1" s="1"/>
  <c r="H623" i="1"/>
  <c r="I623" i="1" s="1"/>
  <c r="L623" i="1"/>
  <c r="M623" i="1" s="1"/>
  <c r="P623" i="1"/>
  <c r="Q623" i="1" s="1"/>
  <c r="T623" i="1"/>
  <c r="U623" i="1" s="1"/>
  <c r="N623" i="1"/>
  <c r="O623" i="1" s="1"/>
  <c r="V623" i="1"/>
  <c r="W623" i="1" s="1"/>
  <c r="K623" i="1"/>
  <c r="R623" i="1"/>
  <c r="S623" i="1" s="1"/>
  <c r="H633" i="1"/>
  <c r="I633" i="1" s="1"/>
  <c r="N633" i="1"/>
  <c r="O633" i="1" s="1"/>
  <c r="V633" i="1"/>
  <c r="W633" i="1" s="1"/>
  <c r="K633" i="1"/>
  <c r="P633" i="1"/>
  <c r="Q633" i="1" s="1"/>
  <c r="R633" i="1"/>
  <c r="S633" i="1" s="1"/>
  <c r="L633" i="1"/>
  <c r="M633" i="1" s="1"/>
  <c r="T633" i="1"/>
  <c r="U633" i="1" s="1"/>
  <c r="I100" i="1"/>
  <c r="F581" i="1"/>
  <c r="F580" i="1"/>
  <c r="F456" i="1"/>
  <c r="F373" i="1"/>
  <c r="F343" i="1"/>
  <c r="F221" i="1"/>
  <c r="V221" i="1" l="1"/>
  <c r="W221" i="1" s="1"/>
  <c r="T221" i="1"/>
  <c r="U221" i="1" s="1"/>
  <c r="P221" i="1"/>
  <c r="Q221" i="1" s="1"/>
  <c r="N221" i="1"/>
  <c r="O221" i="1" s="1"/>
  <c r="R221" i="1"/>
  <c r="S221" i="1" s="1"/>
  <c r="J221" i="1"/>
  <c r="L221" i="1"/>
  <c r="H221" i="1"/>
  <c r="V373" i="1"/>
  <c r="W373" i="1" s="1"/>
  <c r="P373" i="1"/>
  <c r="Q373" i="1" s="1"/>
  <c r="J373" i="1"/>
  <c r="K373" i="1" s="1"/>
  <c r="N373" i="1"/>
  <c r="O373" i="1" s="1"/>
  <c r="R373" i="1"/>
  <c r="S373" i="1" s="1"/>
  <c r="L373" i="1"/>
  <c r="M373" i="1" s="1"/>
  <c r="T373" i="1"/>
  <c r="U373" i="1" s="1"/>
  <c r="H373" i="1"/>
  <c r="I373" i="1" s="1"/>
  <c r="R456" i="1"/>
  <c r="S456" i="1" s="1"/>
  <c r="L456" i="1"/>
  <c r="M456" i="1" s="1"/>
  <c r="N456" i="1"/>
  <c r="O456" i="1" s="1"/>
  <c r="V456" i="1"/>
  <c r="W456" i="1" s="1"/>
  <c r="J456" i="1"/>
  <c r="K456" i="1" s="1"/>
  <c r="T456" i="1"/>
  <c r="U456" i="1" s="1"/>
  <c r="P456" i="1"/>
  <c r="Q456" i="1" s="1"/>
  <c r="H456" i="1"/>
  <c r="I456" i="1" s="1"/>
  <c r="H409" i="1"/>
  <c r="I409" i="1" s="1"/>
  <c r="J409" i="1"/>
  <c r="K409" i="1" s="1"/>
  <c r="L409" i="1"/>
  <c r="M409" i="1" s="1"/>
  <c r="R450" i="1"/>
  <c r="S450" i="1" s="1"/>
  <c r="L450" i="1"/>
  <c r="M450" i="1" s="1"/>
  <c r="P450" i="1"/>
  <c r="Q450" i="1" s="1"/>
  <c r="V450" i="1"/>
  <c r="W450" i="1" s="1"/>
  <c r="J450" i="1"/>
  <c r="K450" i="1" s="1"/>
  <c r="T450" i="1"/>
  <c r="U450" i="1" s="1"/>
  <c r="N450" i="1"/>
  <c r="O450" i="1" s="1"/>
  <c r="V580" i="1"/>
  <c r="W580" i="1" s="1"/>
  <c r="P580" i="1"/>
  <c r="Q580" i="1" s="1"/>
  <c r="T580" i="1"/>
  <c r="U580" i="1" s="1"/>
  <c r="J580" i="1"/>
  <c r="K580" i="1" s="1"/>
  <c r="H580" i="1"/>
  <c r="I580" i="1" s="1"/>
  <c r="R580" i="1"/>
  <c r="S580" i="1" s="1"/>
  <c r="N580" i="1"/>
  <c r="O580" i="1" s="1"/>
  <c r="L580" i="1"/>
  <c r="M580" i="1" s="1"/>
  <c r="R343" i="1"/>
  <c r="S343" i="1" s="1"/>
  <c r="T343" i="1"/>
  <c r="U343" i="1" s="1"/>
  <c r="J343" i="1"/>
  <c r="K343" i="1" s="1"/>
  <c r="P343" i="1"/>
  <c r="Q343" i="1" s="1"/>
  <c r="H343" i="1"/>
  <c r="I343" i="1" s="1"/>
  <c r="V343" i="1"/>
  <c r="W343" i="1" s="1"/>
  <c r="N343" i="1"/>
  <c r="O343" i="1" s="1"/>
  <c r="L343" i="1"/>
  <c r="M343" i="1" s="1"/>
  <c r="N436" i="1"/>
  <c r="O436" i="1" s="1"/>
  <c r="P436" i="1"/>
  <c r="Q436" i="1" s="1"/>
  <c r="R436" i="1"/>
  <c r="S436" i="1" s="1"/>
  <c r="L436" i="1"/>
  <c r="M436" i="1" s="1"/>
  <c r="V436" i="1"/>
  <c r="W436" i="1" s="1"/>
  <c r="J436" i="1"/>
  <c r="K436" i="1" s="1"/>
  <c r="T436" i="1"/>
  <c r="U436" i="1" s="1"/>
  <c r="H436" i="1"/>
  <c r="I436" i="1" s="1"/>
  <c r="L581" i="1"/>
  <c r="M581" i="1" s="1"/>
  <c r="J581" i="1"/>
  <c r="K581" i="1" s="1"/>
  <c r="H581" i="1"/>
  <c r="I581" i="1" s="1"/>
  <c r="N581" i="1"/>
  <c r="O581" i="1" s="1"/>
  <c r="V379" i="1"/>
  <c r="W379" i="1" s="1"/>
  <c r="R379" i="1"/>
  <c r="S379" i="1" s="1"/>
  <c r="T379" i="1"/>
  <c r="U379" i="1" s="1"/>
  <c r="P379" i="1"/>
  <c r="Q379" i="1" s="1"/>
  <c r="L379" i="1"/>
  <c r="M379" i="1" s="1"/>
  <c r="N379" i="1"/>
  <c r="O379" i="1" s="1"/>
  <c r="N422" i="1"/>
  <c r="O422" i="1" s="1"/>
  <c r="P422" i="1"/>
  <c r="Q422" i="1" s="1"/>
  <c r="R422" i="1"/>
  <c r="S422" i="1" s="1"/>
  <c r="V422" i="1"/>
  <c r="W422" i="1" s="1"/>
  <c r="T422" i="1"/>
  <c r="U422" i="1" s="1"/>
  <c r="L422" i="1"/>
  <c r="M422" i="1" s="1"/>
  <c r="R423" i="1"/>
  <c r="S423" i="1" s="1"/>
  <c r="T423" i="1"/>
  <c r="U423" i="1" s="1"/>
  <c r="V423" i="1"/>
  <c r="W423" i="1" s="1"/>
  <c r="L423" i="1"/>
  <c r="M423" i="1" s="1"/>
  <c r="P423" i="1"/>
  <c r="Q423" i="1" s="1"/>
  <c r="N423" i="1"/>
  <c r="O423" i="1" s="1"/>
  <c r="R414" i="1"/>
  <c r="S414" i="1" s="1"/>
  <c r="V414" i="1"/>
  <c r="W414" i="1" s="1"/>
  <c r="T414" i="1"/>
  <c r="U414" i="1" s="1"/>
  <c r="P414" i="1"/>
  <c r="Q414" i="1" s="1"/>
  <c r="N414" i="1"/>
  <c r="O414" i="1" s="1"/>
  <c r="L414" i="1"/>
  <c r="M414" i="1" s="1"/>
  <c r="T430" i="1"/>
  <c r="U430" i="1" s="1"/>
  <c r="L430" i="1"/>
  <c r="M430" i="1" s="1"/>
  <c r="V430" i="1"/>
  <c r="W430" i="1" s="1"/>
  <c r="N430" i="1"/>
  <c r="O430" i="1" s="1"/>
  <c r="P430" i="1"/>
  <c r="Q430" i="1" s="1"/>
  <c r="R430" i="1"/>
  <c r="S430" i="1" s="1"/>
  <c r="P352" i="1"/>
  <c r="Q352" i="1" s="1"/>
  <c r="L352" i="1"/>
  <c r="M352" i="1" s="1"/>
  <c r="V352" i="1"/>
  <c r="W352" i="1" s="1"/>
  <c r="T352" i="1"/>
  <c r="U352" i="1" s="1"/>
  <c r="R352" i="1"/>
  <c r="S352" i="1" s="1"/>
  <c r="N352" i="1"/>
  <c r="O352" i="1" s="1"/>
  <c r="N370" i="1"/>
  <c r="O370" i="1" s="1"/>
  <c r="R370" i="1"/>
  <c r="S370" i="1" s="1"/>
  <c r="T370" i="1"/>
  <c r="U370" i="1" s="1"/>
  <c r="V370" i="1"/>
  <c r="W370" i="1" s="1"/>
  <c r="L370" i="1"/>
  <c r="M370" i="1" s="1"/>
  <c r="P370" i="1"/>
  <c r="Q370" i="1" s="1"/>
  <c r="V351" i="1"/>
  <c r="W351" i="1" s="1"/>
  <c r="R351" i="1"/>
  <c r="S351" i="1" s="1"/>
  <c r="P351" i="1"/>
  <c r="Q351" i="1" s="1"/>
  <c r="N351" i="1"/>
  <c r="O351" i="1" s="1"/>
  <c r="L351" i="1"/>
  <c r="M351" i="1" s="1"/>
  <c r="T351" i="1"/>
  <c r="U351" i="1" s="1"/>
  <c r="N350" i="1"/>
  <c r="O350" i="1" s="1"/>
  <c r="V350" i="1"/>
  <c r="T350" i="1"/>
  <c r="U350" i="1" s="1"/>
  <c r="R350" i="1"/>
  <c r="S350" i="1" s="1"/>
  <c r="P350" i="1"/>
  <c r="Q350" i="1" s="1"/>
  <c r="L350" i="1"/>
  <c r="M350" i="1" s="1"/>
  <c r="V353" i="1"/>
  <c r="W353" i="1" s="1"/>
  <c r="T353" i="1"/>
  <c r="U353" i="1" s="1"/>
  <c r="R353" i="1"/>
  <c r="S353" i="1" s="1"/>
  <c r="P353" i="1"/>
  <c r="Q353" i="1" s="1"/>
  <c r="N353" i="1"/>
  <c r="O353" i="1" s="1"/>
  <c r="L353" i="1"/>
  <c r="M353" i="1" s="1"/>
  <c r="R382" i="1"/>
  <c r="S382" i="1" s="1"/>
  <c r="N382" i="1"/>
  <c r="O382" i="1" s="1"/>
  <c r="L382" i="1"/>
  <c r="M382" i="1" s="1"/>
  <c r="V382" i="1"/>
  <c r="W382" i="1" s="1"/>
  <c r="P382" i="1"/>
  <c r="Q382" i="1" s="1"/>
  <c r="T382" i="1"/>
  <c r="U382" i="1" s="1"/>
  <c r="V354" i="1"/>
  <c r="W354" i="1" s="1"/>
  <c r="T354" i="1"/>
  <c r="U354" i="1" s="1"/>
  <c r="R354" i="1"/>
  <c r="S354" i="1" s="1"/>
  <c r="P354" i="1"/>
  <c r="Q354" i="1" s="1"/>
  <c r="N354" i="1"/>
  <c r="O354" i="1" s="1"/>
  <c r="L354" i="1"/>
  <c r="M354" i="1" s="1"/>
  <c r="V355" i="1"/>
  <c r="W355" i="1" s="1"/>
  <c r="T355" i="1"/>
  <c r="U355" i="1" s="1"/>
  <c r="R355" i="1"/>
  <c r="S355" i="1" s="1"/>
  <c r="P355" i="1"/>
  <c r="Q355" i="1" s="1"/>
  <c r="N355" i="1"/>
  <c r="O355" i="1" s="1"/>
  <c r="L355" i="1"/>
  <c r="M355" i="1" s="1"/>
  <c r="V372" i="1"/>
  <c r="W372" i="1" s="1"/>
  <c r="L372" i="1"/>
  <c r="M372" i="1" s="1"/>
  <c r="N372" i="1"/>
  <c r="O372" i="1" s="1"/>
  <c r="P372" i="1"/>
  <c r="Q372" i="1" s="1"/>
  <c r="T372" i="1"/>
  <c r="U372" i="1" s="1"/>
  <c r="R372" i="1"/>
  <c r="S372" i="1" s="1"/>
  <c r="N361" i="1"/>
  <c r="O361" i="1" s="1"/>
  <c r="V361" i="1"/>
  <c r="W361" i="1" s="1"/>
  <c r="T361" i="1"/>
  <c r="U361" i="1" s="1"/>
  <c r="R361" i="1"/>
  <c r="S361" i="1" s="1"/>
  <c r="P361" i="1"/>
  <c r="Q361" i="1" s="1"/>
  <c r="L361" i="1"/>
  <c r="M361" i="1" s="1"/>
  <c r="P376" i="1"/>
  <c r="Q376" i="1" s="1"/>
  <c r="N376" i="1"/>
  <c r="O376" i="1" s="1"/>
  <c r="L376" i="1"/>
  <c r="M376" i="1" s="1"/>
  <c r="V376" i="1"/>
  <c r="W376" i="1" s="1"/>
  <c r="T376" i="1"/>
  <c r="U376" i="1" s="1"/>
  <c r="R376" i="1"/>
  <c r="S376" i="1" s="1"/>
  <c r="T371" i="1"/>
  <c r="U371" i="1" s="1"/>
  <c r="V371" i="1"/>
  <c r="W371" i="1" s="1"/>
  <c r="L371" i="1"/>
  <c r="M371" i="1" s="1"/>
  <c r="N371" i="1"/>
  <c r="O371" i="1" s="1"/>
  <c r="R371" i="1"/>
  <c r="S371" i="1" s="1"/>
  <c r="P371" i="1"/>
  <c r="Q371" i="1" s="1"/>
  <c r="V364" i="1"/>
  <c r="W364" i="1" s="1"/>
  <c r="T364" i="1"/>
  <c r="U364" i="1" s="1"/>
  <c r="R364" i="1"/>
  <c r="S364" i="1" s="1"/>
  <c r="P364" i="1"/>
  <c r="Q364" i="1" s="1"/>
  <c r="N364" i="1"/>
  <c r="O364" i="1" s="1"/>
  <c r="L364" i="1"/>
  <c r="M364" i="1" s="1"/>
  <c r="V360" i="1"/>
  <c r="W360" i="1" s="1"/>
  <c r="T360" i="1"/>
  <c r="U360" i="1" s="1"/>
  <c r="R360" i="1"/>
  <c r="S360" i="1" s="1"/>
  <c r="P360" i="1"/>
  <c r="Q360" i="1" s="1"/>
  <c r="N360" i="1"/>
  <c r="O360" i="1" s="1"/>
  <c r="L360" i="1"/>
  <c r="M360" i="1" s="1"/>
  <c r="M221" i="1"/>
  <c r="K221" i="1"/>
  <c r="P356" i="1"/>
  <c r="Q356" i="1" s="1"/>
  <c r="L356" i="1"/>
  <c r="M356" i="1" s="1"/>
  <c r="V356" i="1"/>
  <c r="W356" i="1" s="1"/>
  <c r="T356" i="1"/>
  <c r="U356" i="1" s="1"/>
  <c r="N356" i="1"/>
  <c r="O356" i="1" s="1"/>
  <c r="R356" i="1"/>
  <c r="S356" i="1" s="1"/>
  <c r="L368" i="1"/>
  <c r="M368" i="1" s="1"/>
  <c r="N368" i="1"/>
  <c r="O368" i="1" s="1"/>
  <c r="P368" i="1"/>
  <c r="Q368" i="1" s="1"/>
  <c r="R368" i="1"/>
  <c r="S368" i="1" s="1"/>
  <c r="T368" i="1"/>
  <c r="U368" i="1" s="1"/>
  <c r="V368" i="1"/>
  <c r="W368" i="1" s="1"/>
  <c r="T365" i="1"/>
  <c r="U365" i="1" s="1"/>
  <c r="V365" i="1"/>
  <c r="W365" i="1" s="1"/>
  <c r="L365" i="1"/>
  <c r="M365" i="1" s="1"/>
  <c r="N365" i="1"/>
  <c r="O365" i="1" s="1"/>
  <c r="R365" i="1"/>
  <c r="S365" i="1" s="1"/>
  <c r="P365" i="1"/>
  <c r="Q365" i="1" s="1"/>
  <c r="L406" i="1"/>
  <c r="M406" i="1" s="1"/>
  <c r="V406" i="1"/>
  <c r="W406" i="1" s="1"/>
  <c r="T406" i="1"/>
  <c r="U406" i="1" s="1"/>
  <c r="R406" i="1"/>
  <c r="S406" i="1" s="1"/>
  <c r="P406" i="1"/>
  <c r="Q406" i="1" s="1"/>
  <c r="N406" i="1"/>
  <c r="O406" i="1" s="1"/>
  <c r="T407" i="1"/>
  <c r="U407" i="1" s="1"/>
  <c r="R407" i="1"/>
  <c r="S407" i="1" s="1"/>
  <c r="P407" i="1"/>
  <c r="Q407" i="1" s="1"/>
  <c r="N407" i="1"/>
  <c r="O407" i="1" s="1"/>
  <c r="L407" i="1"/>
  <c r="M407" i="1" s="1"/>
  <c r="V407" i="1"/>
  <c r="W407" i="1" s="1"/>
  <c r="V358" i="1"/>
  <c r="W358" i="1" s="1"/>
  <c r="T358" i="1"/>
  <c r="U358" i="1" s="1"/>
  <c r="R358" i="1"/>
  <c r="S358" i="1" s="1"/>
  <c r="P358" i="1"/>
  <c r="Q358" i="1" s="1"/>
  <c r="N358" i="1"/>
  <c r="O358" i="1" s="1"/>
  <c r="L358" i="1"/>
  <c r="M358" i="1" s="1"/>
  <c r="I221" i="1"/>
  <c r="W350" i="1"/>
  <c r="V308" i="1" l="1"/>
  <c r="W308" i="1" s="1"/>
  <c r="R308" i="1"/>
  <c r="S308" i="1" s="1"/>
  <c r="P308" i="1"/>
  <c r="Q308" i="1" s="1"/>
  <c r="N308" i="1"/>
  <c r="O308" i="1" s="1"/>
  <c r="L308" i="1"/>
  <c r="M308" i="1" s="1"/>
  <c r="J308" i="1"/>
  <c r="K308" i="1" s="1"/>
  <c r="T308" i="1"/>
  <c r="U308" i="1" s="1"/>
  <c r="H308" i="1"/>
  <c r="I308" i="1" s="1"/>
  <c r="G301" i="1"/>
  <c r="J251" i="1" l="1"/>
  <c r="K251" i="1" s="1"/>
  <c r="N251" i="1"/>
  <c r="O251" i="1" s="1"/>
  <c r="P251" i="1"/>
  <c r="Q251" i="1" s="1"/>
  <c r="R251" i="1"/>
  <c r="S251" i="1" s="1"/>
  <c r="T251" i="1"/>
  <c r="U251" i="1" s="1"/>
  <c r="H251" i="1"/>
  <c r="I251" i="1" s="1"/>
  <c r="V251" i="1"/>
  <c r="W251" i="1" s="1"/>
  <c r="L251" i="1"/>
  <c r="M251" i="1" s="1"/>
  <c r="V258" i="1"/>
  <c r="W258" i="1" s="1"/>
  <c r="J258" i="1"/>
  <c r="K258" i="1" s="1"/>
  <c r="L258" i="1"/>
  <c r="M258" i="1" s="1"/>
  <c r="N258" i="1"/>
  <c r="O258" i="1" s="1"/>
  <c r="P258" i="1"/>
  <c r="Q258" i="1" s="1"/>
  <c r="R258" i="1"/>
  <c r="S258" i="1" s="1"/>
  <c r="H258" i="1"/>
  <c r="I258" i="1" s="1"/>
  <c r="T258" i="1"/>
  <c r="U258" i="1" s="1"/>
  <c r="F289" i="1"/>
  <c r="F272" i="1"/>
  <c r="F279" i="1"/>
  <c r="F451" i="1"/>
  <c r="F281" i="1"/>
  <c r="P451" i="1" l="1"/>
  <c r="Q451" i="1" s="1"/>
  <c r="H451" i="1"/>
  <c r="I451" i="1" s="1"/>
  <c r="L451" i="1"/>
  <c r="M451" i="1" s="1"/>
  <c r="R451" i="1"/>
  <c r="S451" i="1" s="1"/>
  <c r="V451" i="1"/>
  <c r="W451" i="1" s="1"/>
  <c r="N451" i="1"/>
  <c r="O451" i="1" s="1"/>
  <c r="T451" i="1"/>
  <c r="U451" i="1" s="1"/>
  <c r="J451" i="1"/>
  <c r="K451" i="1" s="1"/>
  <c r="V425" i="1"/>
  <c r="W425" i="1" s="1"/>
  <c r="N425" i="1"/>
  <c r="O425" i="1" s="1"/>
  <c r="L425" i="1"/>
  <c r="M425" i="1" s="1"/>
  <c r="P425" i="1"/>
  <c r="Q425" i="1" s="1"/>
  <c r="T425" i="1"/>
  <c r="U425" i="1" s="1"/>
  <c r="R425" i="1"/>
  <c r="S425" i="1" s="1"/>
  <c r="P408" i="1"/>
  <c r="Q408" i="1" s="1"/>
  <c r="N408" i="1"/>
  <c r="O408" i="1" s="1"/>
  <c r="L408" i="1"/>
  <c r="M408" i="1" s="1"/>
  <c r="V408" i="1"/>
  <c r="W408" i="1" s="1"/>
  <c r="T408" i="1"/>
  <c r="U408" i="1" s="1"/>
  <c r="R408" i="1"/>
  <c r="S408" i="1" s="1"/>
  <c r="V431" i="1"/>
  <c r="W431" i="1" s="1"/>
  <c r="N431" i="1"/>
  <c r="O431" i="1" s="1"/>
  <c r="L431" i="1"/>
  <c r="M431" i="1" s="1"/>
  <c r="P431" i="1"/>
  <c r="Q431" i="1" s="1"/>
  <c r="R431" i="1"/>
  <c r="S431" i="1" s="1"/>
  <c r="T431" i="1"/>
  <c r="U431" i="1" s="1"/>
  <c r="L421" i="1"/>
  <c r="M421" i="1" s="1"/>
  <c r="N421" i="1"/>
  <c r="O421" i="1" s="1"/>
  <c r="P421" i="1"/>
  <c r="Q421" i="1" s="1"/>
  <c r="R421" i="1"/>
  <c r="S421" i="1" s="1"/>
  <c r="T421" i="1"/>
  <c r="U421" i="1" s="1"/>
  <c r="V421" i="1"/>
  <c r="W421" i="1" s="1"/>
  <c r="T424" i="1"/>
  <c r="U424" i="1" s="1"/>
  <c r="V424" i="1"/>
  <c r="W424" i="1" s="1"/>
  <c r="L424" i="1"/>
  <c r="M424" i="1" s="1"/>
  <c r="N424" i="1"/>
  <c r="O424" i="1" s="1"/>
  <c r="R424" i="1"/>
  <c r="S424" i="1" s="1"/>
  <c r="P424" i="1"/>
  <c r="Q424" i="1" s="1"/>
  <c r="N272" i="1"/>
  <c r="O272" i="1" s="1"/>
  <c r="P272" i="1"/>
  <c r="Q272" i="1" s="1"/>
  <c r="R272" i="1"/>
  <c r="S272" i="1" s="1"/>
  <c r="T272" i="1"/>
  <c r="U272" i="1" s="1"/>
  <c r="V272" i="1"/>
  <c r="W272" i="1" s="1"/>
  <c r="H272" i="1"/>
  <c r="I272" i="1" s="1"/>
  <c r="J272" i="1"/>
  <c r="K272" i="1" s="1"/>
  <c r="L272" i="1"/>
  <c r="M272" i="1" s="1"/>
  <c r="N279" i="1"/>
  <c r="O279" i="1" s="1"/>
  <c r="J279" i="1"/>
  <c r="K279" i="1" s="1"/>
  <c r="H279" i="1"/>
  <c r="I279" i="1" s="1"/>
  <c r="V279" i="1"/>
  <c r="W279" i="1" s="1"/>
  <c r="T279" i="1"/>
  <c r="U279" i="1" s="1"/>
  <c r="R279" i="1"/>
  <c r="S279" i="1" s="1"/>
  <c r="P279" i="1"/>
  <c r="Q279" i="1" s="1"/>
  <c r="L279" i="1"/>
  <c r="M279" i="1" s="1"/>
  <c r="R289" i="1"/>
  <c r="S289" i="1" s="1"/>
  <c r="T289" i="1"/>
  <c r="U289" i="1" s="1"/>
  <c r="H289" i="1"/>
  <c r="I289" i="1" s="1"/>
  <c r="V289" i="1"/>
  <c r="W289" i="1" s="1"/>
  <c r="J289" i="1"/>
  <c r="K289" i="1" s="1"/>
  <c r="L289" i="1"/>
  <c r="M289" i="1" s="1"/>
  <c r="P289" i="1"/>
  <c r="Q289" i="1" s="1"/>
  <c r="N289" i="1"/>
  <c r="O289" i="1" s="1"/>
  <c r="P288" i="1"/>
  <c r="Q288" i="1" s="1"/>
  <c r="R288" i="1"/>
  <c r="S288" i="1" s="1"/>
  <c r="T288" i="1"/>
  <c r="U288" i="1" s="1"/>
  <c r="H288" i="1"/>
  <c r="I288" i="1" s="1"/>
  <c r="V288" i="1"/>
  <c r="W288" i="1" s="1"/>
  <c r="J288" i="1"/>
  <c r="K288" i="1" s="1"/>
  <c r="L288" i="1"/>
  <c r="M288" i="1" s="1"/>
  <c r="N288" i="1"/>
  <c r="O288" i="1" s="1"/>
  <c r="T281" i="1"/>
  <c r="U281" i="1" s="1"/>
  <c r="R281" i="1"/>
  <c r="S281" i="1" s="1"/>
  <c r="P281" i="1"/>
  <c r="Q281" i="1" s="1"/>
  <c r="N281" i="1"/>
  <c r="O281" i="1" s="1"/>
  <c r="L281" i="1"/>
  <c r="M281" i="1" s="1"/>
  <c r="J281" i="1"/>
  <c r="K281" i="1" s="1"/>
  <c r="H281" i="1"/>
  <c r="I281" i="1" s="1"/>
  <c r="V281" i="1"/>
  <c r="W281" i="1" s="1"/>
  <c r="G205" i="1"/>
  <c r="G289" i="1"/>
  <c r="G637" i="1"/>
  <c r="O223" i="1" l="1"/>
  <c r="R712" i="1" l="1"/>
  <c r="S712" i="1" s="1"/>
  <c r="L712" i="1"/>
  <c r="M712" i="1" s="1"/>
  <c r="V712" i="1"/>
  <c r="W712" i="1" s="1"/>
  <c r="P712" i="1"/>
  <c r="Q712" i="1" s="1"/>
  <c r="T712" i="1"/>
  <c r="U712" i="1" s="1"/>
  <c r="J712" i="1"/>
  <c r="K712" i="1" s="1"/>
  <c r="N712" i="1"/>
  <c r="O712" i="1" s="1"/>
  <c r="H712" i="1"/>
  <c r="I712" i="1" s="1"/>
  <c r="F576" i="1"/>
  <c r="F575" i="1"/>
  <c r="F574" i="1"/>
  <c r="F562" i="1"/>
  <c r="F561" i="1"/>
  <c r="T562" i="1" l="1"/>
  <c r="U562" i="1" s="1"/>
  <c r="L562" i="1"/>
  <c r="M562" i="1" s="1"/>
  <c r="R562" i="1"/>
  <c r="S562" i="1" s="1"/>
  <c r="J562" i="1"/>
  <c r="K562" i="1" s="1"/>
  <c r="P562" i="1"/>
  <c r="Q562" i="1" s="1"/>
  <c r="N562" i="1"/>
  <c r="O562" i="1" s="1"/>
  <c r="H562" i="1"/>
  <c r="I562" i="1" s="1"/>
  <c r="V562" i="1"/>
  <c r="W562" i="1" s="1"/>
  <c r="H622" i="1"/>
  <c r="I622" i="1" s="1"/>
  <c r="L622" i="1"/>
  <c r="M622" i="1" s="1"/>
  <c r="P622" i="1"/>
  <c r="Q622" i="1" s="1"/>
  <c r="T622" i="1"/>
  <c r="U622" i="1" s="1"/>
  <c r="N622" i="1"/>
  <c r="O622" i="1" s="1"/>
  <c r="V622" i="1"/>
  <c r="W622" i="1" s="1"/>
  <c r="R622" i="1"/>
  <c r="S622" i="1" s="1"/>
  <c r="K622" i="1"/>
  <c r="T574" i="1"/>
  <c r="U574" i="1" s="1"/>
  <c r="L574" i="1"/>
  <c r="M574" i="1" s="1"/>
  <c r="R574" i="1"/>
  <c r="S574" i="1" s="1"/>
  <c r="J574" i="1"/>
  <c r="K574" i="1" s="1"/>
  <c r="P574" i="1"/>
  <c r="Q574" i="1" s="1"/>
  <c r="N574" i="1"/>
  <c r="O574" i="1" s="1"/>
  <c r="H574" i="1"/>
  <c r="I574" i="1" s="1"/>
  <c r="V574" i="1"/>
  <c r="W574" i="1" s="1"/>
  <c r="H621" i="1"/>
  <c r="I621" i="1" s="1"/>
  <c r="L621" i="1"/>
  <c r="M621" i="1" s="1"/>
  <c r="P621" i="1"/>
  <c r="Q621" i="1" s="1"/>
  <c r="T621" i="1"/>
  <c r="U621" i="1" s="1"/>
  <c r="N621" i="1"/>
  <c r="O621" i="1" s="1"/>
  <c r="V621" i="1"/>
  <c r="W621" i="1" s="1"/>
  <c r="R621" i="1"/>
  <c r="S621" i="1" s="1"/>
  <c r="K621" i="1"/>
  <c r="T575" i="1"/>
  <c r="U575" i="1" s="1"/>
  <c r="L575" i="1"/>
  <c r="M575" i="1" s="1"/>
  <c r="R575" i="1"/>
  <c r="S575" i="1" s="1"/>
  <c r="J575" i="1"/>
  <c r="K575" i="1" s="1"/>
  <c r="H575" i="1"/>
  <c r="I575" i="1" s="1"/>
  <c r="V575" i="1"/>
  <c r="W575" i="1" s="1"/>
  <c r="P575" i="1"/>
  <c r="Q575" i="1" s="1"/>
  <c r="N575" i="1"/>
  <c r="O575" i="1" s="1"/>
  <c r="T561" i="1"/>
  <c r="U561" i="1" s="1"/>
  <c r="L561" i="1"/>
  <c r="M561" i="1" s="1"/>
  <c r="R561" i="1"/>
  <c r="S561" i="1" s="1"/>
  <c r="J561" i="1"/>
  <c r="K561" i="1" s="1"/>
  <c r="H561" i="1"/>
  <c r="I561" i="1" s="1"/>
  <c r="V561" i="1"/>
  <c r="W561" i="1" s="1"/>
  <c r="P561" i="1"/>
  <c r="Q561" i="1" s="1"/>
  <c r="N561" i="1"/>
  <c r="O561" i="1" s="1"/>
  <c r="V576" i="1"/>
  <c r="W576" i="1" s="1"/>
  <c r="P576" i="1"/>
  <c r="Q576" i="1" s="1"/>
  <c r="T576" i="1"/>
  <c r="U576" i="1" s="1"/>
  <c r="J576" i="1"/>
  <c r="K576" i="1" s="1"/>
  <c r="N576" i="1"/>
  <c r="O576" i="1" s="1"/>
  <c r="L576" i="1"/>
  <c r="M576" i="1" s="1"/>
  <c r="R576" i="1"/>
  <c r="S576" i="1" s="1"/>
  <c r="H576" i="1"/>
  <c r="I576" i="1" s="1"/>
  <c r="G621" i="1"/>
  <c r="G260" i="1" l="1"/>
  <c r="G255" i="1"/>
  <c r="G436" i="1"/>
  <c r="W246" i="1" l="1"/>
  <c r="U246" i="1"/>
  <c r="S246" i="1"/>
  <c r="Q246" i="1"/>
  <c r="O246" i="1"/>
  <c r="M246" i="1"/>
  <c r="K246" i="1"/>
  <c r="I246" i="1"/>
  <c r="W203" i="1" l="1"/>
  <c r="U203" i="1"/>
  <c r="S203" i="1"/>
  <c r="Q203" i="1"/>
  <c r="O203" i="1"/>
  <c r="M203" i="1"/>
  <c r="K392" i="1" l="1"/>
  <c r="G392" i="1"/>
  <c r="W474" i="1"/>
  <c r="U474" i="1"/>
  <c r="S474" i="1"/>
  <c r="Q474" i="1"/>
  <c r="O474" i="1"/>
  <c r="M474" i="1"/>
  <c r="K474" i="1"/>
  <c r="G474" i="1"/>
  <c r="G475" i="1"/>
  <c r="G473" i="1"/>
  <c r="G456" i="1" l="1"/>
  <c r="G390" i="1" l="1"/>
  <c r="G387" i="1"/>
  <c r="G343" i="1"/>
  <c r="W510" i="1" l="1"/>
  <c r="U510" i="1"/>
  <c r="S510" i="1"/>
  <c r="Q510" i="1"/>
  <c r="O510" i="1"/>
  <c r="V380" i="1" l="1"/>
  <c r="W380" i="1" s="1"/>
  <c r="T380" i="1"/>
  <c r="U380" i="1" s="1"/>
  <c r="R380" i="1"/>
  <c r="S380" i="1" s="1"/>
  <c r="P380" i="1"/>
  <c r="Q380" i="1" s="1"/>
  <c r="N380" i="1"/>
  <c r="O380" i="1" s="1"/>
  <c r="L380" i="1"/>
  <c r="M380" i="1" s="1"/>
  <c r="K138" i="1"/>
  <c r="G380" i="1"/>
  <c r="G274" i="1"/>
  <c r="G138" i="1"/>
  <c r="G515" i="1"/>
  <c r="G386" i="1" l="1"/>
  <c r="G212" i="1"/>
  <c r="G321" i="1" l="1"/>
  <c r="U131" i="1" l="1"/>
  <c r="S131" i="1"/>
  <c r="Q131" i="1"/>
  <c r="O131" i="1"/>
  <c r="M131" i="1"/>
  <c r="W126" i="1"/>
  <c r="U126" i="1"/>
  <c r="S126" i="1"/>
  <c r="Q126" i="1"/>
  <c r="O126" i="1"/>
  <c r="M126" i="1"/>
  <c r="R322" i="1" l="1"/>
  <c r="S322" i="1" s="1"/>
  <c r="N322" i="1"/>
  <c r="O322" i="1" s="1"/>
  <c r="L322" i="1"/>
  <c r="M322" i="1" s="1"/>
  <c r="J322" i="1"/>
  <c r="K322" i="1" s="1"/>
  <c r="H322" i="1"/>
  <c r="I322" i="1" s="1"/>
  <c r="V322" i="1"/>
  <c r="W322" i="1" s="1"/>
  <c r="T322" i="1"/>
  <c r="U322" i="1" s="1"/>
  <c r="P322" i="1"/>
  <c r="Q322" i="1" s="1"/>
  <c r="G322" i="1"/>
  <c r="G270" i="1"/>
  <c r="U28" i="1" l="1"/>
  <c r="S28" i="1"/>
  <c r="Q28" i="1"/>
  <c r="O28" i="1"/>
  <c r="M28" i="1"/>
  <c r="G281" i="1" l="1"/>
  <c r="G277" i="1"/>
  <c r="F616" i="1" l="1"/>
  <c r="J616" i="1" s="1"/>
  <c r="K616" i="1" l="1"/>
  <c r="T616" i="1"/>
  <c r="U616" i="1" s="1"/>
  <c r="P616" i="1"/>
  <c r="Q616" i="1" s="1"/>
  <c r="V616" i="1"/>
  <c r="W616" i="1" s="1"/>
  <c r="R616" i="1"/>
  <c r="S616" i="1" s="1"/>
  <c r="H616" i="1"/>
  <c r="I616" i="1" s="1"/>
  <c r="L616" i="1"/>
  <c r="M616" i="1" s="1"/>
  <c r="N616" i="1"/>
  <c r="O616" i="1" s="1"/>
  <c r="W124" i="1"/>
  <c r="U124" i="1"/>
  <c r="S124" i="1"/>
  <c r="Q124" i="1"/>
  <c r="O124" i="1"/>
  <c r="M124" i="1"/>
  <c r="W129" i="1"/>
  <c r="U129" i="1"/>
  <c r="S129" i="1"/>
  <c r="Q129" i="1"/>
  <c r="O129" i="1"/>
  <c r="M129" i="1"/>
  <c r="S127" i="1"/>
  <c r="P63" i="1" l="1"/>
  <c r="Q63" i="1" s="1"/>
  <c r="N63" i="1"/>
  <c r="O63" i="1" s="1"/>
  <c r="L63" i="1"/>
  <c r="M63" i="1" s="1"/>
  <c r="J63" i="1"/>
  <c r="K63" i="1" s="1"/>
  <c r="R63" i="1"/>
  <c r="S63" i="1" s="1"/>
  <c r="V63" i="1"/>
  <c r="W63" i="1" s="1"/>
  <c r="T63" i="1"/>
  <c r="U63" i="1" s="1"/>
  <c r="G63" i="1"/>
  <c r="G64" i="1" l="1"/>
  <c r="K64" i="1"/>
  <c r="M64" i="1"/>
  <c r="O64" i="1"/>
  <c r="Q64" i="1"/>
  <c r="S64" i="1"/>
  <c r="U64" i="1"/>
  <c r="W64" i="1"/>
  <c r="W134" i="1" l="1"/>
  <c r="U134" i="1"/>
  <c r="S134" i="1"/>
  <c r="Q134" i="1"/>
  <c r="O134" i="1"/>
  <c r="M134" i="1"/>
  <c r="G134" i="1"/>
  <c r="G513" i="1" l="1"/>
  <c r="G311" i="1"/>
  <c r="G61" i="1" l="1"/>
  <c r="G620" i="1" l="1"/>
  <c r="G567" i="1" l="1"/>
  <c r="G566" i="1"/>
  <c r="G449" i="1" l="1"/>
  <c r="I739" i="1" l="1"/>
  <c r="I740" i="1"/>
  <c r="K740" i="1" l="1"/>
  <c r="G740" i="1"/>
  <c r="G596" i="1" l="1"/>
  <c r="F685" i="1" l="1"/>
  <c r="P685" i="1" l="1"/>
  <c r="Q685" i="1" s="1"/>
  <c r="H685" i="1"/>
  <c r="T685" i="1"/>
  <c r="U685" i="1" s="1"/>
  <c r="R685" i="1"/>
  <c r="S685" i="1" s="1"/>
  <c r="J685" i="1"/>
  <c r="V685" i="1"/>
  <c r="W685" i="1" s="1"/>
  <c r="N685" i="1"/>
  <c r="O685" i="1" s="1"/>
  <c r="L685" i="1"/>
  <c r="M685" i="1" s="1"/>
  <c r="K685" i="1"/>
  <c r="G685" i="1" l="1"/>
  <c r="I685" i="1"/>
  <c r="U547" i="1" l="1"/>
  <c r="W546" i="1"/>
  <c r="O546" i="1" l="1"/>
  <c r="I546" i="1"/>
  <c r="K546" i="1"/>
  <c r="M546" i="1"/>
  <c r="Q546" i="1"/>
  <c r="S546" i="1"/>
  <c r="U546" i="1"/>
  <c r="W547" i="1"/>
  <c r="M547" i="1"/>
  <c r="O547" i="1"/>
  <c r="K547" i="1"/>
  <c r="Q547" i="1"/>
  <c r="S547" i="1"/>
  <c r="G547" i="1"/>
  <c r="I547" i="1"/>
  <c r="G546" i="1"/>
  <c r="G608" i="1" l="1"/>
  <c r="G636" i="1" l="1"/>
  <c r="G635" i="1"/>
  <c r="F644" i="1" l="1"/>
  <c r="J644" i="1" s="1"/>
  <c r="H644" i="1" l="1"/>
  <c r="I644" i="1" s="1"/>
  <c r="N644" i="1"/>
  <c r="O644" i="1" s="1"/>
  <c r="R644" i="1"/>
  <c r="S644" i="1" s="1"/>
  <c r="L644" i="1"/>
  <c r="M644" i="1" s="1"/>
  <c r="T644" i="1"/>
  <c r="U644" i="1" s="1"/>
  <c r="P644" i="1"/>
  <c r="Q644" i="1" s="1"/>
  <c r="K644" i="1"/>
  <c r="V644" i="1"/>
  <c r="W644" i="1" s="1"/>
  <c r="G644" i="1"/>
  <c r="G634" i="1"/>
  <c r="G694" i="1" l="1"/>
  <c r="G712" i="1"/>
  <c r="W710" i="1" l="1"/>
  <c r="S710" i="1"/>
  <c r="O710" i="1"/>
  <c r="K710" i="1"/>
  <c r="G710" i="1"/>
  <c r="M710" i="1" l="1"/>
  <c r="Q710" i="1"/>
  <c r="U710" i="1"/>
  <c r="G690" i="1" l="1"/>
  <c r="G688" i="1"/>
  <c r="F564" i="1"/>
  <c r="T564" i="1" l="1"/>
  <c r="U564" i="1" s="1"/>
  <c r="L564" i="1"/>
  <c r="M564" i="1" s="1"/>
  <c r="R564" i="1"/>
  <c r="S564" i="1" s="1"/>
  <c r="J564" i="1"/>
  <c r="K564" i="1" s="1"/>
  <c r="H564" i="1"/>
  <c r="I564" i="1" s="1"/>
  <c r="V564" i="1"/>
  <c r="W564" i="1" s="1"/>
  <c r="P564" i="1"/>
  <c r="Q564" i="1" s="1"/>
  <c r="N564" i="1"/>
  <c r="O564" i="1" s="1"/>
  <c r="F259" i="1"/>
  <c r="N211" i="1" l="1"/>
  <c r="O211" i="1" s="1"/>
  <c r="L211" i="1"/>
  <c r="M211" i="1" s="1"/>
  <c r="J211" i="1"/>
  <c r="K211" i="1" s="1"/>
  <c r="V259" i="1"/>
  <c r="W259" i="1" s="1"/>
  <c r="H259" i="1"/>
  <c r="I259" i="1" s="1"/>
  <c r="J259" i="1"/>
  <c r="K259" i="1" s="1"/>
  <c r="L259" i="1"/>
  <c r="M259" i="1" s="1"/>
  <c r="N259" i="1"/>
  <c r="O259" i="1" s="1"/>
  <c r="P259" i="1"/>
  <c r="Q259" i="1" s="1"/>
  <c r="R259" i="1"/>
  <c r="S259" i="1" s="1"/>
  <c r="T259" i="1"/>
  <c r="U259" i="1" s="1"/>
  <c r="V389" i="1"/>
  <c r="W389" i="1" s="1"/>
  <c r="T389" i="1"/>
  <c r="U389" i="1" s="1"/>
  <c r="R389" i="1"/>
  <c r="S389" i="1" s="1"/>
  <c r="P389" i="1"/>
  <c r="Q389" i="1" s="1"/>
  <c r="N389" i="1"/>
  <c r="O389" i="1" s="1"/>
  <c r="L389" i="1"/>
  <c r="M389" i="1" s="1"/>
  <c r="G14" i="1"/>
  <c r="U14" i="1" l="1"/>
  <c r="S14" i="1"/>
  <c r="Q14" i="1"/>
  <c r="O14" i="1"/>
  <c r="M14" i="1"/>
  <c r="K14" i="1"/>
  <c r="I14" i="1"/>
  <c r="G30" i="1" l="1"/>
  <c r="F617" i="1"/>
  <c r="J617" i="1" s="1"/>
  <c r="F570" i="1"/>
  <c r="F553" i="1"/>
  <c r="F552" i="1"/>
  <c r="T553" i="1" l="1"/>
  <c r="U553" i="1" s="1"/>
  <c r="L553" i="1"/>
  <c r="M553" i="1" s="1"/>
  <c r="R553" i="1"/>
  <c r="S553" i="1" s="1"/>
  <c r="J553" i="1"/>
  <c r="K553" i="1" s="1"/>
  <c r="P553" i="1"/>
  <c r="Q553" i="1" s="1"/>
  <c r="N553" i="1"/>
  <c r="O553" i="1" s="1"/>
  <c r="H553" i="1"/>
  <c r="I553" i="1" s="1"/>
  <c r="V553" i="1"/>
  <c r="W553" i="1" s="1"/>
  <c r="T570" i="1"/>
  <c r="U570" i="1" s="1"/>
  <c r="L570" i="1"/>
  <c r="M570" i="1" s="1"/>
  <c r="R570" i="1"/>
  <c r="S570" i="1" s="1"/>
  <c r="J570" i="1"/>
  <c r="K570" i="1" s="1"/>
  <c r="H570" i="1"/>
  <c r="I570" i="1" s="1"/>
  <c r="V570" i="1"/>
  <c r="W570" i="1" s="1"/>
  <c r="P570" i="1"/>
  <c r="Q570" i="1" s="1"/>
  <c r="N570" i="1"/>
  <c r="O570" i="1" s="1"/>
  <c r="K617" i="1"/>
  <c r="P617" i="1"/>
  <c r="Q617" i="1" s="1"/>
  <c r="T617" i="1"/>
  <c r="U617" i="1" s="1"/>
  <c r="L617" i="1"/>
  <c r="M617" i="1" s="1"/>
  <c r="N617" i="1"/>
  <c r="O617" i="1" s="1"/>
  <c r="V617" i="1"/>
  <c r="W617" i="1" s="1"/>
  <c r="H617" i="1"/>
  <c r="I617" i="1" s="1"/>
  <c r="R617" i="1"/>
  <c r="S617" i="1" s="1"/>
  <c r="V552" i="1"/>
  <c r="W552" i="1" s="1"/>
  <c r="P552" i="1"/>
  <c r="Q552" i="1" s="1"/>
  <c r="T552" i="1"/>
  <c r="U552" i="1" s="1"/>
  <c r="J552" i="1"/>
  <c r="K552" i="1" s="1"/>
  <c r="N552" i="1"/>
  <c r="O552" i="1" s="1"/>
  <c r="L552" i="1"/>
  <c r="M552" i="1" s="1"/>
  <c r="R552" i="1"/>
  <c r="S552" i="1" s="1"/>
  <c r="H552" i="1"/>
  <c r="I552" i="1" s="1"/>
  <c r="G548" i="1"/>
  <c r="F503" i="1"/>
  <c r="F437" i="1"/>
  <c r="V503" i="1" l="1"/>
  <c r="W503" i="1" s="1"/>
  <c r="N503" i="1"/>
  <c r="O503" i="1" s="1"/>
  <c r="T503" i="1"/>
  <c r="U503" i="1" s="1"/>
  <c r="L503" i="1"/>
  <c r="M503" i="1" s="1"/>
  <c r="R503" i="1"/>
  <c r="S503" i="1" s="1"/>
  <c r="J503" i="1"/>
  <c r="K503" i="1" s="1"/>
  <c r="P503" i="1"/>
  <c r="Q503" i="1" s="1"/>
  <c r="N437" i="1"/>
  <c r="O437" i="1" s="1"/>
  <c r="T437" i="1"/>
  <c r="U437" i="1" s="1"/>
  <c r="H437" i="1"/>
  <c r="I437" i="1" s="1"/>
  <c r="R437" i="1"/>
  <c r="S437" i="1" s="1"/>
  <c r="L437" i="1"/>
  <c r="M437" i="1" s="1"/>
  <c r="V437" i="1"/>
  <c r="W437" i="1" s="1"/>
  <c r="J437" i="1"/>
  <c r="K437" i="1" s="1"/>
  <c r="P437" i="1"/>
  <c r="Q437" i="1" s="1"/>
  <c r="F287" i="1"/>
  <c r="H287" i="1" s="1"/>
  <c r="I287" i="1" s="1"/>
  <c r="F285" i="1"/>
  <c r="F283" i="1"/>
  <c r="F234" i="1"/>
  <c r="F233" i="1"/>
  <c r="F96" i="1"/>
  <c r="T417" i="1" l="1"/>
  <c r="U417" i="1" s="1"/>
  <c r="R417" i="1"/>
  <c r="S417" i="1" s="1"/>
  <c r="P417" i="1"/>
  <c r="Q417" i="1" s="1"/>
  <c r="N417" i="1"/>
  <c r="O417" i="1" s="1"/>
  <c r="L417" i="1"/>
  <c r="M417" i="1" s="1"/>
  <c r="V417" i="1"/>
  <c r="W417" i="1" s="1"/>
  <c r="N357" i="1"/>
  <c r="O357" i="1" s="1"/>
  <c r="L357" i="1"/>
  <c r="M357" i="1" s="1"/>
  <c r="N285" i="1"/>
  <c r="O285" i="1" s="1"/>
  <c r="P285" i="1"/>
  <c r="Q285" i="1" s="1"/>
  <c r="R285" i="1"/>
  <c r="S285" i="1" s="1"/>
  <c r="T285" i="1"/>
  <c r="U285" i="1" s="1"/>
  <c r="H285" i="1"/>
  <c r="I285" i="1" s="1"/>
  <c r="V285" i="1"/>
  <c r="W285" i="1" s="1"/>
  <c r="L285" i="1"/>
  <c r="M285" i="1" s="1"/>
  <c r="J285" i="1"/>
  <c r="K285" i="1" s="1"/>
  <c r="P359" i="1"/>
  <c r="Q359" i="1" s="1"/>
  <c r="L359" i="1"/>
  <c r="M359" i="1" s="1"/>
  <c r="V359" i="1"/>
  <c r="W359" i="1" s="1"/>
  <c r="T359" i="1"/>
  <c r="U359" i="1" s="1"/>
  <c r="R359" i="1"/>
  <c r="S359" i="1" s="1"/>
  <c r="N359" i="1"/>
  <c r="O359" i="1" s="1"/>
  <c r="V362" i="1"/>
  <c r="W362" i="1" s="1"/>
  <c r="R362" i="1"/>
  <c r="S362" i="1" s="1"/>
  <c r="P362" i="1"/>
  <c r="Q362" i="1" s="1"/>
  <c r="N362" i="1"/>
  <c r="O362" i="1" s="1"/>
  <c r="L362" i="1"/>
  <c r="M362" i="1" s="1"/>
  <c r="T362" i="1"/>
  <c r="U362" i="1" s="1"/>
  <c r="P363" i="1"/>
  <c r="Q363" i="1" s="1"/>
  <c r="N363" i="1"/>
  <c r="O363" i="1" s="1"/>
  <c r="L363" i="1"/>
  <c r="M363" i="1" s="1"/>
  <c r="V383" i="1"/>
  <c r="W383" i="1" s="1"/>
  <c r="T383" i="1"/>
  <c r="U383" i="1" s="1"/>
  <c r="R383" i="1"/>
  <c r="S383" i="1" s="1"/>
  <c r="P383" i="1"/>
  <c r="Q383" i="1" s="1"/>
  <c r="N383" i="1"/>
  <c r="O383" i="1" s="1"/>
  <c r="L383" i="1"/>
  <c r="M383" i="1" s="1"/>
  <c r="V233" i="1"/>
  <c r="W233" i="1" s="1"/>
  <c r="T233" i="1"/>
  <c r="U233" i="1" s="1"/>
  <c r="R233" i="1"/>
  <c r="S233" i="1" s="1"/>
  <c r="P233" i="1"/>
  <c r="Q233" i="1" s="1"/>
  <c r="L233" i="1"/>
  <c r="M233" i="1" s="1"/>
  <c r="N233" i="1"/>
  <c r="O233" i="1" s="1"/>
  <c r="J233" i="1"/>
  <c r="K233" i="1" s="1"/>
  <c r="P244" i="1"/>
  <c r="Q244" i="1" s="1"/>
  <c r="N244" i="1"/>
  <c r="O244" i="1" s="1"/>
  <c r="L244" i="1"/>
  <c r="M244" i="1" s="1"/>
  <c r="J244" i="1"/>
  <c r="K244" i="1" s="1"/>
  <c r="V244" i="1"/>
  <c r="W244" i="1" s="1"/>
  <c r="T244" i="1"/>
  <c r="U244" i="1" s="1"/>
  <c r="R244" i="1"/>
  <c r="S244" i="1" s="1"/>
  <c r="P96" i="1"/>
  <c r="Q96" i="1" s="1"/>
  <c r="N96" i="1"/>
  <c r="O96" i="1" s="1"/>
  <c r="T96" i="1"/>
  <c r="U96" i="1" s="1"/>
  <c r="L96" i="1"/>
  <c r="M96" i="1" s="1"/>
  <c r="J96" i="1"/>
  <c r="K96" i="1" s="1"/>
  <c r="R96" i="1"/>
  <c r="S96" i="1" s="1"/>
  <c r="V96" i="1"/>
  <c r="W96" i="1" s="1"/>
  <c r="V155" i="1"/>
  <c r="W155" i="1" s="1"/>
  <c r="T155" i="1"/>
  <c r="U155" i="1" s="1"/>
  <c r="R155" i="1"/>
  <c r="S155" i="1" s="1"/>
  <c r="P155" i="1"/>
  <c r="Q155" i="1" s="1"/>
  <c r="N155" i="1"/>
  <c r="O155" i="1" s="1"/>
  <c r="H155" i="1"/>
  <c r="I155" i="1" s="1"/>
  <c r="L155" i="1"/>
  <c r="M155" i="1" s="1"/>
  <c r="J155" i="1"/>
  <c r="K155" i="1" s="1"/>
  <c r="L234" i="1"/>
  <c r="M234" i="1" s="1"/>
  <c r="J234" i="1"/>
  <c r="K234" i="1" s="1"/>
  <c r="V234" i="1"/>
  <c r="W234" i="1" s="1"/>
  <c r="T234" i="1"/>
  <c r="U234" i="1" s="1"/>
  <c r="R234" i="1"/>
  <c r="S234" i="1" s="1"/>
  <c r="P234" i="1"/>
  <c r="Q234" i="1" s="1"/>
  <c r="N234" i="1"/>
  <c r="O234" i="1" s="1"/>
  <c r="P283" i="1"/>
  <c r="Q283" i="1" s="1"/>
  <c r="T283" i="1"/>
  <c r="U283" i="1" s="1"/>
  <c r="H283" i="1"/>
  <c r="I283" i="1" s="1"/>
  <c r="V283" i="1"/>
  <c r="W283" i="1" s="1"/>
  <c r="J283" i="1"/>
  <c r="K283" i="1" s="1"/>
  <c r="L283" i="1"/>
  <c r="M283" i="1" s="1"/>
  <c r="N283" i="1"/>
  <c r="O283" i="1" s="1"/>
  <c r="R283" i="1"/>
  <c r="S283" i="1" s="1"/>
  <c r="I103" i="1"/>
  <c r="I101" i="1"/>
  <c r="I98" i="1"/>
  <c r="I99" i="1"/>
  <c r="G654" i="1" l="1"/>
  <c r="G377" i="1"/>
  <c r="G376" i="1" l="1"/>
  <c r="G446" i="1" l="1"/>
  <c r="G447" i="1"/>
  <c r="G251" i="1"/>
  <c r="J11" i="1" l="1"/>
  <c r="G11" i="1"/>
  <c r="I468" i="1" l="1"/>
  <c r="G256" i="1" l="1"/>
  <c r="G258" i="1" l="1"/>
  <c r="G375" i="1" l="1"/>
  <c r="G425" i="1"/>
  <c r="G541" i="1" l="1"/>
  <c r="U198" i="1" l="1"/>
  <c r="S198" i="1"/>
  <c r="Q198" i="1"/>
  <c r="O198" i="1"/>
  <c r="M198" i="1"/>
  <c r="J10" i="1"/>
  <c r="I70" i="1"/>
  <c r="G451" i="1" l="1"/>
  <c r="U468" i="1" l="1"/>
  <c r="S468" i="1"/>
  <c r="Q468" i="1"/>
  <c r="O468" i="1"/>
  <c r="M468" i="1"/>
  <c r="K468" i="1"/>
  <c r="G468" i="1"/>
  <c r="G550" i="1" l="1"/>
  <c r="G549" i="1"/>
  <c r="U150" i="1"/>
  <c r="W150" i="1"/>
  <c r="S150" i="1"/>
  <c r="Q150" i="1"/>
  <c r="O150" i="1"/>
  <c r="M150" i="1"/>
  <c r="K150" i="1"/>
  <c r="W149" i="1"/>
  <c r="U149" i="1"/>
  <c r="S149" i="1"/>
  <c r="Q149" i="1"/>
  <c r="O149" i="1"/>
  <c r="M149" i="1"/>
  <c r="K149" i="1"/>
  <c r="G428" i="1" l="1"/>
  <c r="G569" i="1" l="1"/>
  <c r="I530" i="1" l="1"/>
  <c r="I529" i="1"/>
  <c r="G523" i="1" l="1"/>
  <c r="Q523" i="1" l="1"/>
  <c r="O523" i="1"/>
  <c r="M523" i="1"/>
  <c r="W523" i="1"/>
  <c r="K523" i="1"/>
  <c r="U523" i="1"/>
  <c r="S523" i="1"/>
  <c r="I523" i="1"/>
  <c r="G441" i="1" l="1"/>
  <c r="F18" i="1" l="1"/>
  <c r="H18" i="1" s="1"/>
  <c r="F19" i="1"/>
  <c r="H19" i="1" s="1"/>
  <c r="I171" i="1" l="1"/>
  <c r="G619" i="1"/>
  <c r="G434" i="1" l="1"/>
  <c r="G551" i="1" l="1"/>
  <c r="G407" i="1" l="1"/>
  <c r="F578" i="1" l="1"/>
  <c r="T578" i="1" l="1"/>
  <c r="U578" i="1" s="1"/>
  <c r="L578" i="1"/>
  <c r="M578" i="1" s="1"/>
  <c r="R578" i="1"/>
  <c r="S578" i="1" s="1"/>
  <c r="J578" i="1"/>
  <c r="K578" i="1" s="1"/>
  <c r="H578" i="1"/>
  <c r="I578" i="1" s="1"/>
  <c r="V578" i="1"/>
  <c r="W578" i="1" s="1"/>
  <c r="P578" i="1"/>
  <c r="Q578" i="1" s="1"/>
  <c r="N578" i="1"/>
  <c r="O578" i="1" s="1"/>
  <c r="G578" i="1"/>
  <c r="G408" i="1" l="1"/>
  <c r="G405" i="1" l="1"/>
  <c r="G601" i="1" l="1"/>
  <c r="G643" i="1"/>
  <c r="G99" i="1"/>
  <c r="G489" i="1" l="1"/>
  <c r="G727" i="1"/>
  <c r="G406" i="1" l="1"/>
  <c r="S162" i="1" l="1"/>
  <c r="Q162" i="1"/>
  <c r="O162" i="1"/>
  <c r="M162" i="1"/>
  <c r="K162" i="1"/>
  <c r="W511" i="1"/>
  <c r="W507" i="1"/>
  <c r="W506" i="1"/>
  <c r="U511" i="1"/>
  <c r="U507" i="1"/>
  <c r="U506" i="1"/>
  <c r="S511" i="1"/>
  <c r="S507" i="1"/>
  <c r="S506" i="1"/>
  <c r="Q511" i="1"/>
  <c r="Q507" i="1"/>
  <c r="Q506" i="1"/>
  <c r="O511" i="1"/>
  <c r="O507" i="1"/>
  <c r="O506" i="1"/>
  <c r="G509" i="1"/>
  <c r="G510" i="1"/>
  <c r="G511" i="1"/>
  <c r="G508" i="1"/>
  <c r="G507" i="1"/>
  <c r="G506" i="1"/>
  <c r="G368" i="1" l="1"/>
  <c r="F540" i="1" l="1"/>
  <c r="T540" i="1" l="1"/>
  <c r="U540" i="1" s="1"/>
  <c r="L540" i="1"/>
  <c r="M540" i="1" s="1"/>
  <c r="R540" i="1"/>
  <c r="S540" i="1" s="1"/>
  <c r="J540" i="1"/>
  <c r="K540" i="1" s="1"/>
  <c r="H540" i="1"/>
  <c r="I540" i="1" s="1"/>
  <c r="P540" i="1"/>
  <c r="Q540" i="1" s="1"/>
  <c r="V540" i="1"/>
  <c r="W540" i="1" s="1"/>
  <c r="N540" i="1"/>
  <c r="O540" i="1" s="1"/>
  <c r="F579" i="1" l="1"/>
  <c r="T579" i="1" l="1"/>
  <c r="U579" i="1" s="1"/>
  <c r="L579" i="1"/>
  <c r="M579" i="1" s="1"/>
  <c r="R579" i="1"/>
  <c r="S579" i="1" s="1"/>
  <c r="J579" i="1"/>
  <c r="K579" i="1" s="1"/>
  <c r="H579" i="1"/>
  <c r="I579" i="1" s="1"/>
  <c r="V579" i="1"/>
  <c r="W579" i="1" s="1"/>
  <c r="P579" i="1"/>
  <c r="Q579" i="1" s="1"/>
  <c r="N579" i="1"/>
  <c r="O579" i="1" s="1"/>
  <c r="G300" i="1"/>
  <c r="G389" i="1" l="1"/>
  <c r="F192" i="1" l="1"/>
  <c r="F191" i="1"/>
  <c r="F190" i="1"/>
  <c r="F189" i="1"/>
  <c r="F188" i="1"/>
  <c r="F187" i="1"/>
  <c r="L378" i="1" l="1"/>
  <c r="M378" i="1" s="1"/>
  <c r="T378" i="1"/>
  <c r="U378" i="1" s="1"/>
  <c r="R378" i="1"/>
  <c r="S378" i="1" s="1"/>
  <c r="P378" i="1"/>
  <c r="Q378" i="1" s="1"/>
  <c r="N378" i="1"/>
  <c r="O378" i="1" s="1"/>
  <c r="N187" i="1"/>
  <c r="O187" i="1" s="1"/>
  <c r="L187" i="1"/>
  <c r="M187" i="1" s="1"/>
  <c r="J187" i="1"/>
  <c r="K187" i="1" s="1"/>
  <c r="H187" i="1"/>
  <c r="I187" i="1" s="1"/>
  <c r="P187" i="1"/>
  <c r="Q187" i="1" s="1"/>
  <c r="V187" i="1"/>
  <c r="W187" i="1" s="1"/>
  <c r="R187" i="1"/>
  <c r="S187" i="1" s="1"/>
  <c r="T187" i="1"/>
  <c r="U187" i="1" s="1"/>
  <c r="R189" i="1"/>
  <c r="S189" i="1" s="1"/>
  <c r="V189" i="1"/>
  <c r="W189" i="1" s="1"/>
  <c r="T189" i="1"/>
  <c r="U189" i="1" s="1"/>
  <c r="P189" i="1"/>
  <c r="Q189" i="1" s="1"/>
  <c r="L189" i="1"/>
  <c r="M189" i="1" s="1"/>
  <c r="J189" i="1"/>
  <c r="K189" i="1" s="1"/>
  <c r="N189" i="1"/>
  <c r="O189" i="1" s="1"/>
  <c r="H189" i="1"/>
  <c r="I189" i="1" s="1"/>
  <c r="P192" i="1"/>
  <c r="Q192" i="1" s="1"/>
  <c r="N192" i="1"/>
  <c r="O192" i="1" s="1"/>
  <c r="L192" i="1"/>
  <c r="M192" i="1" s="1"/>
  <c r="J192" i="1"/>
  <c r="K192" i="1" s="1"/>
  <c r="H192" i="1"/>
  <c r="I192" i="1" s="1"/>
  <c r="T192" i="1"/>
  <c r="U192" i="1" s="1"/>
  <c r="V192" i="1"/>
  <c r="W192" i="1" s="1"/>
  <c r="R192" i="1"/>
  <c r="S192" i="1" s="1"/>
  <c r="H188" i="1"/>
  <c r="I188" i="1" s="1"/>
  <c r="V188" i="1"/>
  <c r="W188" i="1" s="1"/>
  <c r="J188" i="1"/>
  <c r="K188" i="1" s="1"/>
  <c r="T188" i="1"/>
  <c r="U188" i="1" s="1"/>
  <c r="R188" i="1"/>
  <c r="S188" i="1" s="1"/>
  <c r="P188" i="1"/>
  <c r="Q188" i="1" s="1"/>
  <c r="N188" i="1"/>
  <c r="O188" i="1" s="1"/>
  <c r="L188" i="1"/>
  <c r="M188" i="1" s="1"/>
  <c r="T190" i="1"/>
  <c r="U190" i="1" s="1"/>
  <c r="R190" i="1"/>
  <c r="S190" i="1" s="1"/>
  <c r="P190" i="1"/>
  <c r="Q190" i="1" s="1"/>
  <c r="N190" i="1"/>
  <c r="O190" i="1" s="1"/>
  <c r="L190" i="1"/>
  <c r="M190" i="1" s="1"/>
  <c r="J190" i="1"/>
  <c r="K190" i="1" s="1"/>
  <c r="P191" i="1"/>
  <c r="Q191" i="1" s="1"/>
  <c r="N191" i="1"/>
  <c r="O191" i="1" s="1"/>
  <c r="L191" i="1"/>
  <c r="M191" i="1" s="1"/>
  <c r="H191" i="1"/>
  <c r="I191" i="1" s="1"/>
  <c r="J191" i="1"/>
  <c r="K191" i="1" s="1"/>
  <c r="R191" i="1"/>
  <c r="S191" i="1" s="1"/>
  <c r="V191" i="1"/>
  <c r="W191" i="1" s="1"/>
  <c r="T191" i="1"/>
  <c r="U191" i="1" s="1"/>
  <c r="K139" i="1" l="1"/>
  <c r="G424" i="1"/>
  <c r="O756" i="1" l="1"/>
  <c r="G339" i="1" l="1"/>
  <c r="G744" i="1" l="1"/>
  <c r="G575" i="1" l="1"/>
  <c r="G574" i="1" l="1"/>
  <c r="G563" i="1" l="1"/>
  <c r="G553" i="1"/>
  <c r="G552" i="1" l="1"/>
  <c r="G283" i="1" l="1"/>
  <c r="G280" i="1"/>
  <c r="G264" i="1" l="1"/>
  <c r="G259" i="1"/>
  <c r="G652" i="1" l="1"/>
  <c r="G653" i="1"/>
  <c r="G539" i="1" l="1"/>
  <c r="G214" i="1" l="1"/>
  <c r="G213" i="1" l="1"/>
  <c r="G614" i="1" l="1"/>
  <c r="G613" i="1"/>
  <c r="G388" i="1" l="1"/>
  <c r="G263" i="1" l="1"/>
  <c r="G191" i="1" l="1"/>
  <c r="G192" i="1"/>
  <c r="G188" i="1" l="1"/>
  <c r="G190" i="1"/>
  <c r="G189" i="1"/>
  <c r="G187" i="1"/>
  <c r="G184" i="1"/>
  <c r="G181" i="1"/>
  <c r="G325" i="1" l="1"/>
  <c r="W660" i="1" l="1"/>
  <c r="U660" i="1"/>
  <c r="S660" i="1"/>
  <c r="Q660" i="1"/>
  <c r="O660" i="1"/>
  <c r="M660" i="1"/>
  <c r="K660" i="1"/>
  <c r="I660" i="1"/>
  <c r="W583" i="1" l="1"/>
  <c r="U583" i="1"/>
  <c r="S583" i="1"/>
  <c r="Q583" i="1"/>
  <c r="O583" i="1"/>
  <c r="M583" i="1"/>
  <c r="K583" i="1"/>
  <c r="I583" i="1"/>
  <c r="W37" i="1" l="1"/>
  <c r="U37" i="1"/>
  <c r="S37" i="1"/>
  <c r="Q37" i="1"/>
  <c r="O37" i="1"/>
  <c r="G60" i="1"/>
  <c r="U13" i="1"/>
  <c r="G450" i="1" l="1"/>
  <c r="G288" i="1"/>
  <c r="G282" i="1" l="1"/>
  <c r="G562" i="1" l="1"/>
  <c r="G561" i="1" l="1"/>
  <c r="G202" i="1"/>
  <c r="G201" i="1"/>
  <c r="G198" i="1"/>
  <c r="W193" i="1"/>
  <c r="U193" i="1"/>
  <c r="S193" i="1"/>
  <c r="Q193" i="1"/>
  <c r="O193" i="1"/>
  <c r="G200" i="1" l="1"/>
  <c r="G199" i="1"/>
  <c r="W198" i="1"/>
  <c r="G203" i="1"/>
  <c r="G622" i="1"/>
  <c r="I759" i="1" l="1"/>
  <c r="I758" i="1"/>
  <c r="I756" i="1"/>
  <c r="I757" i="1"/>
  <c r="W756" i="1"/>
  <c r="U756" i="1"/>
  <c r="S756" i="1"/>
  <c r="Q756" i="1"/>
  <c r="M756" i="1"/>
  <c r="K756" i="1"/>
  <c r="W582" i="1" l="1"/>
  <c r="U582" i="1" l="1"/>
  <c r="I582" i="1"/>
  <c r="M582" i="1"/>
  <c r="Q582" i="1"/>
  <c r="K582" i="1"/>
  <c r="O582" i="1"/>
  <c r="S582" i="1"/>
  <c r="G555" i="1" l="1"/>
  <c r="G554" i="1"/>
  <c r="K347" i="1" l="1"/>
  <c r="I538" i="1" l="1"/>
  <c r="G262" i="1" l="1"/>
  <c r="G633" i="1" l="1"/>
  <c r="G626" i="1"/>
  <c r="G632" i="1"/>
  <c r="G607" i="1" l="1"/>
  <c r="G598" i="1" l="1"/>
  <c r="G612" i="1"/>
  <c r="G600" i="1" l="1"/>
  <c r="G611" i="1"/>
  <c r="G603" i="1"/>
  <c r="I593" i="1"/>
  <c r="G631" i="1"/>
  <c r="G624" i="1"/>
  <c r="G623" i="1"/>
  <c r="G618" i="1"/>
  <c r="G617" i="1"/>
  <c r="G616" i="1"/>
  <c r="G615" i="1"/>
  <c r="G602" i="1"/>
  <c r="G593" i="1"/>
  <c r="G303" i="1" l="1"/>
  <c r="G429" i="1" l="1"/>
  <c r="G302" i="1" l="1"/>
  <c r="G340" i="1"/>
  <c r="G314" i="1"/>
  <c r="G312" i="1"/>
  <c r="G313" i="1"/>
  <c r="I18" i="1"/>
  <c r="I19" i="1"/>
  <c r="G19" i="1"/>
  <c r="G18" i="1"/>
  <c r="N19" i="1"/>
  <c r="G47" i="1"/>
  <c r="G46" i="1"/>
  <c r="W45" i="1"/>
  <c r="U45" i="1"/>
  <c r="S45" i="1"/>
  <c r="Q45" i="1"/>
  <c r="O45" i="1"/>
  <c r="G45" i="1"/>
  <c r="G136" i="1"/>
  <c r="G242" i="1" l="1"/>
  <c r="G432" i="1" l="1"/>
  <c r="G742" i="1" l="1"/>
  <c r="G737" i="1" l="1"/>
  <c r="K739" i="1"/>
  <c r="G739" i="1"/>
  <c r="G472" i="1" l="1"/>
  <c r="G471" i="1"/>
  <c r="Q57" i="1" l="1"/>
  <c r="M57" i="1"/>
  <c r="K57" i="1"/>
  <c r="W57" i="1"/>
  <c r="U57" i="1"/>
  <c r="S57" i="1"/>
  <c r="O57" i="1"/>
  <c r="G57" i="1"/>
  <c r="G369" i="1" l="1"/>
  <c r="G391" i="1" l="1"/>
  <c r="G310" i="1"/>
  <c r="G246" i="1" l="1"/>
  <c r="G250" i="1"/>
  <c r="G253" i="1" l="1"/>
  <c r="I752" i="1" l="1"/>
  <c r="K752" i="1"/>
  <c r="W752" i="1"/>
  <c r="U752" i="1"/>
  <c r="S752" i="1"/>
  <c r="Q752" i="1"/>
  <c r="O752" i="1"/>
  <c r="M752" i="1"/>
  <c r="W751" i="1"/>
  <c r="U751" i="1"/>
  <c r="S751" i="1"/>
  <c r="Q751" i="1"/>
  <c r="O751" i="1"/>
  <c r="M751" i="1"/>
  <c r="S757" i="1"/>
  <c r="U757" i="1"/>
  <c r="W757" i="1"/>
  <c r="S758" i="1"/>
  <c r="U758" i="1"/>
  <c r="W758" i="1"/>
  <c r="S759" i="1"/>
  <c r="U759" i="1"/>
  <c r="W759" i="1"/>
  <c r="Q759" i="1"/>
  <c r="O759" i="1"/>
  <c r="M759" i="1"/>
  <c r="K759" i="1"/>
  <c r="M132" i="1" l="1"/>
  <c r="M128" i="1"/>
  <c r="M127" i="1"/>
  <c r="M123" i="1"/>
  <c r="M122" i="1"/>
  <c r="O108" i="1"/>
  <c r="O107" i="1"/>
  <c r="Q75" i="1" l="1"/>
  <c r="Q74" i="1"/>
  <c r="Q73" i="1"/>
  <c r="Q71" i="1"/>
  <c r="Q72" i="1"/>
  <c r="W728" i="1" l="1"/>
  <c r="U728" i="1"/>
  <c r="S728" i="1"/>
  <c r="Q728" i="1"/>
  <c r="O728" i="1"/>
  <c r="M728" i="1"/>
  <c r="W538" i="1"/>
  <c r="U538" i="1"/>
  <c r="S538" i="1"/>
  <c r="Q538" i="1"/>
  <c r="O538" i="1"/>
  <c r="M538" i="1"/>
  <c r="K538" i="1"/>
  <c r="Q500" i="1"/>
  <c r="Q469" i="1"/>
  <c r="Q467" i="1"/>
  <c r="G725" i="1" l="1"/>
  <c r="G724" i="1"/>
  <c r="Q132" i="1" l="1"/>
  <c r="Q128" i="1"/>
  <c r="Q127" i="1"/>
  <c r="Q123" i="1"/>
  <c r="Q122" i="1"/>
  <c r="Q108" i="1"/>
  <c r="Q107" i="1"/>
  <c r="Q106" i="1"/>
  <c r="Q105" i="1"/>
  <c r="K53" i="1"/>
  <c r="Q53" i="1"/>
  <c r="Q135" i="1" l="1"/>
  <c r="Q48" i="1" l="1"/>
  <c r="Q42" i="1"/>
  <c r="Q40" i="1"/>
  <c r="Q39" i="1"/>
  <c r="Q36" i="1"/>
  <c r="Q31" i="1"/>
  <c r="G579" i="1" l="1"/>
  <c r="G244" i="1"/>
  <c r="G269" i="1" l="1"/>
  <c r="G226" i="1"/>
  <c r="G484" i="1" l="1"/>
  <c r="G427" i="1" l="1"/>
  <c r="G459" i="1"/>
  <c r="G307" i="1"/>
  <c r="G401" i="1"/>
  <c r="Q152" i="1"/>
  <c r="Q151" i="1"/>
  <c r="W40" i="1"/>
  <c r="G139" i="1" l="1"/>
  <c r="G286" i="1" l="1"/>
  <c r="G207" i="1"/>
  <c r="G426" i="1" l="1"/>
  <c r="O73" i="1" l="1"/>
  <c r="G220" i="1"/>
  <c r="G308" i="1" l="1"/>
  <c r="W71" i="1" l="1"/>
  <c r="U71" i="1"/>
  <c r="S71" i="1"/>
  <c r="O71" i="1"/>
  <c r="G305" i="1"/>
  <c r="G415" i="1" l="1"/>
  <c r="G743" i="1" l="1"/>
  <c r="G745" i="1"/>
  <c r="G481" i="1" l="1"/>
  <c r="G564" i="1" l="1"/>
  <c r="G41" i="1" l="1"/>
  <c r="U40" i="1"/>
  <c r="S40" i="1"/>
  <c r="O40" i="1"/>
  <c r="G40" i="1"/>
  <c r="I669" i="1" l="1"/>
  <c r="G272" i="1" l="1"/>
  <c r="G279" i="1" l="1"/>
  <c r="G273" i="1"/>
  <c r="G175" i="1" l="1"/>
  <c r="V97" i="1" l="1"/>
  <c r="T97" i="1"/>
  <c r="R97" i="1"/>
  <c r="N97" i="1"/>
  <c r="K97" i="1"/>
  <c r="G440" i="1" l="1"/>
  <c r="G572" i="1" l="1"/>
  <c r="G221" i="1" l="1"/>
  <c r="G524" i="1" l="1"/>
  <c r="G443" i="1"/>
  <c r="I783" i="1" l="1"/>
  <c r="M135" i="1"/>
  <c r="W132" i="1"/>
  <c r="W128" i="1"/>
  <c r="W127" i="1"/>
  <c r="W123" i="1"/>
  <c r="W122" i="1"/>
  <c r="U128" i="1"/>
  <c r="U127" i="1"/>
  <c r="U123" i="1"/>
  <c r="U122" i="1"/>
  <c r="S132" i="1"/>
  <c r="S128" i="1"/>
  <c r="S123" i="1"/>
  <c r="S122" i="1"/>
  <c r="O123" i="1"/>
  <c r="O127" i="1"/>
  <c r="O128" i="1"/>
  <c r="O132" i="1"/>
  <c r="O122" i="1"/>
  <c r="W105" i="1"/>
  <c r="W106" i="1"/>
  <c r="W107" i="1"/>
  <c r="W108" i="1"/>
  <c r="U105" i="1"/>
  <c r="U106" i="1"/>
  <c r="U107" i="1"/>
  <c r="U108" i="1"/>
  <c r="S105" i="1"/>
  <c r="S106" i="1"/>
  <c r="S107" i="1"/>
  <c r="S108" i="1"/>
  <c r="W135" i="1" l="1"/>
  <c r="G581" i="1" l="1"/>
  <c r="G580" i="1"/>
  <c r="G568" i="1"/>
  <c r="G570" i="1"/>
  <c r="G577" i="1"/>
  <c r="G516" i="1" l="1"/>
  <c r="G306" i="1" l="1"/>
  <c r="G338" i="1"/>
  <c r="G309" i="1"/>
  <c r="G337" i="1" l="1"/>
  <c r="G241" i="1" l="1"/>
  <c r="G10" i="1"/>
  <c r="G228" i="1" l="1"/>
  <c r="G728" i="1" l="1"/>
  <c r="G229" i="1" l="1"/>
  <c r="O36" i="1"/>
  <c r="G206" i="1" l="1"/>
  <c r="G713" i="1" l="1"/>
  <c r="G715" i="1"/>
  <c r="G714" i="1"/>
  <c r="G430" i="1" l="1"/>
  <c r="G431" i="1"/>
  <c r="S42" i="1" l="1"/>
  <c r="G514" i="1" l="1"/>
  <c r="G741" i="1" l="1"/>
  <c r="G738" i="1"/>
  <c r="G291" i="1"/>
  <c r="G230" i="1"/>
  <c r="G227" i="1"/>
  <c r="G225" i="1"/>
  <c r="G218" i="1"/>
  <c r="G219" i="1"/>
  <c r="G217" i="1"/>
  <c r="G104" i="1"/>
  <c r="G66" i="1"/>
  <c r="G25" i="1"/>
  <c r="G23" i="1"/>
  <c r="G24" i="1"/>
  <c r="G423" i="1" l="1"/>
  <c r="U467" i="1" l="1"/>
  <c r="S467" i="1"/>
  <c r="M467" i="1"/>
  <c r="O467" i="1"/>
  <c r="G467" i="1"/>
  <c r="J522" i="1" l="1"/>
  <c r="J519" i="1"/>
  <c r="J518" i="1"/>
  <c r="J517" i="1"/>
  <c r="J521" i="1"/>
  <c r="J516" i="1"/>
  <c r="G22" i="1" l="1"/>
  <c r="G469" i="1"/>
  <c r="M469" i="1"/>
  <c r="O469" i="1"/>
  <c r="S469" i="1"/>
  <c r="U469" i="1"/>
  <c r="G168" i="1"/>
  <c r="G26" i="1" l="1"/>
  <c r="G571" i="1" l="1"/>
  <c r="G54" i="1" l="1"/>
  <c r="G56" i="1"/>
  <c r="O31" i="1"/>
  <c r="G58" i="1"/>
  <c r="U31" i="1" l="1"/>
  <c r="G211" i="1"/>
  <c r="G29" i="1" l="1"/>
  <c r="G344" i="1"/>
  <c r="O135" i="1"/>
  <c r="S135" i="1"/>
  <c r="U135" i="1"/>
  <c r="G333" i="1" l="1"/>
  <c r="G13" i="1" l="1"/>
  <c r="G540" i="1" l="1"/>
  <c r="G155" i="1" l="1"/>
  <c r="G12" i="1"/>
  <c r="G21" i="1"/>
  <c r="G31" i="1"/>
  <c r="S31" i="1"/>
  <c r="W31" i="1"/>
  <c r="G32" i="1"/>
  <c r="G33" i="1"/>
  <c r="G34" i="1"/>
  <c r="G35" i="1"/>
  <c r="G36" i="1"/>
  <c r="S36" i="1"/>
  <c r="U36" i="1"/>
  <c r="W36" i="1"/>
  <c r="G37" i="1"/>
  <c r="G38" i="1"/>
  <c r="G39" i="1"/>
  <c r="O39" i="1"/>
  <c r="S39" i="1"/>
  <c r="U39" i="1"/>
  <c r="W39" i="1"/>
  <c r="G42" i="1"/>
  <c r="O42" i="1"/>
  <c r="U42" i="1"/>
  <c r="W42" i="1"/>
  <c r="G43" i="1"/>
  <c r="G44" i="1"/>
  <c r="G48" i="1"/>
  <c r="O48" i="1"/>
  <c r="S48" i="1"/>
  <c r="U48" i="1"/>
  <c r="W48" i="1"/>
  <c r="G49" i="1"/>
  <c r="G50" i="1"/>
  <c r="G53" i="1"/>
  <c r="M53" i="1"/>
  <c r="O53" i="1"/>
  <c r="S53" i="1"/>
  <c r="U53" i="1"/>
  <c r="W53" i="1"/>
  <c r="G55" i="1"/>
  <c r="G59" i="1"/>
  <c r="G67" i="1"/>
  <c r="O72" i="1"/>
  <c r="S72" i="1"/>
  <c r="U72" i="1"/>
  <c r="W72" i="1"/>
  <c r="S73" i="1"/>
  <c r="U73" i="1"/>
  <c r="W73" i="1"/>
  <c r="M74" i="1"/>
  <c r="O74" i="1"/>
  <c r="S74" i="1"/>
  <c r="U74" i="1"/>
  <c r="M75" i="1"/>
  <c r="O75" i="1"/>
  <c r="S75" i="1"/>
  <c r="U75" i="1"/>
  <c r="G95" i="1"/>
  <c r="K95" i="1"/>
  <c r="M95" i="1"/>
  <c r="N95" i="1"/>
  <c r="G96" i="1"/>
  <c r="G97" i="1"/>
  <c r="G98" i="1"/>
  <c r="G100" i="1"/>
  <c r="G101" i="1"/>
  <c r="G103" i="1"/>
  <c r="G135" i="1"/>
  <c r="G147" i="1"/>
  <c r="Q147" i="1"/>
  <c r="G148" i="1"/>
  <c r="Q148" i="1"/>
  <c r="G151" i="1"/>
  <c r="G152" i="1"/>
  <c r="G170" i="1"/>
  <c r="G171" i="1"/>
  <c r="G197" i="1"/>
  <c r="G204" i="1"/>
  <c r="G210" i="1"/>
  <c r="G223" i="1"/>
  <c r="G232" i="1"/>
  <c r="M232" i="1"/>
  <c r="P232" i="1"/>
  <c r="G233" i="1"/>
  <c r="G234" i="1"/>
  <c r="G235" i="1"/>
  <c r="G245" i="1"/>
  <c r="G271" i="1"/>
  <c r="G285" i="1"/>
  <c r="G287" i="1"/>
  <c r="G716" i="1"/>
  <c r="G717" i="1"/>
  <c r="G345" i="1"/>
  <c r="G347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70" i="1"/>
  <c r="G371" i="1"/>
  <c r="G372" i="1"/>
  <c r="G373" i="1"/>
  <c r="G374" i="1"/>
  <c r="G378" i="1"/>
  <c r="G379" i="1"/>
  <c r="G382" i="1"/>
  <c r="G383" i="1"/>
  <c r="G393" i="1"/>
  <c r="G394" i="1"/>
  <c r="G395" i="1"/>
  <c r="G403" i="1"/>
  <c r="G409" i="1"/>
  <c r="G411" i="1"/>
  <c r="G414" i="1"/>
  <c r="G417" i="1"/>
  <c r="G418" i="1"/>
  <c r="G421" i="1"/>
  <c r="G422" i="1"/>
  <c r="G437" i="1"/>
  <c r="G442" i="1"/>
  <c r="G444" i="1"/>
  <c r="G470" i="1"/>
  <c r="G482" i="1"/>
  <c r="G500" i="1"/>
  <c r="O500" i="1"/>
  <c r="S500" i="1"/>
  <c r="U500" i="1"/>
  <c r="W500" i="1"/>
  <c r="G501" i="1"/>
  <c r="G502" i="1"/>
  <c r="G503" i="1"/>
  <c r="G504" i="1"/>
  <c r="G512" i="1"/>
  <c r="G517" i="1"/>
  <c r="G518" i="1"/>
  <c r="G519" i="1"/>
  <c r="G521" i="1"/>
  <c r="G522" i="1"/>
  <c r="G525" i="1"/>
  <c r="G526" i="1"/>
  <c r="G527" i="1"/>
  <c r="G529" i="1"/>
  <c r="G530" i="1"/>
  <c r="G533" i="1"/>
  <c r="G534" i="1"/>
  <c r="G538" i="1"/>
  <c r="G576" i="1"/>
  <c r="G733" i="1"/>
  <c r="M733" i="1"/>
  <c r="O733" i="1"/>
  <c r="Q733" i="1"/>
  <c r="S733" i="1"/>
  <c r="U733" i="1"/>
  <c r="M749" i="1"/>
  <c r="O749" i="1"/>
  <c r="S749" i="1"/>
  <c r="U749" i="1"/>
  <c r="W749" i="1"/>
  <c r="K750" i="1"/>
  <c r="M750" i="1"/>
  <c r="O750" i="1"/>
  <c r="Q750" i="1"/>
  <c r="S750" i="1"/>
  <c r="U750" i="1"/>
  <c r="W750" i="1"/>
  <c r="K757" i="1"/>
  <c r="M757" i="1"/>
  <c r="O757" i="1"/>
  <c r="Q757" i="1"/>
  <c r="K758" i="1"/>
  <c r="M758" i="1"/>
  <c r="O758" i="1"/>
  <c r="Q758" i="1"/>
  <c r="M761" i="1"/>
  <c r="Q761" i="1"/>
  <c r="I782" i="1"/>
</calcChain>
</file>

<file path=xl/comments1.xml><?xml version="1.0" encoding="utf-8"?>
<comments xmlns="http://schemas.openxmlformats.org/spreadsheetml/2006/main">
  <authors>
    <author>Usuario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</rPr>
          <t>CONSULTAR ADICIONAL POR IMPRESIÓN DE LOGO EN LA CAJA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</rPr>
          <t>CONSULTAR ADICIONAL POR IMPRESIÓN DE LOGO EN LA CAJA</t>
        </r>
      </text>
    </comment>
    <comment ref="B546" authorId="0" shapeId="0">
      <text>
        <r>
          <rPr>
            <b/>
            <sz val="9"/>
            <color indexed="81"/>
            <rFont val="Tahoma"/>
            <family val="2"/>
          </rPr>
          <t>LOGO FULL COLOR</t>
        </r>
      </text>
    </comment>
    <comment ref="B547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48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49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50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51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52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53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54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55" authorId="0" shapeId="0">
      <text>
        <r>
          <rPr>
            <b/>
            <sz val="9"/>
            <color indexed="81"/>
            <rFont val="Tahoma"/>
            <family val="2"/>
          </rPr>
          <t>LOGO 200cm</t>
        </r>
        <r>
          <rPr>
            <b/>
            <sz val="8"/>
            <color indexed="81"/>
            <rFont val="Tahoma"/>
            <family val="2"/>
          </rPr>
          <t>2
Por estampado de logo de mayor tamaño solicitar cotización</t>
        </r>
      </text>
    </comment>
    <comment ref="B561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62" authorId="0" shapeId="0">
      <text>
        <r>
          <rPr>
            <b/>
            <sz val="9"/>
            <color indexed="81"/>
            <rFont val="Tahoma"/>
            <family val="2"/>
          </rPr>
          <t>LOGO 200cm</t>
        </r>
        <r>
          <rPr>
            <b/>
            <sz val="8"/>
            <color indexed="81"/>
            <rFont val="Tahoma"/>
            <family val="2"/>
          </rPr>
          <t>2
Por estampado de logo de mayor tamaño solicitar cotización</t>
        </r>
      </text>
    </comment>
    <comment ref="B563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64" authorId="0" shapeId="0">
      <text>
        <r>
          <rPr>
            <b/>
            <sz val="9"/>
            <color indexed="81"/>
            <rFont val="Tahoma"/>
            <family val="2"/>
          </rPr>
          <t>LOGO 200cm</t>
        </r>
        <r>
          <rPr>
            <b/>
            <sz val="8"/>
            <color indexed="81"/>
            <rFont val="Tahoma"/>
            <family val="2"/>
          </rPr>
          <t>2
Por estampado de logo de mayor tamaño solicitar cotización</t>
        </r>
      </text>
    </comment>
    <comment ref="B565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66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67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68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69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70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71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72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73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74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75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76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77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78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79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580" authorId="0" shapeId="0">
      <text>
        <r>
          <rPr>
            <b/>
            <sz val="9"/>
            <color indexed="81"/>
            <rFont val="Tahoma"/>
            <family val="2"/>
          </rPr>
          <t>LOGO FULL COLOR TAMAÑO A4</t>
        </r>
      </text>
    </comment>
    <comment ref="B581" authorId="0" shapeId="0">
      <text>
        <r>
          <rPr>
            <b/>
            <sz val="9"/>
            <color indexed="81"/>
            <rFont val="Tahoma"/>
            <family val="2"/>
          </rPr>
          <t>LOGO 200cm2
Por estampado de logo de mayor tamaño solicitar cotización</t>
        </r>
      </text>
    </comment>
    <comment ref="B713" authorId="0" shapeId="0">
      <text>
        <r>
          <rPr>
            <b/>
            <sz val="9"/>
            <color indexed="81"/>
            <rFont val="Tahoma"/>
            <family val="2"/>
          </rPr>
          <t>TERMINACIÓN RÚSTICA. NO INCLUYE ENCERADO NI LUSTRADO.</t>
        </r>
      </text>
    </comment>
    <comment ref="B714" authorId="0" shapeId="0">
      <text>
        <r>
          <rPr>
            <b/>
            <sz val="9"/>
            <color indexed="81"/>
            <rFont val="Tahoma"/>
            <family val="2"/>
          </rPr>
          <t>TERMINACIÓN RÚSTICA. NO INCLUYE ENCERADO NI LUSTRADO.</t>
        </r>
      </text>
    </comment>
    <comment ref="B715" authorId="0" shapeId="0">
      <text>
        <r>
          <rPr>
            <b/>
            <sz val="9"/>
            <color indexed="81"/>
            <rFont val="Tahoma"/>
            <family val="2"/>
          </rPr>
          <t>TERMINACIÓN RÚSTICA. NO INCLUYE ENCERADO NI LUSTRADO.</t>
        </r>
      </text>
    </comment>
    <comment ref="B716" authorId="0" shapeId="0">
      <text>
        <r>
          <rPr>
            <b/>
            <sz val="9"/>
            <color indexed="81"/>
            <rFont val="Tahoma"/>
            <family val="2"/>
          </rPr>
          <t>TERMINACIÓN RÚSTICA. NO INCLUYE ENCERADO NI LUSTRADO.</t>
        </r>
      </text>
    </comment>
    <comment ref="B717" authorId="0" shapeId="0">
      <text>
        <r>
          <rPr>
            <b/>
            <sz val="9"/>
            <color indexed="81"/>
            <rFont val="Tahoma"/>
            <family val="2"/>
          </rPr>
          <t>TERMINACIÓN RÚSTICA. NO INCLUYE ENCERADO NI LUSTRADO.</t>
        </r>
      </text>
    </comment>
    <comment ref="B723" authorId="0" shapeId="0">
      <text>
        <r>
          <rPr>
            <b/>
            <sz val="9"/>
            <color indexed="81"/>
            <rFont val="Tahoma"/>
            <family val="2"/>
          </rPr>
          <t>TERMINACIÓN RÚSTICA. NO INCLUYE ENCERADO NI LUSTRADO.</t>
        </r>
      </text>
    </comment>
  </commentList>
</comments>
</file>

<file path=xl/sharedStrings.xml><?xml version="1.0" encoding="utf-8"?>
<sst xmlns="http://schemas.openxmlformats.org/spreadsheetml/2006/main" count="1300" uniqueCount="1035">
  <si>
    <t>PRESIONE CONTROL+B PARA BUSCAR UN PRODUCTO POR NOMBRE O POR CÓDIGO COMPLETO Ej. 02193</t>
  </si>
  <si>
    <t xml:space="preserve">Ingrese aquí su porcentaje </t>
  </si>
  <si>
    <t>Cómo funciona este sistema?</t>
  </si>
  <si>
    <t>IR A PAGINA 1</t>
  </si>
  <si>
    <t>(por ejemplo 40% se ingresa 1.40)</t>
  </si>
  <si>
    <t>CLICK AQUÍ</t>
  </si>
  <si>
    <t>LOS PRECIOS PUEDEN VARIAR SIN PREVIO AVISO</t>
  </si>
  <si>
    <t>20% DE DESCUENTO PARA REVENDEDORES</t>
  </si>
  <si>
    <t>Consultas  WHATSAPP  11-2615-1932</t>
  </si>
  <si>
    <t>Al posicionarse sobre los casilleros que tienen triangulito rojo puede visualizar comentarios importantes del producto.</t>
  </si>
  <si>
    <t>PARA IR A LOS RECARGOS POR IMPRESIONES ADICIONALES CLICK AQUÍ</t>
  </si>
  <si>
    <t xml:space="preserve"> ART.</t>
  </si>
  <si>
    <t>DETALLE</t>
  </si>
  <si>
    <t>Sin Impresión</t>
  </si>
  <si>
    <t>ACLARACIONES IMPORTANTES SOBRE EL PRODUCTO</t>
  </si>
  <si>
    <t>VISITAR PRODUCTO EN WEB</t>
  </si>
  <si>
    <t>REGISTRATE EN NUESTRA WEB PARA BAJAR LISTA DE PRECIOS DESDE CUALQUIER PC</t>
  </si>
  <si>
    <t>x30</t>
  </si>
  <si>
    <t>x50</t>
  </si>
  <si>
    <t>x100</t>
  </si>
  <si>
    <t>x300</t>
  </si>
  <si>
    <t>x500</t>
  </si>
  <si>
    <t>x1000</t>
  </si>
  <si>
    <t>IR A PAGINA 3</t>
  </si>
  <si>
    <t>IR A PAGINA 7</t>
  </si>
  <si>
    <t>00024 - Mate de algarrobo encerado</t>
  </si>
  <si>
    <t>00030 - Mate geométrico de Eucalyptus Grandis rústico</t>
  </si>
  <si>
    <t>00033-1 - Mate copita torneado con base de aluminio</t>
  </si>
  <si>
    <t>00033-1</t>
  </si>
  <si>
    <t xml:space="preserve">00034-1 - Mate redondo torneado base forrada aluminio          </t>
  </si>
  <si>
    <t>00034-1</t>
  </si>
  <si>
    <t>IR A CARPITAS</t>
  </si>
  <si>
    <t>00039 - Mate aluminio c/cinta cuero. Grabado Laser 7x3,5cm</t>
  </si>
  <si>
    <t>00039-1 - Mate aluminio con cuerina impresión full color</t>
  </si>
  <si>
    <t>00039-1</t>
  </si>
  <si>
    <t>IR A GORROS</t>
  </si>
  <si>
    <t>00040 - Mate canela forrado aluminio imp. 1 color</t>
  </si>
  <si>
    <t>IR A PORTADOCUMENTOS</t>
  </si>
  <si>
    <t>00046-1 - Llavero plástico dome full color - OVALADO</t>
  </si>
  <si>
    <t>s/imp. MINIMO 200</t>
  </si>
  <si>
    <t>00046-1</t>
  </si>
  <si>
    <t>00046-2 - Llavero plástico dome full color - ESCUDO</t>
  </si>
  <si>
    <t>00046-2</t>
  </si>
  <si>
    <t>00046-3 - Llavero plástico dome full color - RECT. CORTO</t>
  </si>
  <si>
    <t>00046-3</t>
  </si>
  <si>
    <t>00046-4 - Llavero plástico dome full color - RECT. LARGO</t>
  </si>
  <si>
    <t>00046-4</t>
  </si>
  <si>
    <t>00046-5 - Llavero plástico dome full color - REDONDO</t>
  </si>
  <si>
    <t>00046-5</t>
  </si>
  <si>
    <r>
      <t xml:space="preserve">00046-6 - Llavero plástico dome full color 1 lado - </t>
    </r>
    <r>
      <rPr>
        <sz val="8"/>
        <rFont val="Arial Narrow"/>
        <family val="2"/>
      </rPr>
      <t>AUTO</t>
    </r>
  </si>
  <si>
    <t>00046-7 - Llavero plástico dome full color 1 lado - REDONDO</t>
  </si>
  <si>
    <r>
      <t xml:space="preserve">00046-8 - Llavero plástico dome full color 1 lado - </t>
    </r>
    <r>
      <rPr>
        <sz val="8"/>
        <rFont val="Arial Narrow"/>
        <family val="2"/>
      </rPr>
      <t>RECT.LARGO</t>
    </r>
  </si>
  <si>
    <r>
      <t xml:space="preserve">00046-9 - Llavero plástico dome full color 1 lado - </t>
    </r>
    <r>
      <rPr>
        <sz val="8"/>
        <rFont val="Arial Narrow"/>
        <family val="2"/>
      </rPr>
      <t>CAMISETA</t>
    </r>
  </si>
  <si>
    <t>00046-1M - Llavero metálico c/dome full color - OVALADO</t>
  </si>
  <si>
    <t>s/imp. MINIMO 100</t>
  </si>
  <si>
    <t>00046-1M</t>
  </si>
  <si>
    <t>00046-4M - Llavero metálico c/dome full color - RECT. LARGO</t>
  </si>
  <si>
    <t>00046-4M</t>
  </si>
  <si>
    <t>00046-5M - Llavero metálico c/dome full color - REDONDO</t>
  </si>
  <si>
    <t>00046-5M</t>
  </si>
  <si>
    <t>00046-1SC - Llavero metal y simil cuero c/dome - OVALADO</t>
  </si>
  <si>
    <t>00046-1SC</t>
  </si>
  <si>
    <t>00046-4SC - Llavero metal y simil cuero c/dome RECT.LARGO</t>
  </si>
  <si>
    <t>00046-4SC</t>
  </si>
  <si>
    <t>00046-5SC - Llavero metal y simil cuero c/dome - REDONDO</t>
  </si>
  <si>
    <t>00046-5SC</t>
  </si>
  <si>
    <t>S1</t>
  </si>
  <si>
    <t>S2</t>
  </si>
  <si>
    <t>S3</t>
  </si>
  <si>
    <t>00054 - Llavero simil cuero con dome full color frente</t>
  </si>
  <si>
    <t>00060 - Cubo Portalápices blanco inyectado (imp. 2 lados)</t>
  </si>
  <si>
    <t>00062 - Cubo Portalápices de color inyectado (imp. 2 lados)</t>
  </si>
  <si>
    <r>
      <t xml:space="preserve">00063 - Cubo Portalápices de color inyectado </t>
    </r>
    <r>
      <rPr>
        <sz val="8"/>
        <color indexed="10"/>
        <rFont val="Arial"/>
        <family val="2"/>
      </rPr>
      <t xml:space="preserve">con calendario </t>
    </r>
  </si>
  <si>
    <t xml:space="preserve"> </t>
  </si>
  <si>
    <t>00091-1 - Portatarjeta SUBE tela plástica</t>
  </si>
  <si>
    <t>00091-1</t>
  </si>
  <si>
    <t>00092 - Pluviómetro acrilico excelente calidad (Alto 20 cm)</t>
  </si>
  <si>
    <t>00102N</t>
  </si>
  <si>
    <t>00102-1</t>
  </si>
  <si>
    <t>00102-2</t>
  </si>
  <si>
    <t xml:space="preserve">00104A - Llavero Cuero con Costura 1/2/3/4/5                                 </t>
  </si>
  <si>
    <t>00104A</t>
  </si>
  <si>
    <t>A1</t>
  </si>
  <si>
    <t>A2</t>
  </si>
  <si>
    <t>A3</t>
  </si>
  <si>
    <t>A4</t>
  </si>
  <si>
    <t>A5</t>
  </si>
  <si>
    <t xml:space="preserve">00105B - Llavero Cuero con Costura 1/2/3/4/5/6                             </t>
  </si>
  <si>
    <t>00105B</t>
  </si>
  <si>
    <t>B1</t>
  </si>
  <si>
    <t>B2</t>
  </si>
  <si>
    <t>B3</t>
  </si>
  <si>
    <t>B4</t>
  </si>
  <si>
    <t>B5</t>
  </si>
  <si>
    <t>B6</t>
  </si>
  <si>
    <t xml:space="preserve">00106C - Llavero Cuero Pegado 1/2/3/4/5/6 (costura opcional)                      </t>
  </si>
  <si>
    <t>00106C</t>
  </si>
  <si>
    <t>C1</t>
  </si>
  <si>
    <t>C2</t>
  </si>
  <si>
    <t>C3</t>
  </si>
  <si>
    <t>C4</t>
  </si>
  <si>
    <t>C5</t>
  </si>
  <si>
    <t>C6</t>
  </si>
  <si>
    <t xml:space="preserve">00107D - Llavero Cuero Pegado 1/2/3/4 (costura opcional) </t>
  </si>
  <si>
    <t>00107D</t>
  </si>
  <si>
    <t>D1</t>
  </si>
  <si>
    <t>D2</t>
  </si>
  <si>
    <t>D3</t>
  </si>
  <si>
    <t>D4</t>
  </si>
  <si>
    <t>00108H - Llavero Cuero - FULL COLOR 1/2/3/4/5</t>
  </si>
  <si>
    <t>00108H</t>
  </si>
  <si>
    <t>H1</t>
  </si>
  <si>
    <t>H2</t>
  </si>
  <si>
    <t>H3</t>
  </si>
  <si>
    <t>H4</t>
  </si>
  <si>
    <t>H5</t>
  </si>
  <si>
    <t>00108K - Llavero Cuero con ventana - FULL COLOR  1/2/3</t>
  </si>
  <si>
    <t>00108K</t>
  </si>
  <si>
    <t>K1</t>
  </si>
  <si>
    <t>K2</t>
  </si>
  <si>
    <t>K3</t>
  </si>
  <si>
    <t>00109Q</t>
  </si>
  <si>
    <t>Q1</t>
  </si>
  <si>
    <t>Q2</t>
  </si>
  <si>
    <t>Q3</t>
  </si>
  <si>
    <t>Q4</t>
  </si>
  <si>
    <t>Q5</t>
  </si>
  <si>
    <t>Q6</t>
  </si>
  <si>
    <t xml:space="preserve">00110G - Llavero Cuero Forma adaptada a Logo                    </t>
  </si>
  <si>
    <t>00110G</t>
  </si>
  <si>
    <t>00111H - Llavero Cuero de un lado y goma del otro</t>
  </si>
  <si>
    <t>00111H</t>
  </si>
  <si>
    <t xml:space="preserve">00112J - Llavero Cuero de ambos lados                                                        </t>
  </si>
  <si>
    <t>00112J</t>
  </si>
  <si>
    <t>00113G - 1/2/3/4/5 Llavero Cuero - Grabado de un solo lado</t>
  </si>
  <si>
    <t>00113G</t>
  </si>
  <si>
    <t>G1</t>
  </si>
  <si>
    <t>G2</t>
  </si>
  <si>
    <t>G3</t>
  </si>
  <si>
    <t>G4</t>
  </si>
  <si>
    <t>G5</t>
  </si>
  <si>
    <t>ULTIMAS UNIDADES</t>
  </si>
  <si>
    <t>00257-2</t>
  </si>
  <si>
    <t>00273 - Reloj portalápices de acrílico</t>
  </si>
  <si>
    <t xml:space="preserve">00278 - Reloj con calendario y temperatura 10 x 5 cm </t>
  </si>
  <si>
    <t xml:space="preserve">00288 - Llavero destapador luz led plástico </t>
  </si>
  <si>
    <t>00289 - Llavero inmobiliaria 7,5x4 cm</t>
  </si>
  <si>
    <t>00290 - Cinta Llavero Corta 13cm blanca con aro sin fin</t>
  </si>
  <si>
    <t>00290-1</t>
  </si>
  <si>
    <t>00291-1</t>
  </si>
  <si>
    <t>00301-1</t>
  </si>
  <si>
    <t>00301-2</t>
  </si>
  <si>
    <t>00302-1</t>
  </si>
  <si>
    <t>00302-2</t>
  </si>
  <si>
    <t xml:space="preserve">00313-1 - Juego truco caja doble fibrofacil tapa biselada </t>
  </si>
  <si>
    <t>00313-1</t>
  </si>
  <si>
    <t>00315-C - Naipes chinchón (50 cartas) caja fibrofacil biselada</t>
  </si>
  <si>
    <t>00315-C</t>
  </si>
  <si>
    <t>00315-T - Naipes de Truco caja fibrofacil tapa biselada</t>
  </si>
  <si>
    <t>00315-T</t>
  </si>
  <si>
    <t>00315-P - Naipes de Poker en caja fibro facil tapa biselada</t>
  </si>
  <si>
    <t>00315-P</t>
  </si>
  <si>
    <t>00316 - Dome para auto 12 x 3cm</t>
  </si>
  <si>
    <t>00318 - Dome para auto 15 x 4 cm</t>
  </si>
  <si>
    <t>DOBLADO ADICIONAR</t>
  </si>
  <si>
    <t>00324 - Carpita inyectada posalapiz calendario impreso 2 col.</t>
  </si>
  <si>
    <t xml:space="preserve">00347 - Pad Mouse Goma Eva - Redondo -19 cm - Blanco </t>
  </si>
  <si>
    <t>00349 - Pad Mouse Full color esmerilado 20x20 cm</t>
  </si>
  <si>
    <t>00350 - Pad Mouse Full Color esmerilado redondo 18 cm diám.</t>
  </si>
  <si>
    <t>00351 - Pad Mouse Full Color esmerilado redondo 20 cm diám.</t>
  </si>
  <si>
    <t>00352 - Pad Mouse Full Color esmerilado c/gel apoya muñeca</t>
  </si>
  <si>
    <t>00375 - Soporte anillo plástico para celular con cinta bifaz</t>
  </si>
  <si>
    <t>00376 - Soporte anillo metálico para celular con cinta bifaz 3M</t>
  </si>
  <si>
    <t>00421 - Llavero acrílico 3mm grabado laser formato especial</t>
  </si>
  <si>
    <t>00442 - Pastillero plástico blanco 4 espacios</t>
  </si>
  <si>
    <t xml:space="preserve">00539 - Portacredencial Cristal o Tela y Cristal - 8,5x12 cm.                     </t>
  </si>
  <si>
    <t>00624 - Set de maquillaje plástico 5 piezas</t>
  </si>
  <si>
    <r>
      <t>00628-1 - Set de manicura en estuche</t>
    </r>
    <r>
      <rPr>
        <sz val="8"/>
        <color indexed="10"/>
        <rFont val="Arial"/>
        <family val="2"/>
      </rPr>
      <t xml:space="preserve"> </t>
    </r>
  </si>
  <si>
    <t>00628-1</t>
  </si>
  <si>
    <t>00629 - Set de Manicura estuche símil cuero negro</t>
  </si>
  <si>
    <t>00705 - Mini Linterna Led metálica a pilas (no inlcuidas)</t>
  </si>
  <si>
    <t>00918 - Carpeta Eco A4 con bolígrafo</t>
  </si>
  <si>
    <t>00945 - Dispenser de notas adhesivas 16x12,5cm</t>
  </si>
  <si>
    <t>00949 - Set de notas adhesivas simil cuero negro 8,5 x 13 cm</t>
  </si>
  <si>
    <t xml:space="preserve">00965 - Tabla asado algarrobo con ensaladero </t>
  </si>
  <si>
    <t>00967 - Tabla de asado algarrobo  20 x 30 cm</t>
  </si>
  <si>
    <t>00969 - Tabla pizzera algarrobo 35cm diám.</t>
  </si>
  <si>
    <t>00970 - Tabla picada algarrobo 3 espacios (formas irregulares)</t>
  </si>
  <si>
    <t>00971 - Tabla picada algarrobo 4 espacios (formas irregulares)</t>
  </si>
  <si>
    <t>00980 - Set asado 1 plato cubiertos Tramontina mango plástico</t>
  </si>
  <si>
    <t>00981 - Set asado 2 platos cubiertos Tramontina mango plástico</t>
  </si>
  <si>
    <t>00984 - Set asado 1 plato s/carpincho Tramontina mango plas.</t>
  </si>
  <si>
    <t>00985 - Set asado 2 platos s/carpincho Tramontina mango plást.</t>
  </si>
  <si>
    <t>01001 - Tabla pino para asado 18,5 x 24 con agujero</t>
  </si>
  <si>
    <t>01002 - Tabla pino 3 espacios p/picada 18,5 x 24 c/agujero</t>
  </si>
  <si>
    <t>01006 - Tabla pino para asado 18,5 x 44 cm</t>
  </si>
  <si>
    <t>01075 - Botella de PVC Cristal con toalla de microfibra</t>
  </si>
  <si>
    <t xml:space="preserve">02145 - Bolígrafo retráctil traslúcido   </t>
  </si>
  <si>
    <t>02149 - Estuche de cartulina para bolígrafo</t>
  </si>
  <si>
    <t xml:space="preserve">02151 - Funda de Pana para un bolígrafo (color negro)                 </t>
  </si>
  <si>
    <t xml:space="preserve">02153 - Bolígrafo retráctil clip curvo </t>
  </si>
  <si>
    <t>02160 - Bolígrafo silver clip negro pulsador de color</t>
  </si>
  <si>
    <t>02174 - Bolígrafo cuerpo silver retráctil</t>
  </si>
  <si>
    <t>02174-1- Bolígrafo cuerpo de color retráctil</t>
  </si>
  <si>
    <t xml:space="preserve">02184 - Bolígrafo cuerpo de color - Clip metálico </t>
  </si>
  <si>
    <t>02184-1- Bolígrafo cuerpo silver detalle color - Clip metálico</t>
  </si>
  <si>
    <t>02184-1</t>
  </si>
  <si>
    <t>02189 - Bolígrafo plástico cuerpo blanco detalle color</t>
  </si>
  <si>
    <t>02190 - Bolígrafo plástico silver grip color clip metálico</t>
  </si>
  <si>
    <t>02194 - Bolígrafo clip metálico calado</t>
  </si>
  <si>
    <t>02195 - Bolígrafo clip metálico</t>
  </si>
  <si>
    <t>02198 - Bolígrafo grueso grip de goma</t>
  </si>
  <si>
    <t>02202-1</t>
  </si>
  <si>
    <t>02202-2</t>
  </si>
  <si>
    <t>02202-9 - Bolígrafo medio giro TOUCH</t>
  </si>
  <si>
    <t>02202-9</t>
  </si>
  <si>
    <t>02203 - Roller con capuchón</t>
  </si>
  <si>
    <t>02205 - Bolígrafo silver medio giro con anillos</t>
  </si>
  <si>
    <t>02207 - Bolígrafo cuerpo de color clip curvo</t>
  </si>
  <si>
    <t>02216 - Bolígrafo metálico touch</t>
  </si>
  <si>
    <t>02234-1</t>
  </si>
  <si>
    <t>02238 - Bolígrafo Frost grip traslúcido</t>
  </si>
  <si>
    <t>02239 - Bolígrafo transparente grip negro pulsador color</t>
  </si>
  <si>
    <t>02244 - Lápiz negro con goma del color del cuerpo sin punta</t>
  </si>
  <si>
    <t>02254 - Bolígrafo blanco retráctil clip color</t>
  </si>
  <si>
    <r>
      <t>02255 - Bolígrafo blanco retráctil clip calado</t>
    </r>
    <r>
      <rPr>
        <b/>
        <sz val="8"/>
        <color indexed="10"/>
        <rFont val="Arial"/>
        <family val="2"/>
      </rPr>
      <t xml:space="preserve"> </t>
    </r>
  </si>
  <si>
    <t>02268 - Bolígrafo plástico medio giro con luz interna</t>
  </si>
  <si>
    <t>02270 - Bolígrafo plástico blanco detalle color</t>
  </si>
  <si>
    <t>02275 - Bolígrafo con puntera y pulsador metalizado</t>
  </si>
  <si>
    <t>02280 - Boligrafo cuerpo blanco puntera silver</t>
  </si>
  <si>
    <t>02330 - Bolígrafo de madera con estuche de cartulina</t>
  </si>
  <si>
    <t>02336 - Bolígrafo de Bambú Touch clip de metal</t>
  </si>
  <si>
    <t>02337 - Boligrafo metálico Touch negro interior de color</t>
  </si>
  <si>
    <t>02338 - Bolígrafo metálico con estuche de pana</t>
  </si>
  <si>
    <t>11611 - Base de Art. 11604 (sin calendario y sin troquelar)</t>
  </si>
  <si>
    <t xml:space="preserve">11612 - Estuche de cartulina para almanaque 11604 </t>
  </si>
  <si>
    <t>M-22 - Llavero extensible frost plástico y metal</t>
  </si>
  <si>
    <t>M-22</t>
  </si>
  <si>
    <t>M-30</t>
  </si>
  <si>
    <t>M-31</t>
  </si>
  <si>
    <t>M-33 - Llavero rectangular 45x25mm, dome 1 lado</t>
  </si>
  <si>
    <t>M-33</t>
  </si>
  <si>
    <t>M-33-1 - Llavero rectangular 45x25mm, dome 2 lados</t>
  </si>
  <si>
    <t>M-33-1</t>
  </si>
  <si>
    <t>M-35 - Llavero multifunción metálico 3 funciones azul</t>
  </si>
  <si>
    <t>M-35</t>
  </si>
  <si>
    <t>P5520V - Remera BLANCA Infantil talle 2 al 10 (100% alg.)</t>
  </si>
  <si>
    <t>P5520</t>
  </si>
  <si>
    <t>P5520-1V - Remera BLANCA Juvenil talle 12 al 16 (100% alg.)</t>
  </si>
  <si>
    <t>P5521V - Remera COLOR Infantil talle 2 al 10 (100% alg.)</t>
  </si>
  <si>
    <t>P5521</t>
  </si>
  <si>
    <t>P5521-1V - Remera COLOR Juvenil talle 12 al 16  (100% alg.)</t>
  </si>
  <si>
    <t>P5525</t>
  </si>
  <si>
    <t>P5527</t>
  </si>
  <si>
    <t>P5530</t>
  </si>
  <si>
    <t>P5532</t>
  </si>
  <si>
    <t>P5533</t>
  </si>
  <si>
    <t>P5536</t>
  </si>
  <si>
    <t>P5539-1</t>
  </si>
  <si>
    <t>P5540-1</t>
  </si>
  <si>
    <t>P5545 - Remera Blanca manga larga superior (100% alg.24/1)</t>
  </si>
  <si>
    <t>P5545</t>
  </si>
  <si>
    <t>P5546 - Remera Color manga larga superior (100% alg.24/1)</t>
  </si>
  <si>
    <t>P5546</t>
  </si>
  <si>
    <t>P5556</t>
  </si>
  <si>
    <t xml:space="preserve"> Sin Impresión</t>
  </si>
  <si>
    <t>x5</t>
  </si>
  <si>
    <t>x10</t>
  </si>
  <si>
    <t>x200</t>
  </si>
  <si>
    <t>IP-T19 - Taza de vidrio esmerilado mate</t>
  </si>
  <si>
    <t xml:space="preserve">IP-T21 - Vaso Whisky vidrio esmerilado mate 300ml      </t>
  </si>
  <si>
    <t>00986 - Set asado simple  (con plato y cubiertos)</t>
  </si>
  <si>
    <t>00989 - Estuche asado simple  (sin plato y cubiertos)</t>
  </si>
  <si>
    <t>ARTICULOS DE CUERO - MADERA - CUCHILLERIA - SET DE VINO - BAZAR - ETC.</t>
  </si>
  <si>
    <t>30/01 - Cuchillo y tenedor Tramontina mango plast. estuche c/cierre</t>
  </si>
  <si>
    <t>30/01</t>
  </si>
  <si>
    <t>33/01 - Estuche cordura 2 cuch.y tened.Tramont. mango plast.</t>
  </si>
  <si>
    <t>33/01</t>
  </si>
  <si>
    <r>
      <t>85/01 - Mate Algarrobo con pie Grabado sobre Cuer</t>
    </r>
    <r>
      <rPr>
        <sz val="8"/>
        <color indexed="8"/>
        <rFont val="Arial"/>
        <family val="2"/>
      </rPr>
      <t xml:space="preserve">o </t>
    </r>
  </si>
  <si>
    <t>85/01</t>
  </si>
  <si>
    <t xml:space="preserve">85/02 - Mate Algarrobo Grabado sobre Cuero </t>
  </si>
  <si>
    <t>85/02</t>
  </si>
  <si>
    <r>
      <t>85/03 - Mate Algarrobo totalmente forrado en Cuer</t>
    </r>
    <r>
      <rPr>
        <sz val="8"/>
        <color indexed="8"/>
        <rFont val="Arial"/>
        <family val="2"/>
      </rPr>
      <t xml:space="preserve">o </t>
    </r>
  </si>
  <si>
    <t>10523 - Set de vino Barril 5 elementos</t>
  </si>
  <si>
    <t>10530</t>
  </si>
  <si>
    <t>RECARGOS POR IMPRESIONES O COLORES ADICIONALES</t>
  </si>
  <si>
    <r>
      <t xml:space="preserve">Recargo por impresión o color adicional en </t>
    </r>
    <r>
      <rPr>
        <b/>
        <sz val="9"/>
        <color indexed="10"/>
        <rFont val="Arial"/>
        <family val="2"/>
      </rPr>
      <t>SERIGRAFIA</t>
    </r>
  </si>
  <si>
    <t>REMERAS / BUZOS / CHOMBAS</t>
  </si>
  <si>
    <t>Remeras Talle especial XXL Recargo</t>
  </si>
  <si>
    <t>Chombas Talle especial XXL Recargo</t>
  </si>
  <si>
    <t>Buzos y Chalecos Talle especial XXL Recargo</t>
  </si>
  <si>
    <t xml:space="preserve">             Los productos marcados con este número tienen un mínimo de 100 unidades en las ventas SIN IMPRESIÓN</t>
  </si>
  <si>
    <t xml:space="preserve">             Los productos marcados con este número tienen un mínimo de 200 unidades en las ventas SIN IMPRESIÓN</t>
  </si>
  <si>
    <t xml:space="preserve">             Los productos marcados con este número tienen un mínimo de 500 unidades en las ventas SIN IMPRESIÓN</t>
  </si>
  <si>
    <t xml:space="preserve">  EL ENVÍO SE REALIZA UNA VEZ ACREDITADO EL DINERO EN CUENTA</t>
  </si>
  <si>
    <t>Existiendo opciones para verificar los precios nuestra empresa no se responsabiliza por el mal uso que se le pueda dar a esta lista de precios.</t>
  </si>
  <si>
    <t>Para evitar inconvenientes recomendamos no modificar valores existentes en las columnas ocultas F, H, J, L, N, P, R, T, V.</t>
  </si>
  <si>
    <t>PARA SUBIR AL PRINCIPIO DE LA LISTA CLICK AQUÍ</t>
  </si>
  <si>
    <t>02340 - Bolígrafo slim metálico medio giro con touch</t>
  </si>
  <si>
    <t xml:space="preserve">P5536 - Gorro Sandwich 6 gajos con abrojo   </t>
  </si>
  <si>
    <r>
      <t xml:space="preserve">P5530 - Gorro 100% algodón 6 gajos hebilla metal </t>
    </r>
    <r>
      <rPr>
        <b/>
        <sz val="8"/>
        <color indexed="10"/>
        <rFont val="Arial"/>
        <family val="2"/>
      </rPr>
      <t xml:space="preserve"> </t>
    </r>
  </si>
  <si>
    <t>02202 - Bolígrafo cuerpo de color - Clip metálico</t>
  </si>
  <si>
    <t>02202-1 - Bolígrafo cuerpo silver grip color clip metálico</t>
  </si>
  <si>
    <t>02202-2 - Bolígrafo cuerpo blanco grip color clip metálico</t>
  </si>
  <si>
    <t>00319 - Carpita inyectada plana sin impresión</t>
  </si>
  <si>
    <t>00320 - Carpita inyectada plana con calendario impreso 2 col.</t>
  </si>
  <si>
    <t>00323 - Carpita inyectada plana con posalapiz sin impresión</t>
  </si>
  <si>
    <t xml:space="preserve">00102N - Pin con dome full color base estandar </t>
  </si>
  <si>
    <t>02285 - Bolígrafo medio giro cuerpo color clip blanco</t>
  </si>
  <si>
    <t>02286 - Bolígrafo retráctil con cuerpo de color</t>
  </si>
  <si>
    <t>02174-1</t>
  </si>
  <si>
    <t>M-30 - Llavero redondo 32mm diám., dome 1 lado</t>
  </si>
  <si>
    <t>M-30-1 - Llavero redondo 32mm diám, dome 2 lados</t>
  </si>
  <si>
    <t>M-13 - Llavero base fundida ovalado 35x25mm con dome</t>
  </si>
  <si>
    <t>M-14 - Llavero base fundida rectangular 35x25mm con dome</t>
  </si>
  <si>
    <t>M-15 - Llavero base fundida cuadrado 30x30mm con dome</t>
  </si>
  <si>
    <t>00091-3 - Portatarjeta SUBE plástico pp transparente horizontal</t>
  </si>
  <si>
    <t>00091-4 - Portatarjeta SUBE plástico pp transparente vertical</t>
  </si>
  <si>
    <r>
      <t xml:space="preserve">00405 - Pen Drive </t>
    </r>
    <r>
      <rPr>
        <b/>
        <sz val="8"/>
        <color indexed="10"/>
        <rFont val="Arial"/>
        <family val="2"/>
      </rPr>
      <t xml:space="preserve">16 GB </t>
    </r>
    <r>
      <rPr>
        <sz val="8"/>
        <rFont val="Arial"/>
        <family val="2"/>
      </rPr>
      <t xml:space="preserve">simil cuero negro     </t>
    </r>
  </si>
  <si>
    <t>00036 - Bombilla Niquelada 17 cm.</t>
  </si>
  <si>
    <t>00035 - Bombilla aluminio anodizado</t>
  </si>
  <si>
    <t>IR A REMERAS</t>
  </si>
  <si>
    <t>00332 - Portatarjeta metálico con símil cuero, interior pana</t>
  </si>
  <si>
    <t xml:space="preserve">00968 - Plato de algarrobo redondo 22 cm </t>
  </si>
  <si>
    <t xml:space="preserve">M-31 - Llavero cuadrado 30x30mm, dome 1 lado </t>
  </si>
  <si>
    <t>M-31-1 - Llavero cuadrado 30x30mm, dome 2 lados</t>
  </si>
  <si>
    <t>Sin impresión Mín. 300</t>
  </si>
  <si>
    <t>00044 - Mate madera forrado aluminio con pintura bicapa</t>
  </si>
  <si>
    <t xml:space="preserve">00257-2 - Dispenser de clips rojo centro imantado </t>
  </si>
  <si>
    <t>00987 - Set asado doble platos y cubiertos Tramontina plástico</t>
  </si>
  <si>
    <r>
      <rPr>
        <sz val="8"/>
        <rFont val="Arial"/>
        <family val="2"/>
      </rPr>
      <t xml:space="preserve">00618 - Indice Magnético blanco - 5,5x8,5 cm </t>
    </r>
    <r>
      <rPr>
        <sz val="8"/>
        <color indexed="10"/>
        <rFont val="Arial"/>
        <family val="2"/>
      </rPr>
      <t xml:space="preserve">  </t>
    </r>
  </si>
  <si>
    <t xml:space="preserve">02222 - Bolígrafo metálico pesado detalles cromados </t>
  </si>
  <si>
    <t>DOMES FULL COLOR A MEDIDA</t>
  </si>
  <si>
    <t>00465 - Llavero destapador 3 funciones apoya y limpia celular</t>
  </si>
  <si>
    <t>00529 - Sobre portadocumentos c/fuelle c/divisiones 17x23cm</t>
  </si>
  <si>
    <t>00538 - Porta documento sobre común 18 x 25 cm</t>
  </si>
  <si>
    <t>00549 - Sobre portadocumentos acolchado 18x26cm</t>
  </si>
  <si>
    <t>IR A PAGINA 5</t>
  </si>
  <si>
    <t>IR A PAGINA 6</t>
  </si>
  <si>
    <t>00370 - Webcam cover - Protector de cámara web</t>
  </si>
  <si>
    <t>00969-1 - Tabla pizzera algarrobo 32 cm diám.</t>
  </si>
  <si>
    <t>00972 - Plato de algarrobo cuadrado 22 x 22 cm</t>
  </si>
  <si>
    <t>00302-2 - Cinta colgante blanca 20mm mosq. gatillo zamak</t>
  </si>
  <si>
    <t>02287 - Boligrafo Eco Friendly biodegradable reciclado trigo</t>
  </si>
  <si>
    <t>00998 - Salvatraje tela plástica 200 MICRONES</t>
  </si>
  <si>
    <t>02154 - Bolígrafo medio giro frost puntera metalizada</t>
  </si>
  <si>
    <r>
      <t xml:space="preserve">02156 - Bolígrafo silver grip goma clip metálico  </t>
    </r>
    <r>
      <rPr>
        <sz val="8"/>
        <color indexed="10"/>
        <rFont val="Arial"/>
        <family val="2"/>
      </rPr>
      <t xml:space="preserve"> </t>
    </r>
  </si>
  <si>
    <t xml:space="preserve">P5532 - Gorro Combinado 5 gajos casco blanco con abrojo     </t>
  </si>
  <si>
    <t>IR A BOLIGRAFOS</t>
  </si>
  <si>
    <t>IR A CINTAS COLGANTES</t>
  </si>
  <si>
    <t>M-45 - Mosquetón metálico 6cm con aro sin fin</t>
  </si>
  <si>
    <t xml:space="preserve">01078 - Botella de aluminio tapa a rosca 750ml </t>
  </si>
  <si>
    <t>02289 - Boligrafo bambú clip mix trigo biodegradable</t>
  </si>
  <si>
    <t xml:space="preserve">01079 - Botella de aluminio tapa a rosca 400ml </t>
  </si>
  <si>
    <t>02296 - Boligrafo ATOMIZER sanitizante y apoya celular</t>
  </si>
  <si>
    <t>02334 - Bolígrafo de Bambú clip de metal</t>
  </si>
  <si>
    <r>
      <t>00247 - Dispenser automático de papel</t>
    </r>
    <r>
      <rPr>
        <sz val="8"/>
        <color rgb="FFFF0000"/>
        <rFont val="Arial"/>
        <family val="2"/>
      </rPr>
      <t/>
    </r>
  </si>
  <si>
    <t xml:space="preserve">00382 - Soporte de escritorio para celular </t>
  </si>
  <si>
    <t>00931 - Portalápiz ecológico con notas adhesivas</t>
  </si>
  <si>
    <t>P5559 - Gorro visera plegable</t>
  </si>
  <si>
    <t xml:space="preserve">ID-TZ0001 - Taza plástica/polímero apilable blanca </t>
  </si>
  <si>
    <t>M-27-2 - Porta credencial extensible plástico</t>
  </si>
  <si>
    <r>
      <t>00102-1 - Pin</t>
    </r>
    <r>
      <rPr>
        <b/>
        <sz val="8"/>
        <color rgb="FFFF0000"/>
        <rFont val="Arial"/>
        <family val="2"/>
      </rPr>
      <t xml:space="preserve"> identificador</t>
    </r>
    <r>
      <rPr>
        <sz val="8"/>
        <rFont val="Arial"/>
        <family val="2"/>
      </rPr>
      <t xml:space="preserve"> nombres individuales</t>
    </r>
  </si>
  <si>
    <r>
      <t xml:space="preserve">00102-2 - Pin </t>
    </r>
    <r>
      <rPr>
        <b/>
        <sz val="8"/>
        <color rgb="FFFF0000"/>
        <rFont val="Arial"/>
        <family val="2"/>
      </rPr>
      <t>identificador</t>
    </r>
    <r>
      <rPr>
        <b/>
        <sz val="8"/>
        <rFont val="Arial"/>
        <family val="2"/>
      </rPr>
      <t xml:space="preserve"> con imán</t>
    </r>
  </si>
  <si>
    <t>IR A PARAGUAS</t>
  </si>
  <si>
    <t>IMPRESAS UN LADO</t>
  </si>
  <si>
    <t>IMPRESAS DOS LADOS</t>
  </si>
  <si>
    <t>00290-1 - Cinta Llavero Corta 13cm blanca con aro sin fin</t>
  </si>
  <si>
    <t>00291 - Cinta Llavero Larga 22cm blanca con aro sin fin</t>
  </si>
  <si>
    <t>00291-1 - Cinta Llavero Larga 22cm blanca con aro sin fin</t>
  </si>
  <si>
    <t>00302 - Cinta colgante blanca 20mm con aro sin fin</t>
  </si>
  <si>
    <t xml:space="preserve">00302-1 - Cinta colgante blanca 20mm con mosquetón alambre </t>
  </si>
  <si>
    <t xml:space="preserve">00553 - Portadocumento p/auto tapas goma rígidas 16x26cm </t>
  </si>
  <si>
    <r>
      <t xml:space="preserve">1 a 29 Planchas  </t>
    </r>
    <r>
      <rPr>
        <sz val="8"/>
        <color indexed="10"/>
        <rFont val="Arial"/>
        <family val="2"/>
      </rPr>
      <t>PRECIO NETO SIN DESCUENTO</t>
    </r>
  </si>
  <si>
    <t>IR A PAGINA 4</t>
  </si>
  <si>
    <t>00630 - Set de Manicura estuche símil cuero negro</t>
  </si>
  <si>
    <t>00017 - Bombilla aluminio pintado con resorte fijo</t>
  </si>
  <si>
    <r>
      <t xml:space="preserve">T5400 - Delantal </t>
    </r>
    <r>
      <rPr>
        <b/>
        <sz val="8"/>
        <rFont val="Arial"/>
        <family val="2"/>
      </rPr>
      <t>TEO</t>
    </r>
    <r>
      <rPr>
        <sz val="8"/>
        <rFont val="Arial"/>
        <family val="2"/>
      </rPr>
      <t xml:space="preserve"> jean con cuero, bolsillos, gancho</t>
    </r>
  </si>
  <si>
    <r>
      <t xml:space="preserve">T5200 - Delantal </t>
    </r>
    <r>
      <rPr>
        <b/>
        <sz val="8"/>
        <rFont val="Arial"/>
        <family val="2"/>
      </rPr>
      <t>VICENT</t>
    </r>
    <r>
      <rPr>
        <sz val="8"/>
        <rFont val="Arial"/>
        <family val="2"/>
      </rPr>
      <t xml:space="preserve"> jean con cuero, aplique y bolsillo</t>
    </r>
  </si>
  <si>
    <t>IR A DELANTALES</t>
  </si>
  <si>
    <t>T5400</t>
  </si>
  <si>
    <t>T5200</t>
  </si>
  <si>
    <t>10489</t>
  </si>
  <si>
    <t>00905 - Paraguas gigante con sistema anti viento</t>
  </si>
  <si>
    <t>M-45</t>
  </si>
  <si>
    <t>85/03</t>
  </si>
  <si>
    <t>02322 - Bolígrafo metálico retráctil aros cromados</t>
  </si>
  <si>
    <t>00928 - Mini carpeta Eco cartón 23x16,5 cm con boligrafo</t>
  </si>
  <si>
    <t>00542 - Tablilla porta block A4 de corcho</t>
  </si>
  <si>
    <t>01064 - Vaso térmico acero y plástico 500ml</t>
  </si>
  <si>
    <t>M-27-2</t>
  </si>
  <si>
    <t>01040 - Botella de aluminio tapa con tira de silicona 600ml</t>
  </si>
  <si>
    <t>00048 - S1/S2/S3 - Llavero cuero ecológico (marrón o negro)</t>
  </si>
  <si>
    <t>01083 - Vaso térmico acero PAMPERO® CHALTEN 400ml</t>
  </si>
  <si>
    <t>10530 - Caja de pino para una botella de vino</t>
  </si>
  <si>
    <t>10523</t>
  </si>
  <si>
    <t>02295 - Boligrafo Spray Sanitizante medio giro</t>
  </si>
  <si>
    <t>P5530-1</t>
  </si>
  <si>
    <t>00919 - Portalápiz ecológico negro con notas adhesivas</t>
  </si>
  <si>
    <t>ST-N27</t>
  </si>
  <si>
    <t>ST-N28 - Pad Mouse sublimable PVC grande 29x19cm</t>
  </si>
  <si>
    <t>ST-N28</t>
  </si>
  <si>
    <t>ST-N27 - Pad Mouse sublimable PVC redondo 19,5 cm diám.</t>
  </si>
  <si>
    <t>ST-N26</t>
  </si>
  <si>
    <t>ST-N26 - Pad Mouse sublimable PVC cuadrado 19x19 cm</t>
  </si>
  <si>
    <t>00551-1</t>
  </si>
  <si>
    <t>00551-1 - Portadocumento goma 17x26cm Flexible Fuelle 4cm</t>
  </si>
  <si>
    <t>00551-2 - Portadocumento goma 17x26cm Rígido Fuelle 4cm</t>
  </si>
  <si>
    <t>00551 - Portadocumento tapas goma 17x26cm flexible</t>
  </si>
  <si>
    <t>00551-2</t>
  </si>
  <si>
    <t>00969-1</t>
  </si>
  <si>
    <t>00046-7</t>
  </si>
  <si>
    <t>00046-9</t>
  </si>
  <si>
    <t>00046-6</t>
  </si>
  <si>
    <t>00046-8</t>
  </si>
  <si>
    <t>00046AR - Llavero plástico dome full color 1 lado ARGENTINA</t>
  </si>
  <si>
    <t>00046CA - Llavero plástico dome full color 1 lado CASITA</t>
  </si>
  <si>
    <t>00046AR</t>
  </si>
  <si>
    <t>00046CA</t>
  </si>
  <si>
    <t>01053 - Vaso térmico doble pared de acero 350ml</t>
  </si>
  <si>
    <t>00883 - Paraguas gigante reforzado automático</t>
  </si>
  <si>
    <t>P5559</t>
  </si>
  <si>
    <t>T6200 - Lona Playera Rayada de algodón y poliéster</t>
  </si>
  <si>
    <t>T6100 - Lona Playera Lisa con hilo de color</t>
  </si>
  <si>
    <t xml:space="preserve">00117 - Copa de vino 17cm  alto. Grabado laser  </t>
  </si>
  <si>
    <t xml:space="preserve">00129 - Chopp de vidrio 350cc. Grabado laser </t>
  </si>
  <si>
    <t>00982 - Set asado 1 plato s/cuero Tramontina mango plástico</t>
  </si>
  <si>
    <t>01034 - Jarro térmico acero y bambú tapa presión 300ml</t>
  </si>
  <si>
    <t xml:space="preserve">00101N - Pin con dome full color base estandar </t>
  </si>
  <si>
    <t>00101N</t>
  </si>
  <si>
    <r>
      <t>00102NIM - Pin con dome full color</t>
    </r>
    <r>
      <rPr>
        <b/>
        <sz val="8"/>
        <rFont val="Arial"/>
        <family val="2"/>
      </rPr>
      <t xml:space="preserve"> con imán</t>
    </r>
  </si>
  <si>
    <t>00102NIM</t>
  </si>
  <si>
    <r>
      <t xml:space="preserve">02251 - Bolígrafo Ecológico cartón reciclado </t>
    </r>
    <r>
      <rPr>
        <b/>
        <sz val="8"/>
        <color rgb="FF0070C0"/>
        <rFont val="Arial"/>
        <family val="2"/>
      </rPr>
      <t>TRAZO AZUL</t>
    </r>
  </si>
  <si>
    <t>00540 - Marbete - Identificador de valijas tela industrial liviana</t>
  </si>
  <si>
    <t>00544 - Tablilla porta block A4</t>
  </si>
  <si>
    <t>00540-1 - Marbete - Identificador de valijas tela folia</t>
  </si>
  <si>
    <t>MEDIDAS EN WEB</t>
  </si>
  <si>
    <t>02291 - Boligrafo de bambú puntera plástica de color</t>
  </si>
  <si>
    <t>02281 - Bolígrafo curvo cuerpo de color</t>
  </si>
  <si>
    <t xml:space="preserve">00946 - Set de notas adhesivas plástico frost </t>
  </si>
  <si>
    <t>00428 - Cutter chico cuerpo de color</t>
  </si>
  <si>
    <t>00312 - Destapador clásico de aluminio</t>
  </si>
  <si>
    <t xml:space="preserve">00117-1 - Copa de vino 21cm alto. Grabado laser </t>
  </si>
  <si>
    <t xml:space="preserve">00621 - Revolvedor de pintura blanco </t>
  </si>
  <si>
    <t xml:space="preserve">02254-1 - Bolígrafo cuerpo de color retráctil </t>
  </si>
  <si>
    <t>03001 - Dispenser de bolsas sanitarias para mascotas</t>
  </si>
  <si>
    <t>00268 - Calculadora blanca con detalle de color</t>
  </si>
  <si>
    <t>10489 - Destapador dos tiempos metálico</t>
  </si>
  <si>
    <t>00550 - Porta credenciales 11,5x9cm 4 bolsillos</t>
  </si>
  <si>
    <t>00916 - Cuaderno Plain tapa dura 21x14 cm con elástico</t>
  </si>
  <si>
    <t>00426-1 - Cutter chico cuerpo blanco</t>
  </si>
  <si>
    <r>
      <t xml:space="preserve">00900 - Paraguas gigante </t>
    </r>
    <r>
      <rPr>
        <b/>
        <sz val="8"/>
        <rFont val="Arial"/>
        <family val="2"/>
      </rPr>
      <t>combinado</t>
    </r>
    <r>
      <rPr>
        <sz val="8"/>
        <rFont val="Arial"/>
        <family val="2"/>
      </rPr>
      <t xml:space="preserve"> con sistema anti viento</t>
    </r>
  </si>
  <si>
    <t>PARAGUAS</t>
  </si>
  <si>
    <t>IR A PROD. SUBLIMADOS</t>
  </si>
  <si>
    <t xml:space="preserve">DOME FULL COLOR. Baño niquelado. </t>
  </si>
  <si>
    <t>02293 - Boligrafo Ecocereal slim medio giro</t>
  </si>
  <si>
    <t xml:space="preserve">00249 - Anotador plástico 10,5 x 8 cm con mini bolígrafo </t>
  </si>
  <si>
    <t>IP-T47 - Vaso 650ml aluminio terminación mate</t>
  </si>
  <si>
    <t xml:space="preserve">DOME FULL COLOR UN LADO. Baño niquelado. </t>
  </si>
  <si>
    <t>00983 - Set asado 2 platos s/cuero Tramontina mango plást.</t>
  </si>
  <si>
    <t xml:space="preserve">00091 - Porta Tarjeta de Crédito y SUBE       </t>
  </si>
  <si>
    <t>00640 - Espejo de mano tipo estuche con tapa</t>
  </si>
  <si>
    <t xml:space="preserve">P5530-1 - Gorro 100% poliester 6 gajos con abrojo </t>
  </si>
  <si>
    <r>
      <t xml:space="preserve">Recargo impresión adicional </t>
    </r>
    <r>
      <rPr>
        <b/>
        <sz val="9"/>
        <color rgb="FFFF0000"/>
        <rFont val="Arial"/>
        <family val="2"/>
      </rPr>
      <t xml:space="preserve">DIGITAL UV </t>
    </r>
  </si>
  <si>
    <r>
      <t xml:space="preserve">Recargo impresión adicional en </t>
    </r>
    <r>
      <rPr>
        <b/>
        <sz val="9"/>
        <color rgb="FFFF0000"/>
        <rFont val="Arial"/>
        <family val="2"/>
      </rPr>
      <t>TAMPOGRAFIA BOLIGRAFOS</t>
    </r>
  </si>
  <si>
    <r>
      <t xml:space="preserve">Recargo impresión al dorso </t>
    </r>
    <r>
      <rPr>
        <b/>
        <sz val="9"/>
        <color rgb="FFFF0000"/>
        <rFont val="Arial"/>
        <family val="2"/>
      </rPr>
      <t>DIGITAL UV BOLIGRAFOS</t>
    </r>
  </si>
  <si>
    <t>x2000</t>
  </si>
  <si>
    <t>x5000</t>
  </si>
  <si>
    <t>00823 - Cuaderno anillado 22x17cm 80 hojas rayadas</t>
  </si>
  <si>
    <t>02254-1</t>
  </si>
  <si>
    <t>Recargo impresión adicional tampografía bolígrafos mayores cantidades:</t>
  </si>
  <si>
    <t>LL-102</t>
  </si>
  <si>
    <t>00819 - Carpeta A4 con block de hojas y porta bolígrafo</t>
  </si>
  <si>
    <t>00815 - Agenda perpetua 22x17cm semanal anillada negra</t>
  </si>
  <si>
    <t>01080 - Vaso térmico Wagner® Zeit</t>
  </si>
  <si>
    <t>01081 - Vaso térmico Slazenger® Slice</t>
  </si>
  <si>
    <t xml:space="preserve">01043 - Vaso térmico acero tapa a rosca </t>
  </si>
  <si>
    <t>02246 - Lápiz negro Carpintero</t>
  </si>
  <si>
    <t>00686 - Neceser poliester con cierre y manija</t>
  </si>
  <si>
    <r>
      <t xml:space="preserve">00064 - Cubo Portalápices blanco </t>
    </r>
    <r>
      <rPr>
        <sz val="8"/>
        <color rgb="FFFF0000"/>
        <rFont val="Arial"/>
        <family val="2"/>
      </rPr>
      <t xml:space="preserve">CALENDARIO FULL COLOR </t>
    </r>
  </si>
  <si>
    <t xml:space="preserve">00416 - Llavero Goma Eva Óvalo con aro sin fin  </t>
  </si>
  <si>
    <t>00417 - Llavero Goma Eva Cuadrado con aro sin fin</t>
  </si>
  <si>
    <t>00418 - Llavero Goma Eva Rectangular con aro sin fin</t>
  </si>
  <si>
    <r>
      <t xml:space="preserve">00061 - Cubo Portalápices blanco </t>
    </r>
    <r>
      <rPr>
        <sz val="8"/>
        <color indexed="10"/>
        <rFont val="Arial"/>
        <family val="2"/>
      </rPr>
      <t>CALENDARIO IMP. 1 COLOR</t>
    </r>
  </si>
  <si>
    <t>11605 - Almanaque Paisajes 14 Hojas blanco - Logo full color</t>
  </si>
  <si>
    <r>
      <t xml:space="preserve">05008 - Cinta métrica 2 mts. </t>
    </r>
    <r>
      <rPr>
        <sz val="8"/>
        <color rgb="FFFF0000"/>
        <rFont val="Arial"/>
        <family val="2"/>
      </rPr>
      <t xml:space="preserve">con freno </t>
    </r>
    <r>
      <rPr>
        <sz val="8"/>
        <rFont val="Arial"/>
        <family val="2"/>
      </rPr>
      <t>y enganche cinturón</t>
    </r>
  </si>
  <si>
    <r>
      <t xml:space="preserve">05010 - Cinta métrica 3 mts. </t>
    </r>
    <r>
      <rPr>
        <sz val="8"/>
        <color rgb="FFFF0000"/>
        <rFont val="Arial"/>
        <family val="2"/>
      </rPr>
      <t>con freno</t>
    </r>
    <r>
      <rPr>
        <sz val="8"/>
        <rFont val="Arial"/>
        <family val="2"/>
      </rPr>
      <t xml:space="preserve"> y enganche cinturón</t>
    </r>
  </si>
  <si>
    <r>
      <t xml:space="preserve">05011 - Cinta métrica 2 mts. </t>
    </r>
    <r>
      <rPr>
        <sz val="8"/>
        <color rgb="FFFF0000"/>
        <rFont val="Arial"/>
        <family val="2"/>
      </rPr>
      <t>sin freno</t>
    </r>
    <r>
      <rPr>
        <sz val="8"/>
        <rFont val="Arial"/>
        <family val="2"/>
      </rPr>
      <t xml:space="preserve"> </t>
    </r>
  </si>
  <si>
    <r>
      <t xml:space="preserve">05012 - Cinta métrica 3 mts. </t>
    </r>
    <r>
      <rPr>
        <sz val="8"/>
        <color rgb="FFFF0000"/>
        <rFont val="Arial"/>
        <family val="2"/>
      </rPr>
      <t>sin freno</t>
    </r>
    <r>
      <rPr>
        <sz val="8"/>
        <rFont val="Arial"/>
        <family val="2"/>
      </rPr>
      <t xml:space="preserve"> </t>
    </r>
  </si>
  <si>
    <r>
      <t xml:space="preserve">T5201 - Delantal </t>
    </r>
    <r>
      <rPr>
        <b/>
        <sz val="8"/>
        <rFont val="Arial"/>
        <family val="2"/>
      </rPr>
      <t xml:space="preserve">Gabardina </t>
    </r>
    <r>
      <rPr>
        <sz val="8"/>
        <rFont val="Arial"/>
        <family val="2"/>
      </rPr>
      <t>con aplique y bolsillo</t>
    </r>
  </si>
  <si>
    <t>T5100 - Delantal jean con bolsillo</t>
  </si>
  <si>
    <t>T5201</t>
  </si>
  <si>
    <t>T5650 - Delantal 100% algodón beige con bolsillo</t>
  </si>
  <si>
    <t xml:space="preserve">P5533-1 - Gorro liso 5 gajos 100% poliester con abrojo </t>
  </si>
  <si>
    <t>02299 - Bolígrafo cuerpo de color</t>
  </si>
  <si>
    <t>00631 - Espejito plástico compacto redondo</t>
  </si>
  <si>
    <r>
      <t xml:space="preserve">00326 - Carpita inyectada posalapiz </t>
    </r>
    <r>
      <rPr>
        <sz val="8"/>
        <color rgb="FFFF0000"/>
        <rFont val="Arial"/>
        <family val="2"/>
      </rPr>
      <t>calendario y logo full color</t>
    </r>
  </si>
  <si>
    <r>
      <t xml:space="preserve">00322 - Carpita inyectada </t>
    </r>
    <r>
      <rPr>
        <sz val="8"/>
        <color rgb="FFFF0000"/>
        <rFont val="Arial"/>
        <family val="2"/>
      </rPr>
      <t>calendario y logo full color</t>
    </r>
  </si>
  <si>
    <t>CE-M13 - Taza recta blanca IMPORTADA AAA</t>
  </si>
  <si>
    <t>00426-1</t>
  </si>
  <si>
    <t xml:space="preserve">00373 - Holder Pop Up soporte para celular </t>
  </si>
  <si>
    <t>00309 - Llavero destapador con tira plástica logo rectangular</t>
  </si>
  <si>
    <t>00308 - Llavero destapador con tira plástica logo redondo</t>
  </si>
  <si>
    <t>00046-1MT - Llavero metálico con tira c/dome - OVALADO</t>
  </si>
  <si>
    <t>00046-4MT - Llavero metálico con tira c/dome - RECT. LARGO</t>
  </si>
  <si>
    <t>00046-5MT - Llavero metálico con tira c/dome - REDONDO</t>
  </si>
  <si>
    <t>00025 - Mate algarrobo cilindro</t>
  </si>
  <si>
    <t>01049 - Botella aluminio 650ml tapa con agarre</t>
  </si>
  <si>
    <t>01048 - Botella aluminio 660ml tapa con aro</t>
  </si>
  <si>
    <t>01050 - Botella aluminio 750ml con mosquetón</t>
  </si>
  <si>
    <t>01010 - Tabla premium EUCALIPTO asado 30x20x2 cm</t>
  </si>
  <si>
    <t>01011 - Tabla premium EUCALIPTO asado 50x30x2 cm</t>
  </si>
  <si>
    <t>02294 - Boligrafo medio giro blanco clip de color</t>
  </si>
  <si>
    <t>00046-1MT</t>
  </si>
  <si>
    <t>00046-4MT</t>
  </si>
  <si>
    <t>00046-5MT</t>
  </si>
  <si>
    <t>00540-1</t>
  </si>
  <si>
    <t>x1</t>
  </si>
  <si>
    <t>00687 - Mochila morral cruzada con USB</t>
  </si>
  <si>
    <t>x20</t>
  </si>
  <si>
    <t>x200+</t>
  </si>
  <si>
    <t>00833 - Cuaderno símil cuero 21x14,5cm 100 hojas rayadas</t>
  </si>
  <si>
    <t>P5556 - Gorro Trucker Camionero con red frente blanco</t>
  </si>
  <si>
    <t>00711 - Mochila poliester 300D con cinta para carry on y USB</t>
  </si>
  <si>
    <t>En Remeras manga corta o larga, Buzos y Chombas estampados en tranfer digital el precio incluye logo hasta 150cm2 (ejemplo 10x15cm)</t>
  </si>
  <si>
    <t>EN TODOS LOS PRODUCTOS BORDADOS SE DEBE ENVIAR EL LOGO PARA CONFIRMAR PRECIO</t>
  </si>
  <si>
    <t>Full color hasta 200 cm2</t>
  </si>
  <si>
    <t>Full color hasta 600 cm2</t>
  </si>
  <si>
    <t>Full color hasta 400 cm2</t>
  </si>
  <si>
    <t>Full color hasta 50 cm2</t>
  </si>
  <si>
    <t>MOCHILAS Y BOLSOS ESTAMPADOS FULL COLOR HASTA 50cm2</t>
  </si>
  <si>
    <t>RECARGOS POR CADA ESTAMPADO ADICIONAL EN TRANSFER DIGITAL FULL COLOR EN REMERAS, BUZOS Y CHOMBAS</t>
  </si>
  <si>
    <t>IMPRESIÓN DE AMBOS LADOS FULL COLOR SIN FONDO PLENO</t>
  </si>
  <si>
    <t>00423C - Llavero acrílico 3mm imp. full color cuadrado 4x4cm</t>
  </si>
  <si>
    <t>00423B - Llavero acrílico 3mm imp. full color redondo 4cm</t>
  </si>
  <si>
    <t>00423F - Llavero acrílico 3mm imp. full color formato especial</t>
  </si>
  <si>
    <t>00423D - Llavero acrílico 3mm imp. full color ovalado 6x3cm</t>
  </si>
  <si>
    <t>00423A - Llavero acrílico 3mm imp. full color rectangular 6x3cm</t>
  </si>
  <si>
    <t>IMP. UN LADO FONDO BLANCO</t>
  </si>
  <si>
    <t>IMP. DOS LADOS FONDO COLOR</t>
  </si>
  <si>
    <t>IR A CUADERNOS</t>
  </si>
  <si>
    <t xml:space="preserve">00935 - Cuaderno eco 18x14cm con bolígrafo y notas </t>
  </si>
  <si>
    <t>00962 - Cuaderno espiralado 21x14cm c/bolígrafo y estuche</t>
  </si>
  <si>
    <t>02350 - Bolígrafo metálico mate touch destape plateado</t>
  </si>
  <si>
    <t>01030 - Botella reutilizable PET transparente tapa PP 600ml</t>
  </si>
  <si>
    <t xml:space="preserve">01031 - Botella reutilizable PET pastel tapa PP 600ml </t>
  </si>
  <si>
    <t>01028 - Botella aluminio 750ml tapa de acero y bambú</t>
  </si>
  <si>
    <t>00880B</t>
  </si>
  <si>
    <t>00881B</t>
  </si>
  <si>
    <t>00710 - Mochila H04 poliester 300D con USB</t>
  </si>
  <si>
    <t>00714 - Mochila cierre oculto poliester 300D con USB</t>
  </si>
  <si>
    <t>Estampado adicional transfer por gajo logo hasta 200cm2</t>
  </si>
  <si>
    <t>Estampado adicional sublimación por cada gajo logo hasta A4</t>
  </si>
  <si>
    <t>Estampado adicional transfer logo hasta 50cm2</t>
  </si>
  <si>
    <t>01057 - Jarro térmico acero y plástico 350ml</t>
  </si>
  <si>
    <r>
      <t>00403-4 - Pen Drive</t>
    </r>
    <r>
      <rPr>
        <b/>
        <sz val="8"/>
        <color indexed="10"/>
        <rFont val="Arial"/>
        <family val="2"/>
      </rPr>
      <t xml:space="preserve"> 32 GB </t>
    </r>
    <r>
      <rPr>
        <sz val="8"/>
        <rFont val="Arial"/>
        <family val="2"/>
      </rPr>
      <t>metálico giratorio</t>
    </r>
    <r>
      <rPr>
        <sz val="8"/>
        <color indexed="10"/>
        <rFont val="Arial"/>
        <family val="2"/>
      </rPr>
      <t xml:space="preserve"> </t>
    </r>
  </si>
  <si>
    <t>00403-4</t>
  </si>
  <si>
    <t>00404-4</t>
  </si>
  <si>
    <r>
      <t xml:space="preserve">00404-4 - Pen Drive Tarjeta </t>
    </r>
    <r>
      <rPr>
        <b/>
        <sz val="8"/>
        <color rgb="FFFF0000"/>
        <rFont val="Arial"/>
        <family val="2"/>
      </rPr>
      <t>32 GB</t>
    </r>
    <r>
      <rPr>
        <b/>
        <sz val="8"/>
        <color indexed="10"/>
        <rFont val="Arial"/>
        <family val="2"/>
      </rPr>
      <t xml:space="preserve"> </t>
    </r>
    <r>
      <rPr>
        <sz val="8"/>
        <rFont val="Arial"/>
        <family val="2"/>
      </rPr>
      <t xml:space="preserve">con funda    </t>
    </r>
    <r>
      <rPr>
        <b/>
        <sz val="8"/>
        <color indexed="10"/>
        <rFont val="Arial"/>
        <family val="2"/>
      </rPr>
      <t xml:space="preserve">   </t>
    </r>
  </si>
  <si>
    <t>00413-4</t>
  </si>
  <si>
    <r>
      <t>00413-4 - Pen Drive</t>
    </r>
    <r>
      <rPr>
        <b/>
        <sz val="8"/>
        <color indexed="10"/>
        <rFont val="Arial"/>
        <family val="2"/>
      </rPr>
      <t xml:space="preserve"> 32 GB</t>
    </r>
    <r>
      <rPr>
        <sz val="8"/>
        <rFont val="Arial"/>
        <family val="2"/>
      </rPr>
      <t xml:space="preserve"> bambu giratorio</t>
    </r>
  </si>
  <si>
    <t>00406-4</t>
  </si>
  <si>
    <r>
      <t>00406-4 - Pen Drive</t>
    </r>
    <r>
      <rPr>
        <sz val="8"/>
        <color indexed="10"/>
        <rFont val="Arial"/>
        <family val="2"/>
      </rPr>
      <t xml:space="preserve"> </t>
    </r>
    <r>
      <rPr>
        <b/>
        <sz val="8"/>
        <color indexed="10"/>
        <rFont val="Arial"/>
        <family val="2"/>
      </rPr>
      <t xml:space="preserve">32 GB </t>
    </r>
    <r>
      <rPr>
        <sz val="8"/>
        <rFont val="Arial"/>
        <family val="2"/>
      </rPr>
      <t xml:space="preserve">metálico giratorio </t>
    </r>
  </si>
  <si>
    <t>00403-5</t>
  </si>
  <si>
    <r>
      <t>00403-5 - Pen Drive</t>
    </r>
    <r>
      <rPr>
        <b/>
        <sz val="8"/>
        <color indexed="10"/>
        <rFont val="Arial"/>
        <family val="2"/>
      </rPr>
      <t xml:space="preserve"> 64 GB </t>
    </r>
    <r>
      <rPr>
        <sz val="8"/>
        <rFont val="Arial"/>
        <family val="2"/>
      </rPr>
      <t>metálico giratorio</t>
    </r>
    <r>
      <rPr>
        <sz val="8"/>
        <color indexed="10"/>
        <rFont val="Arial"/>
        <family val="2"/>
      </rPr>
      <t xml:space="preserve"> </t>
    </r>
  </si>
  <si>
    <t>02292 - Boligrafo ecológico fibra de trigo medio giro</t>
  </si>
  <si>
    <t>00834 - Cuaderno A5 tapa dura PU 21x14cm hojas lisas</t>
  </si>
  <si>
    <t>IMP. FULL COLOR DE UN LADO SIN FONDO PLENO. CON FONDO 40% MAS</t>
  </si>
  <si>
    <t>00836 - Set escritorio con notas y mini bolígrafo</t>
  </si>
  <si>
    <t>00936 - Set escritorio con notas y mini bolígrafo</t>
  </si>
  <si>
    <t>00829 - Anotador ecológico 14 x 7,4 cm con bolígrafo</t>
  </si>
  <si>
    <t>00642 - Cooler lunchera best value poliester 20x14x12,5cm</t>
  </si>
  <si>
    <t>00643 - Cooler lunchera box 24x22x17cm</t>
  </si>
  <si>
    <t>00528 - Marbete - Identificador de valijas PP con precinto</t>
  </si>
  <si>
    <t>00742 - Neceser Barber 22 x 11 x 11 cm</t>
  </si>
  <si>
    <t>00743 - Neceser Cosmetic 20 x 11,5 x 14 cm</t>
  </si>
  <si>
    <r>
      <t xml:space="preserve">00907B - Paraguas gigante reforzado automático </t>
    </r>
    <r>
      <rPr>
        <b/>
        <sz val="8"/>
        <rFont val="Arial"/>
        <family val="2"/>
      </rPr>
      <t>BLANCO</t>
    </r>
  </si>
  <si>
    <r>
      <t xml:space="preserve">00888 - Paraguas gigante reforzado </t>
    </r>
    <r>
      <rPr>
        <b/>
        <sz val="8"/>
        <rFont val="Arial"/>
        <family val="2"/>
      </rPr>
      <t>plateado o azul</t>
    </r>
  </si>
  <si>
    <t>00878B</t>
  </si>
  <si>
    <r>
      <t xml:space="preserve">00899 - Paraguas gigante </t>
    </r>
    <r>
      <rPr>
        <b/>
        <sz val="8"/>
        <rFont val="Arial"/>
        <family val="2"/>
      </rPr>
      <t>COMBINADO O BLANCO</t>
    </r>
  </si>
  <si>
    <t>00348 - Pad Mouse Full Color esmerilado 21x19cm</t>
  </si>
  <si>
    <t xml:space="preserve">00415 - Llavero Goma Eva Capilla con aro sin fin          </t>
  </si>
  <si>
    <t>01003 - Tabla pino para asado 18,5 x 24 sin agujero</t>
  </si>
  <si>
    <t>00303 - Cinta full print doble faz con doble mosquetón simple</t>
  </si>
  <si>
    <r>
      <t xml:space="preserve">P5525C - Remera Blanca </t>
    </r>
    <r>
      <rPr>
        <sz val="8"/>
        <rFont val="Arial"/>
        <family val="2"/>
      </rPr>
      <t xml:space="preserve">100% algodón 24/1  </t>
    </r>
  </si>
  <si>
    <t>P5527C - Remera Color 100% algodón 24/1</t>
  </si>
  <si>
    <t>02202-3 - Bolígrafo medio giro TOUCH</t>
  </si>
  <si>
    <r>
      <t xml:space="preserve">00899N - Paraguas gigante </t>
    </r>
    <r>
      <rPr>
        <b/>
        <sz val="8"/>
        <rFont val="Arial"/>
        <family val="2"/>
      </rPr>
      <t>NEGRO</t>
    </r>
  </si>
  <si>
    <t>00899N</t>
  </si>
  <si>
    <t>00907B</t>
  </si>
  <si>
    <t>02202-3</t>
  </si>
  <si>
    <t>P5556L - Gorro Trucker Camionero con red color oscuro</t>
  </si>
  <si>
    <t>P5556L</t>
  </si>
  <si>
    <t>T6100</t>
  </si>
  <si>
    <t>T6105</t>
  </si>
  <si>
    <t>T6200</t>
  </si>
  <si>
    <t>02261 - Bolígrafo cuerpo plástico puntera y pulsador silver</t>
  </si>
  <si>
    <t>10485 - Destapador de metal y bambú</t>
  </si>
  <si>
    <t>10485</t>
  </si>
  <si>
    <t>LL-109</t>
  </si>
  <si>
    <t>LL-109 - Llavero de metal y bambu rectangular con estuche</t>
  </si>
  <si>
    <t>00270 - Reloj de viaje tapa rebatible</t>
  </si>
  <si>
    <t>T5100</t>
  </si>
  <si>
    <t>T5650</t>
  </si>
  <si>
    <t>LLAVEROS DE GOMA EVA EN PLANCHAS 27x18,5cm TROQUELADAS</t>
  </si>
  <si>
    <r>
      <t xml:space="preserve">x30 o más            </t>
    </r>
    <r>
      <rPr>
        <sz val="8"/>
        <rFont val="Arial"/>
        <family val="2"/>
      </rPr>
      <t xml:space="preserve"> </t>
    </r>
    <r>
      <rPr>
        <sz val="8"/>
        <color indexed="10"/>
        <rFont val="Arial"/>
        <family val="2"/>
      </rPr>
      <t>PRECIO NETO SIN DESCUENTO</t>
    </r>
  </si>
  <si>
    <t>T6105 - Lona Playera Grande XL Lisa con hilo de color</t>
  </si>
  <si>
    <t xml:space="preserve">02260 - Bolígrafo plástico medio giro clip metálico </t>
  </si>
  <si>
    <t>02266 - Roller Touch con capuchón porta celular</t>
  </si>
  <si>
    <t>02262 - Bolígrafo plástico con grip de goma</t>
  </si>
  <si>
    <t xml:space="preserve">CONSULTAR PRECIOS. GRABADOS A FUEGO BAJO RELIEVE. TIEMPO DE PRODUCCION ENTRE 20 y 30 DÍAS. </t>
  </si>
  <si>
    <t>00896 - Paraguas gigante reforzado combinado o blanco</t>
  </si>
  <si>
    <t>00045 - Encendedor blanco impreso de un lado</t>
  </si>
  <si>
    <r>
      <t xml:space="preserve">00875B - Paraguas automático </t>
    </r>
    <r>
      <rPr>
        <b/>
        <sz val="8"/>
        <rFont val="Arial"/>
        <family val="2"/>
      </rPr>
      <t>BLANCO</t>
    </r>
  </si>
  <si>
    <r>
      <t xml:space="preserve">00875 - Paraguas automático </t>
    </r>
    <r>
      <rPr>
        <b/>
        <sz val="8"/>
        <rFont val="Arial"/>
        <family val="2"/>
      </rPr>
      <t>COLOR</t>
    </r>
  </si>
  <si>
    <r>
      <t xml:space="preserve">00880B - Paraguas rPet reciclado automático </t>
    </r>
    <r>
      <rPr>
        <b/>
        <sz val="8"/>
        <rFont val="Arial"/>
        <family val="2"/>
      </rPr>
      <t>BLANCO</t>
    </r>
  </si>
  <si>
    <r>
      <t xml:space="preserve">00880 - Paraguas rPet reciclado automático </t>
    </r>
    <r>
      <rPr>
        <b/>
        <sz val="8"/>
        <rFont val="Arial"/>
        <family val="2"/>
      </rPr>
      <t>COLOR</t>
    </r>
  </si>
  <si>
    <r>
      <t xml:space="preserve">00881B - Paraguas retractil mini </t>
    </r>
    <r>
      <rPr>
        <b/>
        <sz val="8"/>
        <rFont val="Arial"/>
        <family val="2"/>
      </rPr>
      <t>BLANCO</t>
    </r>
    <r>
      <rPr>
        <sz val="8"/>
        <rFont val="Arial"/>
        <family val="2"/>
      </rPr>
      <t xml:space="preserve"> con estuche mochila</t>
    </r>
  </si>
  <si>
    <r>
      <t xml:space="preserve">00881 - Paraguas retractil mini </t>
    </r>
    <r>
      <rPr>
        <b/>
        <sz val="8"/>
        <rFont val="Arial"/>
        <family val="2"/>
      </rPr>
      <t>COLOR</t>
    </r>
    <r>
      <rPr>
        <sz val="8"/>
        <rFont val="Arial"/>
        <family val="2"/>
      </rPr>
      <t xml:space="preserve"> con estuche mochila</t>
    </r>
  </si>
  <si>
    <r>
      <t xml:space="preserve">00882 - Paraguas ejecutivo automático </t>
    </r>
    <r>
      <rPr>
        <b/>
        <sz val="8"/>
        <rFont val="Arial"/>
        <family val="2"/>
      </rPr>
      <t>COLOR</t>
    </r>
  </si>
  <si>
    <r>
      <t xml:space="preserve">00907 - Paraguas gigante reforzado automático </t>
    </r>
    <r>
      <rPr>
        <b/>
        <sz val="8"/>
        <rFont val="Arial"/>
        <family val="2"/>
      </rPr>
      <t>COLOR</t>
    </r>
  </si>
  <si>
    <r>
      <t xml:space="preserve">00906 - Paraguas gigante </t>
    </r>
    <r>
      <rPr>
        <b/>
        <sz val="8"/>
        <rFont val="Arial"/>
        <family val="2"/>
      </rPr>
      <t>COMBINADO</t>
    </r>
    <r>
      <rPr>
        <sz val="8"/>
        <rFont val="Arial"/>
        <family val="2"/>
      </rPr>
      <t xml:space="preserve"> sistema anti viento</t>
    </r>
  </si>
  <si>
    <r>
      <t xml:space="preserve">00906 - Paraguas gigante </t>
    </r>
    <r>
      <rPr>
        <b/>
        <sz val="8"/>
        <rFont val="Arial"/>
        <family val="2"/>
      </rPr>
      <t>COLOR</t>
    </r>
    <r>
      <rPr>
        <sz val="8"/>
        <rFont val="Arial"/>
        <family val="2"/>
      </rPr>
      <t xml:space="preserve"> sistema anti viento</t>
    </r>
  </si>
  <si>
    <t>00875B</t>
  </si>
  <si>
    <t>02352 - Bolígrafo metal y bambú touch</t>
  </si>
  <si>
    <r>
      <t xml:space="preserve">02252 - Bolígrafo Ecológico cartón reciclado </t>
    </r>
    <r>
      <rPr>
        <b/>
        <sz val="8"/>
        <rFont val="Arial"/>
        <family val="2"/>
      </rPr>
      <t>TRAZO NEGRO</t>
    </r>
  </si>
  <si>
    <t xml:space="preserve">02180 - Bolígrafo con supertanque grip de goma </t>
  </si>
  <si>
    <t>01005 - Tabla pino para asado  18,5 x 30 cm con agujero</t>
  </si>
  <si>
    <t>01004 - Tabla pino 3 espacios p/picada 18,5 x 30cm c/agujero</t>
  </si>
  <si>
    <t>P5598-1- Gorro urbano 6 gajos con red</t>
  </si>
  <si>
    <t>P5598-1</t>
  </si>
  <si>
    <t>02290 - Boligrafo corcho y plástico reciclado</t>
  </si>
  <si>
    <t>02231 - Boligrafo con pulsador y puntera metalizada</t>
  </si>
  <si>
    <t>00887B</t>
  </si>
  <si>
    <t>00826 - Cuaderno A5 tapa dura blanca 21x14 cm con elástico</t>
  </si>
  <si>
    <t>00828 - Cuaderno A5 tapa dura color 21x14 cm con elástico</t>
  </si>
  <si>
    <t>05003-1</t>
  </si>
  <si>
    <t>00015 - Regla 30 cm alto impacto 1,5mm calendario full color</t>
  </si>
  <si>
    <t>00013 - Regla 20 cm alto impacto 1mm</t>
  </si>
  <si>
    <t>00821 - Cuaderno de corcho reciclado A5 - 21x14cm</t>
  </si>
  <si>
    <t>02343 - Roller metálico negro mate engomado con estuche</t>
  </si>
  <si>
    <t>02342 - Bolígrafo metálico negro mate engomado con estuche</t>
  </si>
  <si>
    <t>02348R - Roller metálico negro mate con estuche</t>
  </si>
  <si>
    <r>
      <t xml:space="preserve">02232 - Boligrafo plástico blanco </t>
    </r>
    <r>
      <rPr>
        <b/>
        <sz val="8"/>
        <color rgb="FF0070C0"/>
        <rFont val="Arial"/>
        <family val="2"/>
      </rPr>
      <t>TRAZO AZUL</t>
    </r>
  </si>
  <si>
    <t>00744 - Neceser Turista microfibra 20 x 16 x 8,5 cm</t>
  </si>
  <si>
    <t>00874 - Paraguas gigante automático mango eva</t>
  </si>
  <si>
    <r>
      <t xml:space="preserve">00878B - Paraguas ejecutivo automático </t>
    </r>
    <r>
      <rPr>
        <b/>
        <sz val="8"/>
        <rFont val="Arial"/>
        <family val="2"/>
      </rPr>
      <t>BLANCO</t>
    </r>
  </si>
  <si>
    <r>
      <t xml:space="preserve">00878 - Paraguas ejecutivo automático </t>
    </r>
    <r>
      <rPr>
        <b/>
        <sz val="8"/>
        <rFont val="Arial"/>
        <family val="2"/>
      </rPr>
      <t>COLOR</t>
    </r>
  </si>
  <si>
    <r>
      <t xml:space="preserve">00887 - Paraguas gigante reforzado </t>
    </r>
    <r>
      <rPr>
        <b/>
        <sz val="8"/>
        <rFont val="Arial"/>
        <family val="2"/>
      </rPr>
      <t>COLOR</t>
    </r>
    <r>
      <rPr>
        <sz val="8"/>
        <rFont val="Arial"/>
        <family val="2"/>
      </rPr>
      <t xml:space="preserve"> mango madera </t>
    </r>
  </si>
  <si>
    <r>
      <t xml:space="preserve">00887B - Paraguas gigante reforzado </t>
    </r>
    <r>
      <rPr>
        <b/>
        <sz val="8"/>
        <rFont val="Arial"/>
        <family val="2"/>
      </rPr>
      <t>BLANCO</t>
    </r>
    <r>
      <rPr>
        <sz val="8"/>
        <rFont val="Arial"/>
        <family val="2"/>
      </rPr>
      <t xml:space="preserve"> mango madera </t>
    </r>
  </si>
  <si>
    <t>00018 - Mate térmico premium de acero con bombilla y caja</t>
  </si>
  <si>
    <t>00423F</t>
  </si>
  <si>
    <t>00423B</t>
  </si>
  <si>
    <t>00423D</t>
  </si>
  <si>
    <t>00423C</t>
  </si>
  <si>
    <t>00423E</t>
  </si>
  <si>
    <t>00423E - Llavero acrílico 3mm imp. full color casita 5x4,7cm</t>
  </si>
  <si>
    <t>00423A</t>
  </si>
  <si>
    <t>40/01 - Juego cuchillo y tenedor parrillero en caja</t>
  </si>
  <si>
    <t>40/01</t>
  </si>
  <si>
    <t>46/01 - Tabla premium bambú 40x30cm con cuchilla y afilador</t>
  </si>
  <si>
    <t>46/01</t>
  </si>
  <si>
    <t>00991</t>
  </si>
  <si>
    <t>00991 - Set parrillero grande premium 3 piezas en estuche</t>
  </si>
  <si>
    <t>00995 - Set parrillero 4 piezas en estuche</t>
  </si>
  <si>
    <t>00995</t>
  </si>
  <si>
    <t>00792 - Set de herramientas 11 piezas en estuche</t>
  </si>
  <si>
    <t>00792</t>
  </si>
  <si>
    <t>00721 - Bolso Voyage poliester 600D 45 litros</t>
  </si>
  <si>
    <t>00720 - Bolso deportivo WRKT poliester 600D 68 litros</t>
  </si>
  <si>
    <t>00716 - Mochila SGT Poliéster 300D + Snow 9 litros</t>
  </si>
  <si>
    <t>00718 - Mochila Waterproof impermeable portanotebook 11 Lt</t>
  </si>
  <si>
    <t>00717 - Mochila Executive 13,5Lt poliéster 600D alta densidad</t>
  </si>
  <si>
    <t>00600 - Maletin poliéster 600D 12 litros 40x30x10 cm</t>
  </si>
  <si>
    <t>00584 - Bolso Matero Polycanvas gris 10 litros</t>
  </si>
  <si>
    <t>00582 - Bolso Mochila Matero gris 12 litros</t>
  </si>
  <si>
    <t>00580 - Bolso Matero gris con división 10 litros</t>
  </si>
  <si>
    <t>00577 - Mochila SLAZENGER® Mochila Walking 20 litros</t>
  </si>
  <si>
    <t>00609 - Mochila NOMAWALK® City 11 litros</t>
  </si>
  <si>
    <t>00611 - Mochila NOMAWALK® Funcional 14 litros</t>
  </si>
  <si>
    <t>00657 - Mochila Corp 14 litros</t>
  </si>
  <si>
    <t>00658 - Mochila Basic 14 litros</t>
  </si>
  <si>
    <t>00659 - Mochila Promobag 17 litros</t>
  </si>
  <si>
    <t>00660 - Mochila chica Eco Bag 10 litros</t>
  </si>
  <si>
    <t>00694 - Mochila Classic 15 litros</t>
  </si>
  <si>
    <t>00698 - Mochila HL poliester 15 litros</t>
  </si>
  <si>
    <t>00599 - Mochila Duomo porta notebook polycanvas 17 litros</t>
  </si>
  <si>
    <t>00570 - Mochila Urban porta notebook poliéster 600D 14 litros</t>
  </si>
  <si>
    <t>IR A MOCHILAS - BOLSOS - ETC</t>
  </si>
  <si>
    <t>IR A ART. DE CUERO - CUCHILLERIA</t>
  </si>
  <si>
    <r>
      <t xml:space="preserve">00873 - Paraguas mini </t>
    </r>
    <r>
      <rPr>
        <b/>
        <sz val="8"/>
        <rFont val="Arial"/>
        <family val="2"/>
      </rPr>
      <t>COLOR</t>
    </r>
    <r>
      <rPr>
        <sz val="8"/>
        <rFont val="Arial"/>
        <family val="2"/>
      </rPr>
      <t xml:space="preserve"> varillas metálicas</t>
    </r>
  </si>
  <si>
    <r>
      <t xml:space="preserve">00873B - Paraguas mini </t>
    </r>
    <r>
      <rPr>
        <b/>
        <sz val="8"/>
        <rFont val="Arial"/>
        <family val="2"/>
      </rPr>
      <t>BLANCO</t>
    </r>
    <r>
      <rPr>
        <sz val="8"/>
        <rFont val="Arial"/>
        <family val="2"/>
      </rPr>
      <t xml:space="preserve"> varillas metálicas</t>
    </r>
  </si>
  <si>
    <r>
      <t xml:space="preserve">00876 - Paraguas ejecutivo </t>
    </r>
    <r>
      <rPr>
        <b/>
        <sz val="8"/>
        <rFont val="Arial"/>
        <family val="2"/>
      </rPr>
      <t>COLOR</t>
    </r>
    <r>
      <rPr>
        <sz val="8"/>
        <rFont val="Arial"/>
        <family val="2"/>
      </rPr>
      <t xml:space="preserve"> automático</t>
    </r>
  </si>
  <si>
    <t>00266 - Reloj de bambú 30cm diám agujas de metal</t>
  </si>
  <si>
    <t>00266</t>
  </si>
  <si>
    <t>00873B</t>
  </si>
  <si>
    <r>
      <t xml:space="preserve">T5300 - Delantal </t>
    </r>
    <r>
      <rPr>
        <b/>
        <sz val="8"/>
        <rFont val="Arial"/>
        <family val="2"/>
      </rPr>
      <t>CAMPARY</t>
    </r>
    <r>
      <rPr>
        <sz val="8"/>
        <rFont val="Arial"/>
        <family val="2"/>
      </rPr>
      <t xml:space="preserve"> jean con cuero, aplique y bolsillos</t>
    </r>
  </si>
  <si>
    <t>T5300</t>
  </si>
  <si>
    <t>P5539-1V - Buzo Blanco 100% algodón</t>
  </si>
  <si>
    <t>P5540-1V - Buzo Color 100% algodón</t>
  </si>
  <si>
    <t>02348R</t>
  </si>
  <si>
    <t>00886B</t>
  </si>
  <si>
    <r>
      <t xml:space="preserve">00886B - Paraguas ejecutivo automático </t>
    </r>
    <r>
      <rPr>
        <b/>
        <sz val="8"/>
        <rFont val="Arial"/>
        <family val="2"/>
      </rPr>
      <t>BLANCO</t>
    </r>
  </si>
  <si>
    <r>
      <t xml:space="preserve">00886 - Paraguas ejecutivo automático </t>
    </r>
    <r>
      <rPr>
        <b/>
        <sz val="8"/>
        <rFont val="Arial"/>
        <family val="2"/>
      </rPr>
      <t>COLOR</t>
    </r>
  </si>
  <si>
    <t>00668 - Organizador de electrónica FLM</t>
  </si>
  <si>
    <t>00667 - Organizador de electrónica TDB</t>
  </si>
  <si>
    <t>01042 - Botella de acero inoxidable tapa a rosca 750 ml</t>
  </si>
  <si>
    <t>01041 - Botella de acero inoxidable 800 ml tapa con tira</t>
  </si>
  <si>
    <t xml:space="preserve">IP-T46C -  Chop 800ml aluminio </t>
  </si>
  <si>
    <t>00307 - Llavero destapador de aluminio</t>
  </si>
  <si>
    <t>00301 - Cinta colgante 20mm con aro sin fin</t>
  </si>
  <si>
    <t xml:space="preserve">00301-1 - Cinta colgante 20mm con mosquetón alambre </t>
  </si>
  <si>
    <t>00301-2 - Cinta colgante 20mm mosq. gatillo zamak</t>
  </si>
  <si>
    <r>
      <t xml:space="preserve">02233 - Boligrafo </t>
    </r>
    <r>
      <rPr>
        <b/>
        <sz val="8"/>
        <rFont val="Arial"/>
        <family val="2"/>
      </rPr>
      <t>PAPER MATE®</t>
    </r>
    <r>
      <rPr>
        <sz val="8"/>
        <rFont val="Arial"/>
        <family val="2"/>
      </rPr>
      <t xml:space="preserve"> INKJOY 300RT</t>
    </r>
  </si>
  <si>
    <t xml:space="preserve">02234 - Bolígrafo blanco óvalo de color (imp. ambos lados) </t>
  </si>
  <si>
    <t>02234-1 - Boligrafo de color óvalo blanco (imp. ambos lados)</t>
  </si>
  <si>
    <t>M-37</t>
  </si>
  <si>
    <t>M-37  - Llavero cinta poliester con mosquetón metálico</t>
  </si>
  <si>
    <t>00088-1 - Broche sujeta papel con iman</t>
  </si>
  <si>
    <t>00088-1</t>
  </si>
  <si>
    <t>CE-M13</t>
  </si>
  <si>
    <t>IP-T12M</t>
  </si>
  <si>
    <t>IP-T21</t>
  </si>
  <si>
    <t>00572-1</t>
  </si>
  <si>
    <t>00586 - Bolso Matero negro con simil gamuza</t>
  </si>
  <si>
    <r>
      <t xml:space="preserve">05003 - Llavero Cinta Métrica 1 metro con dome </t>
    </r>
    <r>
      <rPr>
        <b/>
        <sz val="8"/>
        <rFont val="Arial"/>
        <family val="2"/>
      </rPr>
      <t>UN LADO</t>
    </r>
  </si>
  <si>
    <t>05003-1 - Llavero Cinta Métrica 1M imp. full color ambos lados</t>
  </si>
  <si>
    <t xml:space="preserve">00933 - Anotador ecológico 14x9 cm con bolígrafo </t>
  </si>
  <si>
    <t>00917 - Cuaderno Tapa Corcho 21x14 cm con elástico</t>
  </si>
  <si>
    <t>00924-1 - Cuaderno ecológico hojas rayadas - Nuevo modelo</t>
  </si>
  <si>
    <t>00924-1</t>
  </si>
  <si>
    <t>00301-4 - Cinta colgante 20mm mosq. zamak anzuelo</t>
  </si>
  <si>
    <t>00302-4 - Cinta colgante blanca 20mm mosq. zamak anzuelo</t>
  </si>
  <si>
    <t>00301-6 - Cinta colgante 20mm mosq. plástico anzuelo</t>
  </si>
  <si>
    <t>00301-4</t>
  </si>
  <si>
    <t>00302-4</t>
  </si>
  <si>
    <t>00302-6 - Cinta colgante blanca 20mm mosq. plástico anzuelo</t>
  </si>
  <si>
    <t>00301-6</t>
  </si>
  <si>
    <t>00302-6</t>
  </si>
  <si>
    <t>01045 - Vaso térmico acero PAMPERO® MAIPO 600 ml</t>
  </si>
  <si>
    <t xml:space="preserve">01052 - Vaso térmico doble pared acero y plástico </t>
  </si>
  <si>
    <t>00466 - Destapador plástico y metal con iman para heladera</t>
  </si>
  <si>
    <t>CON LOGO IMPRESO / GRABADO SEGÚN PRODUCTO</t>
  </si>
  <si>
    <t>CON LOGO FULL COLOR</t>
  </si>
  <si>
    <t>M-51</t>
  </si>
  <si>
    <t>00311 - Llavero destapador de aluminio</t>
  </si>
  <si>
    <t>00920L - Cuaderno Eco cuero soft mate 21x14 cm hoja lisa</t>
  </si>
  <si>
    <t>00920 - Cuaderno Eco cuero soft mate 21x14 cm hoja rayada</t>
  </si>
  <si>
    <t>00920L</t>
  </si>
  <si>
    <t>02235 - Boligrafo plástico blanco medio giro</t>
  </si>
  <si>
    <t>CON LOGO ESTAMPADO TRANSFER FULL COLOR</t>
  </si>
  <si>
    <t>PRODUCTOS SUBLIMADOS</t>
  </si>
  <si>
    <t>00014 - Regla 30 cm alto impacto 1,5mm</t>
  </si>
  <si>
    <t xml:space="preserve">02130 - Bolígrafo mostrador con base cuadrada adhesiva </t>
  </si>
  <si>
    <t xml:space="preserve">02131 - Bolígrafo mostrador con base triangular adhesiva </t>
  </si>
  <si>
    <t>02241 - Mini lápiz negro color natural con goma</t>
  </si>
  <si>
    <t>02245-1</t>
  </si>
  <si>
    <t>02245-1 - Lápiz negro madera natural con punta con goma</t>
  </si>
  <si>
    <t>02245 - Lápiz negro madera natural con punta sin goma</t>
  </si>
  <si>
    <t>LL-102 - Llavero de aluminio con forma de HUESO</t>
  </si>
  <si>
    <t>02503 - Tubo con 12 mini lápices de colores con saca puntas</t>
  </si>
  <si>
    <t xml:space="preserve">P5533 - Gorro Liso 5 gajos algodón y poliester con abrojo </t>
  </si>
  <si>
    <t>11610 - Repuesto de almanaque 2025</t>
  </si>
  <si>
    <t>11604 - Almanaque 2025 Paisajes 14 Hojas - Logo 1 color</t>
  </si>
  <si>
    <t>02247 - Set escolar Eco con regla lápices goma sacapuntas</t>
  </si>
  <si>
    <t>02327 - Bolígrafo metálico touch</t>
  </si>
  <si>
    <t>00825 - Cuaderno chico blanco tapa dura 14 x 9 cm</t>
  </si>
  <si>
    <t xml:space="preserve">00831 - Cuaderno A5 tapa dura negra 21x14 cm </t>
  </si>
  <si>
    <t>00325 - Carpita inyectada posalapiz calendario 2 colores</t>
  </si>
  <si>
    <t>00321 - Carpita inyectada calendario 2 colores</t>
  </si>
  <si>
    <t>IR A PAGINA 2</t>
  </si>
  <si>
    <t>00675 - Neceser poliester con gancho</t>
  </si>
  <si>
    <t>EN PRODUCTOS CON IMPRESION EN 2 LADOS LOS RECARGOS SE COBRAN DOBLES. (Ej. Art. 00060/00061/00062/00063 etc.)</t>
  </si>
  <si>
    <t>00719 - Mochila portanotebook QS 15 litros</t>
  </si>
  <si>
    <t>00963 - Cuaderno Eco espiralado con cartuchera y útiles</t>
  </si>
  <si>
    <t>00426 - Cutter chico cuerpo blanco</t>
  </si>
  <si>
    <t>01029 - Botella reutilizable PET blanca tapa PP 600ml</t>
  </si>
  <si>
    <t>02345TA - Bolígrafo Touch metálico negro mate con estuche</t>
  </si>
  <si>
    <t>02345TA</t>
  </si>
  <si>
    <t>00304 - Cinta llavero colgante con holder plástico</t>
  </si>
  <si>
    <t>M043</t>
  </si>
  <si>
    <t>M110</t>
  </si>
  <si>
    <r>
      <t xml:space="preserve">02236 - Boligrafo plástico retráctil clip metal </t>
    </r>
    <r>
      <rPr>
        <b/>
        <sz val="8"/>
        <color rgb="FF0070C0"/>
        <rFont val="Arial"/>
        <family val="2"/>
      </rPr>
      <t>TRAZO AZUL</t>
    </r>
  </si>
  <si>
    <t>00940 - Libreta ecológica con bolígrafo</t>
  </si>
  <si>
    <t>02202-2TA</t>
  </si>
  <si>
    <r>
      <t xml:space="preserve">02202-2TA - Bolígrafo cuerpo blanco grip color </t>
    </r>
    <r>
      <rPr>
        <b/>
        <sz val="8"/>
        <color rgb="FF0070C0"/>
        <rFont val="Arial"/>
        <family val="2"/>
      </rPr>
      <t>TRAZO AZUL</t>
    </r>
  </si>
  <si>
    <t>01032 - Vaso térmico acero 500ml</t>
  </si>
  <si>
    <t>00741 - Neceser simple MGN 17,5 x 10 x 9,5 cm</t>
  </si>
  <si>
    <t>00837 - Cuaderno ecologico espiralado con boligrafo</t>
  </si>
  <si>
    <t>00921L - Cuaderno Eco cuero y corcho 21x14 cm hoja lisa</t>
  </si>
  <si>
    <t>00921L</t>
  </si>
  <si>
    <t>01054 - Botella aluminio 600ml tapa a rosca</t>
  </si>
  <si>
    <t>00310 - Llavero destapador de aluminio</t>
  </si>
  <si>
    <t>45/01</t>
  </si>
  <si>
    <t>45/01 - Set de cubiertos parilleros en estuche</t>
  </si>
  <si>
    <t>00085 - Portapatente cerrado blanco segunda selección</t>
  </si>
  <si>
    <t>00827 - Mini anotador con notas y bolígrafo</t>
  </si>
  <si>
    <t>02283 - Bolígrafo Ecológico cartón reciclado touch</t>
  </si>
  <si>
    <t>02282 - Bolígrafo Ecológico biofiber fibra de trigo</t>
  </si>
  <si>
    <t xml:space="preserve">00533 - Porta documentacion de viaje con bolsillos </t>
  </si>
  <si>
    <t>IP-T19</t>
  </si>
  <si>
    <t>00608 - Mochila NOMAWALK® Free Flow 12 litros</t>
  </si>
  <si>
    <t>00566 - Riñonera polycanvas 2,8 litros</t>
  </si>
  <si>
    <t>00567 - Riñonera polycanvas 3,6 litros dos compartimientos</t>
  </si>
  <si>
    <t>00569 - Riñonera clásica 2,8 litros dos compartimientos</t>
  </si>
  <si>
    <t>00590 - Bolso Tote poliester 16 litros</t>
  </si>
  <si>
    <t>IR A PAGINA 8</t>
  </si>
  <si>
    <t>02310 - Boligrafo metálico negro mate interior de color</t>
  </si>
  <si>
    <t>02258 - Lápiz negro larga duracion realizado en bambú</t>
  </si>
  <si>
    <t>00966 - Cuaderno con set de notas y bolígrafo touch</t>
  </si>
  <si>
    <t>00696 - Mochila FLD plegable 12,5 litros</t>
  </si>
  <si>
    <t>00605 - Mochila NOMAWALK® Picnic 18 litros</t>
  </si>
  <si>
    <t>00593 - Cooler lunchera PRT poliester 19x14x18cm</t>
  </si>
  <si>
    <t>00708 - Mochila Sport 16 litros</t>
  </si>
  <si>
    <t>02240-1 - Lápiz All Black con punta sin goma</t>
  </si>
  <si>
    <t>00822 - Cuaderno BIG Eco cuero soft mate 25x17cm h. rayada</t>
  </si>
  <si>
    <t>00392 - Power Bank Flat 4000 mAh</t>
  </si>
  <si>
    <t>M-51 - Llavero metálico mate con cinta webbing</t>
  </si>
  <si>
    <t>LL-126 - Llavero metálico mate con cinta webbing</t>
  </si>
  <si>
    <t>LL-126</t>
  </si>
  <si>
    <t xml:space="preserve">02332 - Set de bolígrafo Touch y lápiz mecánico de Bambú </t>
  </si>
  <si>
    <t>P5523 - Remera SOLS blanca o color 100% algodón</t>
  </si>
  <si>
    <t>P5523</t>
  </si>
  <si>
    <t>00824 - Memo box espiral cartón reciclado</t>
  </si>
  <si>
    <t>02240-1</t>
  </si>
  <si>
    <t>00575 - Bolsa mochila botinero Friselina 80 gramos</t>
  </si>
  <si>
    <t>02331 - Bolígrafo triangular de Bambú clip de metal</t>
  </si>
  <si>
    <t>02353 - Bolígrafo de aluminio reciclado cuerpo engomado</t>
  </si>
  <si>
    <t>00923 - Cuaderno A5 papel kraft tapa dura hojas rayadas</t>
  </si>
  <si>
    <t>01024 - Botella de plástico 550ml tapa a rosca</t>
  </si>
  <si>
    <r>
      <t xml:space="preserve">00898 - Paraguas gigante </t>
    </r>
    <r>
      <rPr>
        <b/>
        <sz val="8"/>
        <rFont val="Arial"/>
        <family val="2"/>
      </rPr>
      <t>COMBINADO</t>
    </r>
  </si>
  <si>
    <t>00633 - Espejito doble plástico compacto uno con aumento</t>
  </si>
  <si>
    <t>02150 - Estuche tubo plástico para un bolígrafo</t>
  </si>
  <si>
    <t>LL-301 - Broche plástico para llavero con aro sin fin 20mm</t>
  </si>
  <si>
    <t>LL-300 - Broche plástico para llavero</t>
  </si>
  <si>
    <t>LL-300</t>
  </si>
  <si>
    <t>LL-301</t>
  </si>
  <si>
    <r>
      <t xml:space="preserve">02322TA - Bolígrafo metálico retráctil  </t>
    </r>
    <r>
      <rPr>
        <b/>
        <sz val="8"/>
        <color theme="7"/>
        <rFont val="Arial"/>
        <family val="2"/>
      </rPr>
      <t>TRAZO AZUL</t>
    </r>
  </si>
  <si>
    <t>00745 - Neceser HRT 17 x 9,8 x 8 cm</t>
  </si>
  <si>
    <t>10507 - Set de vino 4 elementos caja de bambú</t>
  </si>
  <si>
    <t>00993 - Tabla de bambú para quesos</t>
  </si>
  <si>
    <t>P5541 - Chomba pique blanca importada 100% poliester</t>
  </si>
  <si>
    <t>P5541</t>
  </si>
  <si>
    <t>P5542 - Chomba pique de color importada 100% poliester</t>
  </si>
  <si>
    <t>P5542</t>
  </si>
  <si>
    <t>P5547</t>
  </si>
  <si>
    <t>P5547 - Chomba 100% algodón 24/1 peinado blanca y color</t>
  </si>
  <si>
    <t xml:space="preserve">02341 - Set de bolígrafo y roller metálicos </t>
  </si>
  <si>
    <t>02271 - Bolígrafo plástico porta celular</t>
  </si>
  <si>
    <t>02272 - Bolígrafo touch plástico porta celular</t>
  </si>
  <si>
    <t>00927 - Memo stick con notas adhesivas de 5 colores</t>
  </si>
  <si>
    <t>01056 - Botella térmica de acero con tapa de bambú</t>
  </si>
  <si>
    <t>01066 - Botella vidrio borosilicato esmerilado tapa bambú</t>
  </si>
  <si>
    <t>00022 - Mate madera forrado aluminio con pintura bicapa</t>
  </si>
  <si>
    <t>00397 - Parlante bluetooth bambú 3w 300mAh</t>
  </si>
  <si>
    <t>00398 - Parlante bluetooth metálico 3w 300mAh</t>
  </si>
  <si>
    <t>00395 - Parlante pendolo plastico 3w 300mAh</t>
  </si>
  <si>
    <t>00704 - Mochila Canvas 20 litros porta notebook</t>
  </si>
  <si>
    <t xml:space="preserve">00381 - Soporte de escritorio para celular </t>
  </si>
  <si>
    <t>02322TA</t>
  </si>
  <si>
    <t>EL DESCUENTO ES ABONANDO EN EFECTIVO O TRANSFERENCIA BANCARIA. PAGO CON TARJETA APLICA 8% DE DESCUENTO Y ES EN FORMA PRESENCIAL</t>
  </si>
  <si>
    <t>00817 - Carpeta Portfolio eco cuero negro con cinta pasador</t>
  </si>
  <si>
    <t>00818 - Carpeta Portfolio eco cuero negro porta block</t>
  </si>
  <si>
    <t>10506 - Set de vino 3 elementos caja de madera</t>
  </si>
  <si>
    <t>00990 - Set de quesos de bambú</t>
  </si>
  <si>
    <t>01020 - Set de 4 posavasos con base de bambú</t>
  </si>
  <si>
    <t>00384 - Auriculares bluetooth V5.0</t>
  </si>
  <si>
    <t>00430 - Pinza multifunción de metal y bambú 13 usos</t>
  </si>
  <si>
    <t>00431 - Multifunción de metal 11 usos</t>
  </si>
  <si>
    <t xml:space="preserve">00425 - Cutter grande cuerpo blanco </t>
  </si>
  <si>
    <t>02355 - Bolígrafo de aluminio mate y bambú</t>
  </si>
  <si>
    <t>02354 - Bolígrafo de aluminio mate y bambú grip calado</t>
  </si>
  <si>
    <t>00572-1 - Bolsa mochila botinero 100% poliéster 34x42cm</t>
  </si>
  <si>
    <t>00572 - Bolsa mochila botinero JMP 100% poliéster 34x44cm</t>
  </si>
  <si>
    <t>00760 - Cartuchera poliéster 600D 21x8,5x6,5cm</t>
  </si>
  <si>
    <t>00703 - Mochila MRD Eco Portanotebook 11 litros</t>
  </si>
  <si>
    <t xml:space="preserve">00556 - Riñonera deportiva impermeable reflectiva 23x5cm </t>
  </si>
  <si>
    <t>00394 - Power Bank multipuerto 5000mAh</t>
  </si>
  <si>
    <t>00393 - Power Bank 10000mAh</t>
  </si>
  <si>
    <t>00402 - Power Bank multipuerto 10000mAh</t>
  </si>
  <si>
    <t>00399 - Parlante bambú y RPET 3,7w Bluetooth 5.2 300mAh</t>
  </si>
  <si>
    <t>00285 - Llavero con luz</t>
  </si>
  <si>
    <t>00746 - Neceser SM transparente PVC con detalle de color</t>
  </si>
  <si>
    <t>02500 - Set de 12 lápices de colores en cajita</t>
  </si>
  <si>
    <t>02506 - Set de 6 crayones en cajita</t>
  </si>
  <si>
    <t>02240 - Lápiz All Black con punta con goma</t>
  </si>
  <si>
    <t>02507 - Tubo 12  lápices de colores all black con saca puntas</t>
  </si>
  <si>
    <t>P5551</t>
  </si>
  <si>
    <t>P5554 - Gorro infantil poliester</t>
  </si>
  <si>
    <t>P5554</t>
  </si>
  <si>
    <t>00396 - Parlante Eco cereal 3w 400mAh</t>
  </si>
  <si>
    <t>00839 - Anotador flex hojas rayadas 21x14cm</t>
  </si>
  <si>
    <t>00840 - Cuaderno anotador con bolígrafo hojas lisas 18x14cm</t>
  </si>
  <si>
    <t>02147 - Funda de PVC para un bolígrafo</t>
  </si>
  <si>
    <t>00838 - Cuaderno simil bambu hojas rayadas 21x14cm</t>
  </si>
  <si>
    <t>LL-130 - Llavero de cuero tira 10 cm</t>
  </si>
  <si>
    <t>LL-131 - Llavero doble cuero forma circular</t>
  </si>
  <si>
    <t>LL-132 - Llavero doble cuero forma gota 7 cm alto</t>
  </si>
  <si>
    <t>LL-133 - Llavero doble cuero clásico 6 cm alto</t>
  </si>
  <si>
    <r>
      <rPr>
        <b/>
        <sz val="11"/>
        <color indexed="56"/>
        <rFont val="Arial"/>
        <family val="2"/>
      </rPr>
      <t>Lista de precios modificable automáticamente. Cómo funciona??</t>
    </r>
    <r>
      <rPr>
        <sz val="9"/>
        <rFont val="Arial"/>
        <family val="2"/>
      </rPr>
      <t xml:space="preserve">
Simplemente ingrese el porcentaje de ganancia deseado en el lugar donde indica la flecha verde, teniendo en cuenta que para un margen de ganancia del 40% se debe ingresar 1.40, para un margen del 70% se ingresa 1.70 y asi sucesivamente. En caso de que desee ingresar un margen del 100% ingresar 2.00
Al ingresar el número automáticamente se modificarán todos los precios de la lista, incrementándose según el porcentaje ingresado.
Si desea volver a los precios originales ingresar 1.00
Ante cualquier duda por favor contactarse por whatsapp o mail: ventas@jivi.com.ar</t>
    </r>
  </si>
  <si>
    <t>LA MERCADERIA SE ENVIA POR CUENTA Y RIESGO DEL CLIENTE  • EN CASO DE PERDIDA DE MERCADERIA PARCIAL O TOTAL SE DEBERÁ REALIZAR EL RECLAMO EN EL TRANSPORTE CORRESPONDIENTE • LOS BULTOS SE ENVIAN CON CINTA DE EMBALAJE , VERIFICAR QUE ESTÉ INTACTA LA CINTA AL RETIRARLOS DEL CENTRO DE ENCOMIENDAS</t>
  </si>
  <si>
    <t>IMP UN LADO FONDO BLANCO</t>
  </si>
  <si>
    <t>00292 - Llavero cinta MINI blanca con aro sin fin</t>
  </si>
  <si>
    <t>00293 - Llavero cinta MINI blanca con mosquetón plástico</t>
  </si>
  <si>
    <t>PAGOS EN EFECTIVO O TRANSFERENCIA BANCARIA 20% DE DESCUENTO DEL PRECIO DE LISTA</t>
  </si>
  <si>
    <t>IR A BOTELLAS Y JARROS</t>
  </si>
  <si>
    <t>LL-130</t>
  </si>
  <si>
    <t>LL-131</t>
  </si>
  <si>
    <t>LL-132</t>
  </si>
  <si>
    <t>01059 - Botella de aluminio con boquilla rebatible 800ml</t>
  </si>
  <si>
    <t>01023 - Vaso fernetero metálico aluminio 1 litro</t>
  </si>
  <si>
    <t>00832 - Cuaderno Eco tapas flexibles A5 hojas rayadas</t>
  </si>
  <si>
    <t>02269 - Bolígrafo slim silver medio giro</t>
  </si>
  <si>
    <t xml:space="preserve">02242 - Lápiz negro madera natural sin punta con goma </t>
  </si>
  <si>
    <t>M-27-1 - Porta credencial extensible plástico</t>
  </si>
  <si>
    <t>M-27-1</t>
  </si>
  <si>
    <t>00702 - Set Mochila / Bandolera / Portadocumentos</t>
  </si>
  <si>
    <t>P5551 - Gorro Camper Trucker esctructurado 100% algodón</t>
  </si>
  <si>
    <t>01044 - Vaso térmico PAMPERO® BAYO</t>
  </si>
  <si>
    <t>00598 - Mochila Urbana bitono 20 litros</t>
  </si>
  <si>
    <t>00884 - Paraguas gigante doble capa automático</t>
  </si>
  <si>
    <t>01051 - Botella vidrio borosilicato con funda de yute sintetico</t>
  </si>
  <si>
    <t>CE-M16 - Taza recta blanca IMPORTADA interior de color</t>
  </si>
  <si>
    <t>M110 - Cuchillo premium hoja 13 cm guayuvira funda de cuero</t>
  </si>
  <si>
    <t>M043 - Cuchillo tenedor premium hoja 12 cm funda cuero</t>
  </si>
  <si>
    <r>
      <t xml:space="preserve">00896 - Paraguas gigante reforzado liso </t>
    </r>
    <r>
      <rPr>
        <b/>
        <sz val="8"/>
        <rFont val="Arial"/>
        <family val="2"/>
      </rPr>
      <t>AZUL</t>
    </r>
  </si>
  <si>
    <r>
      <t xml:space="preserve">00085-1BL - Portapatente Modelo Mercosur </t>
    </r>
    <r>
      <rPr>
        <b/>
        <sz val="8"/>
        <rFont val="Arial"/>
        <family val="2"/>
      </rPr>
      <t>blanco</t>
    </r>
  </si>
  <si>
    <r>
      <t xml:space="preserve">00085-1NE - Portapatente Modelo Mercosur </t>
    </r>
    <r>
      <rPr>
        <b/>
        <sz val="8"/>
        <rFont val="Arial"/>
        <family val="2"/>
      </rPr>
      <t xml:space="preserve">negro  </t>
    </r>
  </si>
  <si>
    <r>
      <t xml:space="preserve">00085-2BL - Portapatente Modelo chico abierto </t>
    </r>
    <r>
      <rPr>
        <b/>
        <sz val="8"/>
        <rFont val="Arial"/>
        <family val="2"/>
      </rPr>
      <t>blanco</t>
    </r>
  </si>
  <si>
    <r>
      <t xml:space="preserve">00085-2NE - Portapatente Modelo chico abierto </t>
    </r>
    <r>
      <rPr>
        <b/>
        <sz val="8"/>
        <rFont val="Arial"/>
        <family val="2"/>
      </rPr>
      <t xml:space="preserve">negro </t>
    </r>
  </si>
  <si>
    <t>00085-2BL</t>
  </si>
  <si>
    <t>00085-2NE</t>
  </si>
  <si>
    <t>00085-1BL</t>
  </si>
  <si>
    <t>00085-1NE</t>
  </si>
  <si>
    <t>02279-1</t>
  </si>
  <si>
    <t>00300V - Porta credencial PVC vertical 65x95 - 150 micrones</t>
  </si>
  <si>
    <t>CON PERFORACIONES PARA COLGAR EN CINTAS 00301 Y 00302</t>
  </si>
  <si>
    <t>00300G - Porta credencial PVC vertical 95x150mm - 150 micr.</t>
  </si>
  <si>
    <t>00300H - Porta credencial PVC horizontal 90x55mm - 150 micr.</t>
  </si>
  <si>
    <t>CE-M16</t>
  </si>
  <si>
    <r>
      <t xml:space="preserve">02279 - Boligrafo reciclado ECO Friendly </t>
    </r>
    <r>
      <rPr>
        <b/>
        <sz val="8"/>
        <color theme="7"/>
        <rFont val="Arial"/>
        <family val="2"/>
      </rPr>
      <t>TRAZO AZUL</t>
    </r>
  </si>
  <si>
    <r>
      <t xml:space="preserve">02279-1 - Boligrafo reciclado ECO Friendly </t>
    </r>
    <r>
      <rPr>
        <b/>
        <sz val="8"/>
        <rFont val="Arial"/>
        <family val="2"/>
      </rPr>
      <t>TRAZO NEGRO</t>
    </r>
  </si>
  <si>
    <t>01026 - Botella de plástico 550ml tapa a rosca con manija</t>
  </si>
  <si>
    <t>00300G</t>
  </si>
  <si>
    <t>00300H</t>
  </si>
  <si>
    <t>00300V</t>
  </si>
  <si>
    <t>00292-1</t>
  </si>
  <si>
    <t>00293-1</t>
  </si>
  <si>
    <t>00292-1 - Llavero cinta MINI color con aro sin fin</t>
  </si>
  <si>
    <t>00293-1 - Llavero cinta MINI color con mosqueton plástico</t>
  </si>
  <si>
    <t>00294 - Llavero cinta MINI blanca con mosquetón simple</t>
  </si>
  <si>
    <t>00294-1 - Llavero cinta MINI color con mosquetón simple</t>
  </si>
  <si>
    <t>00294-1</t>
  </si>
  <si>
    <t>00295-1 - Llavero cinta MINI color c/mosquetón zamak anzuelo</t>
  </si>
  <si>
    <t>00295 - Llavero cinta MINI blanca c/mosquetón zamak anzuelo</t>
  </si>
  <si>
    <t>00298 - Llavero cinta MINI blanca c/mosquetón zamak gatillo</t>
  </si>
  <si>
    <t>00298-1</t>
  </si>
  <si>
    <t>00298-1 - Llavero cinta MINI color c/mosquetón zamak gatillo</t>
  </si>
  <si>
    <t>00816 - Cuaderno tapa dura kraft anillado hojas rayadas</t>
  </si>
  <si>
    <t>CON LOGO IMPRESO FULL COLOR</t>
  </si>
  <si>
    <t xml:space="preserve">00725 - Maletín de fieltro ecológico porta notebook </t>
  </si>
  <si>
    <t>00765 - Sobre multiuso porta objetos con mosquetón plástico</t>
  </si>
  <si>
    <t>ZC-2218 - Pad Mouse sublimable premium importado 22x18cm</t>
  </si>
  <si>
    <t>00537 - Porta tarjeta colgante para cambio de aceite</t>
  </si>
  <si>
    <t>LL-103</t>
  </si>
  <si>
    <t>LL-103 - Llavero destapador de aluminio con correa</t>
  </si>
  <si>
    <t>LL-106</t>
  </si>
  <si>
    <t>LL-106 - Llavero destapador bambú y metal premium</t>
  </si>
  <si>
    <t>LL-114</t>
  </si>
  <si>
    <t>00378 - Soporte plegable de escritorio para celular</t>
  </si>
  <si>
    <t>01077 - Botella de aluminio tapa de acero con tira silicona</t>
  </si>
  <si>
    <t>00341 - Tarjeta multiherramienta con funda simil cuero negro</t>
  </si>
  <si>
    <t>01021 - Botella de vidrio con funda de neopreno</t>
  </si>
  <si>
    <t>01022 - Botella de vidrio borosilicato con funda de neopreno</t>
  </si>
  <si>
    <t>00579 - Riñonera ECO urbana realizada en RPet</t>
  </si>
  <si>
    <t>LL-108 - Llavero de metal y bambu redondo giratorio</t>
  </si>
  <si>
    <t>LL-108</t>
  </si>
  <si>
    <t>LL-125</t>
  </si>
  <si>
    <t>LL-125 - Llavero de metal clásico con estuche</t>
  </si>
  <si>
    <t>LL-100 - Llavero bambú y metal con forma de auto</t>
  </si>
  <si>
    <t>LL-104 - Llavero bambú y metal con forma de casa</t>
  </si>
  <si>
    <t>LL-100</t>
  </si>
  <si>
    <t>LL-104</t>
  </si>
  <si>
    <t>LL-115 - Llavero de metal giratorio en estuche</t>
  </si>
  <si>
    <t>LL-114 - Llavero de metal negro mate cinta color con estuche</t>
  </si>
  <si>
    <t>LL-115</t>
  </si>
  <si>
    <t xml:space="preserve">10505 - Destapador metal y bambú en caja </t>
  </si>
  <si>
    <t>10508 - Set de 2 copas de vino y destapador en caja bambú</t>
  </si>
  <si>
    <t>01076 - Botella de aluminio tapa a rosca 750ml</t>
  </si>
  <si>
    <t>01087 - Botella de aluminio mate tapa a rosca 750ml</t>
  </si>
  <si>
    <t xml:space="preserve">01107 - Termo de acero inoxidable 1 litro </t>
  </si>
  <si>
    <t>01018 - Botella térmica 500ml doble pared con tapa de bambú</t>
  </si>
  <si>
    <t>01070 - Botella térmica 500ml de acero con tapa de bambú</t>
  </si>
  <si>
    <t>01065 - Jarro mug acero 880ml con sorbete</t>
  </si>
  <si>
    <t>01073 - Jarro mug 400ml acero doble pared</t>
  </si>
  <si>
    <t>00748 - Neceser colgante</t>
  </si>
  <si>
    <t>01062 - Vaso térmico doble pared acero sellado al vacio</t>
  </si>
  <si>
    <t>02254-1TA</t>
  </si>
  <si>
    <r>
      <t xml:space="preserve">02254-1TA - Bolígrafo cuerpo de color retráctil </t>
    </r>
    <r>
      <rPr>
        <b/>
        <sz val="8"/>
        <color rgb="FF0070C0"/>
        <rFont val="Arial"/>
        <family val="2"/>
      </rPr>
      <t>TRAZO AZUL</t>
    </r>
  </si>
  <si>
    <t>00380 - Soporte de bambú de escritorio para celular</t>
  </si>
  <si>
    <t>00547 - Porta Voucher 13 x 20cm Tela industrial</t>
  </si>
  <si>
    <t>00547F - Porta Voucher 13 x 20cm Folia</t>
  </si>
  <si>
    <t>00547F</t>
  </si>
  <si>
    <t>00109Q - Llavero Cuero c/cadena - 1/2/3/4/5/6 costura opcional</t>
  </si>
  <si>
    <t>00019 - Mate térmico de acero inoxidable sin bombilla</t>
  </si>
  <si>
    <t>01019 - Set de 4 vasitos shot</t>
  </si>
  <si>
    <t>01017 - Botella deportiva acero 500ml con sorbete</t>
  </si>
  <si>
    <t>00722 - Mochila DGM simple 12,5Lt</t>
  </si>
  <si>
    <t xml:space="preserve">00723 - Mochila Eco RPET 14Lt portanotebook </t>
  </si>
  <si>
    <t>00724 - Mochila Lisa 13,5 Lt</t>
  </si>
  <si>
    <t>00726 - Mochila Domo Tech portanotebook USB 17 Lt</t>
  </si>
  <si>
    <t xml:space="preserve">00727 - Mochila WAGNER® Baviera </t>
  </si>
  <si>
    <t>00570-1</t>
  </si>
  <si>
    <r>
      <t xml:space="preserve">00570-1 - Mochila </t>
    </r>
    <r>
      <rPr>
        <b/>
        <sz val="8"/>
        <rFont val="Arial"/>
        <family val="2"/>
      </rPr>
      <t>PROMO</t>
    </r>
    <r>
      <rPr>
        <sz val="8"/>
        <rFont val="Arial"/>
        <family val="2"/>
      </rPr>
      <t xml:space="preserve"> Urban porta notebook 12 litros </t>
    </r>
  </si>
  <si>
    <t>03020 - Cerebro antiestres de poliuretano</t>
  </si>
  <si>
    <t>03022 - Pelotita Futbol antiestres de poliuretano 5 cm diám.</t>
  </si>
  <si>
    <t>03021 - Pelotita antiestres de poliuretano 6,3 cm diám.</t>
  </si>
  <si>
    <t xml:space="preserve">03023 - Pelotita Rugby antiestres de poliuretano </t>
  </si>
  <si>
    <t xml:space="preserve">03024 - Cubo antiestres de poliuretano </t>
  </si>
  <si>
    <t>03025 - Corazón antiestres de poliuretano 6x7 cm</t>
  </si>
  <si>
    <t>IR A PELOTITAS ANTIESTRES</t>
  </si>
  <si>
    <t>IP-T12M - Taza cerámica blanca terminación mate</t>
  </si>
  <si>
    <t>CE-M20</t>
  </si>
  <si>
    <t>CE-M20 - Taza blanca IMPORTADA con tapa y base de corcho</t>
  </si>
  <si>
    <t>LISTA DE PRECIOS Nº 7 / 2025 (En Pesos) - NO INCLUYE I.V.A. - JULIO - 2025</t>
  </si>
  <si>
    <t>00534 - Marbete / Tag identificador de valijas rígido</t>
  </si>
  <si>
    <t>03026 - Pelotita basquet antiestres de poliuretano 6,2 cm</t>
  </si>
  <si>
    <t>00089-1 - Billetera Gastronómica con calendario y logo</t>
  </si>
  <si>
    <t>00089 - Billetera Gastronómica con logo de un lado</t>
  </si>
  <si>
    <t>00089-1</t>
  </si>
  <si>
    <t>00020 - Bombilla 17cm coco ancho detalle dorado punto rojo</t>
  </si>
  <si>
    <t>Para el diseño de los calendarios de los Art. 00015 / 00061 / 00063 / 00064 / 00321 / 00322 / 00325 / 00326 / 00344 / 00942 / 00949 / 00950 / 11604 y demás productos con almanaque, se utiliza información publicada por el Ministerio del Interior en su página web al día 30 de junio de 2025. Muestras a disposición del cliente para verificar diseño.</t>
  </si>
  <si>
    <t>00037 - Bombilla chata de acero inoxidable 17cm</t>
  </si>
  <si>
    <t>00295-1</t>
  </si>
  <si>
    <t>00387 - Auriculares bluetooth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</si>
</sst>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&quot;$&quot;\ #,##0.00;[Red]&quot;$&quot;\ \-#,##0.00"/>
    <numFmt numFmtId="165" formatCode="0.000"/>
    <numFmt numFmtId="166" formatCode="00000"/>
    <numFmt numFmtId="167" formatCode="_-[$€]* #.##0.00_-;\-[$€]* #.##0.00_-;_-[$€]* &quot;-&quot;??_-;_-@_-"/>
    <numFmt numFmtId="168" formatCode="&quot;$&quot;\ #,##0"/>
  </numFmts>
  <fonts count="119" x14ac:knownFonts="1">
    <font>
      <sz val="10"/>
      <name val="Arial"/>
    </font>
    <font>
      <sz val="10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color indexed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sz val="12"/>
      <color indexed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9"/>
      <color indexed="8"/>
      <name val="Verdana"/>
      <family val="2"/>
    </font>
    <font>
      <sz val="8"/>
      <color indexed="8"/>
      <name val="Arial"/>
      <family val="2"/>
    </font>
    <font>
      <sz val="10"/>
      <name val="Arial"/>
      <family val="2"/>
    </font>
    <font>
      <b/>
      <sz val="9"/>
      <color indexed="8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sz val="6"/>
      <color indexed="12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 Narrow"/>
      <family val="2"/>
    </font>
    <font>
      <b/>
      <sz val="9"/>
      <color indexed="10"/>
      <name val="Arial"/>
      <family val="2"/>
    </font>
    <font>
      <sz val="8"/>
      <color indexed="10"/>
      <name val="Arial Narrow"/>
      <family val="2"/>
    </font>
    <font>
      <b/>
      <sz val="7"/>
      <name val="Arial"/>
      <family val="2"/>
    </font>
    <font>
      <b/>
      <sz val="7"/>
      <color indexed="10"/>
      <name val="Arial"/>
      <family val="2"/>
    </font>
    <font>
      <b/>
      <sz val="16"/>
      <color indexed="9"/>
      <name val="Arial"/>
      <family val="2"/>
    </font>
    <font>
      <sz val="7"/>
      <color indexed="10"/>
      <name val="Arial"/>
      <family val="2"/>
    </font>
    <font>
      <sz val="6"/>
      <color indexed="10"/>
      <name val="Arial Narrow"/>
      <family val="2"/>
    </font>
    <font>
      <b/>
      <sz val="14"/>
      <color indexed="9"/>
      <name val="Arial"/>
      <family val="2"/>
    </font>
    <font>
      <b/>
      <sz val="6"/>
      <color indexed="10"/>
      <name val="Arial"/>
      <family val="2"/>
    </font>
    <font>
      <sz val="6"/>
      <color indexed="10"/>
      <name val="Arial"/>
      <family val="2"/>
    </font>
    <font>
      <b/>
      <sz val="9"/>
      <color indexed="10"/>
      <name val="Arial Narrow"/>
      <family val="2"/>
    </font>
    <font>
      <b/>
      <i/>
      <sz val="8"/>
      <color indexed="10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b/>
      <sz val="7"/>
      <name val="Arial Narrow"/>
      <family val="2"/>
    </font>
    <font>
      <sz val="9"/>
      <color indexed="10"/>
      <name val="Arial"/>
      <family val="2"/>
    </font>
    <font>
      <sz val="6"/>
      <name val="Arial"/>
      <family val="2"/>
    </font>
    <font>
      <b/>
      <sz val="8"/>
      <color indexed="9"/>
      <name val="Arial"/>
      <family val="2"/>
    </font>
    <font>
      <sz val="12"/>
      <name val="Arial"/>
      <family val="2"/>
    </font>
    <font>
      <b/>
      <sz val="10"/>
      <name val="Arial Narrow"/>
      <family val="2"/>
    </font>
    <font>
      <sz val="8"/>
      <color indexed="9"/>
      <name val="Arial"/>
      <family val="2"/>
    </font>
    <font>
      <sz val="10"/>
      <color indexed="9"/>
      <name val="Arial"/>
      <family val="2"/>
    </font>
    <font>
      <b/>
      <sz val="11"/>
      <color indexed="56"/>
      <name val="Arial"/>
      <family val="2"/>
    </font>
    <font>
      <sz val="10"/>
      <color indexed="23"/>
      <name val="Arial"/>
      <family val="2"/>
    </font>
    <font>
      <b/>
      <u/>
      <sz val="9"/>
      <color indexed="12"/>
      <name val="Arial"/>
      <family val="2"/>
    </font>
    <font>
      <b/>
      <sz val="10"/>
      <color indexed="8"/>
      <name val="Arial"/>
      <family val="2"/>
    </font>
    <font>
      <u/>
      <sz val="8"/>
      <color indexed="12"/>
      <name val="Arial"/>
      <family val="2"/>
    </font>
    <font>
      <b/>
      <sz val="9"/>
      <color indexed="9"/>
      <name val="Arial"/>
      <family val="2"/>
    </font>
    <font>
      <sz val="6"/>
      <color indexed="8"/>
      <name val="Arial"/>
      <family val="2"/>
    </font>
    <font>
      <b/>
      <sz val="16"/>
      <name val="Arial"/>
      <family val="2"/>
    </font>
    <font>
      <sz val="10"/>
      <color indexed="56"/>
      <name val="Arial"/>
      <family val="2"/>
    </font>
    <font>
      <sz val="10"/>
      <color indexed="30"/>
      <name val="Arial"/>
      <family val="2"/>
    </font>
    <font>
      <sz val="7"/>
      <name val="Arial Narrow"/>
      <family val="2"/>
    </font>
    <font>
      <b/>
      <sz val="8"/>
      <name val="Arial Narrow"/>
      <family val="2"/>
    </font>
    <font>
      <sz val="10"/>
      <name val="Arial Narrow"/>
      <family val="2"/>
    </font>
    <font>
      <sz val="6"/>
      <name val="Arial Narrow"/>
      <family val="2"/>
    </font>
    <font>
      <sz val="8"/>
      <name val="Arial Narrow"/>
      <family val="2"/>
    </font>
    <font>
      <u/>
      <sz val="8"/>
      <color indexed="12"/>
      <name val="Arial Narrow"/>
      <family val="2"/>
    </font>
    <font>
      <b/>
      <sz val="8"/>
      <color theme="1"/>
      <name val="Arial"/>
      <family val="2"/>
    </font>
    <font>
      <sz val="10"/>
      <color rgb="FFFF0000"/>
      <name val="Arial"/>
      <family val="2"/>
    </font>
    <font>
      <b/>
      <sz val="8"/>
      <color rgb="FFFF0000"/>
      <name val="Arial"/>
      <family val="2"/>
    </font>
    <font>
      <sz val="10"/>
      <color theme="9"/>
      <name val="Arial"/>
      <family val="2"/>
    </font>
    <font>
      <sz val="8"/>
      <color theme="9"/>
      <name val="Arial"/>
      <family val="2"/>
    </font>
    <font>
      <sz val="10"/>
      <color rgb="FF00B050"/>
      <name val="Arial"/>
      <family val="2"/>
    </font>
    <font>
      <b/>
      <sz val="8"/>
      <color rgb="FFFF0000"/>
      <name val="Arial Narrow"/>
      <family val="2"/>
    </font>
    <font>
      <b/>
      <sz val="8"/>
      <color theme="1"/>
      <name val="Arial Narrow"/>
      <family val="2"/>
    </font>
    <font>
      <sz val="8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sz val="9"/>
      <color rgb="FFFF0000"/>
      <name val="Arial"/>
      <family val="2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sz val="10"/>
      <color theme="0"/>
      <name val="Arial"/>
      <family val="2"/>
    </font>
    <font>
      <u/>
      <sz val="10"/>
      <color rgb="FFFF0000"/>
      <name val="Arial"/>
      <family val="2"/>
    </font>
    <font>
      <sz val="12"/>
      <color theme="0"/>
      <name val="Arial"/>
      <family val="2"/>
    </font>
    <font>
      <sz val="6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8"/>
      <color theme="0"/>
      <name val="Arial"/>
      <family val="2"/>
    </font>
    <font>
      <b/>
      <sz val="12"/>
      <color theme="0"/>
      <name val="Arial"/>
      <family val="2"/>
    </font>
    <font>
      <u/>
      <sz val="8"/>
      <color theme="0"/>
      <name val="Arial"/>
      <family val="2"/>
    </font>
    <font>
      <b/>
      <sz val="12"/>
      <color theme="1"/>
      <name val="Arial Narrow"/>
      <family val="2"/>
    </font>
    <font>
      <sz val="12"/>
      <color theme="1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b/>
      <sz val="9"/>
      <color rgb="FFFF0000"/>
      <name val="Arial Narrow"/>
      <family val="2"/>
    </font>
    <font>
      <sz val="10"/>
      <color theme="3"/>
      <name val="Arial"/>
      <family val="2"/>
    </font>
    <font>
      <b/>
      <sz val="8"/>
      <color rgb="FF0070C0"/>
      <name val="Arial"/>
      <family val="2"/>
    </font>
    <font>
      <b/>
      <sz val="15"/>
      <color theme="0"/>
      <name val="Arial"/>
      <family val="2"/>
    </font>
    <font>
      <sz val="15"/>
      <color theme="0"/>
      <name val="Arial"/>
      <family val="2"/>
    </font>
    <font>
      <b/>
      <sz val="8"/>
      <name val="Verdana"/>
      <family val="2"/>
    </font>
    <font>
      <b/>
      <u/>
      <sz val="10"/>
      <color theme="0"/>
      <name val="Arial"/>
      <family val="2"/>
    </font>
    <font>
      <b/>
      <sz val="8"/>
      <color theme="7"/>
      <name val="Arial"/>
      <family val="2"/>
    </font>
    <font>
      <b/>
      <sz val="9"/>
      <color indexed="81"/>
      <name val="Tahoma"/>
      <family val="2"/>
    </font>
    <font>
      <b/>
      <sz val="8"/>
      <color indexed="81"/>
      <name val="Tahoma"/>
      <family val="2"/>
    </font>
    <font>
      <b/>
      <sz val="10"/>
      <color theme="0"/>
      <name val="Arial"/>
      <family val="2"/>
    </font>
    <font>
      <b/>
      <sz val="7"/>
      <color rgb="FFFF0000"/>
      <name val="Arial"/>
      <family val="2"/>
    </font>
    <font>
      <b/>
      <sz val="8"/>
      <color rgb="FF0070C0"/>
      <name val="Arial Narrow"/>
      <family val="2"/>
    </font>
    <font>
      <b/>
      <sz val="8"/>
      <color theme="4" tint="-0.249977111117893"/>
      <name val="Arial Narrow"/>
      <family val="2"/>
    </font>
    <font>
      <u/>
      <sz val="9"/>
      <color rgb="FFFF0000"/>
      <name val="Arial"/>
      <family val="2"/>
    </font>
    <font>
      <u/>
      <sz val="8"/>
      <color rgb="FFFF000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u/>
      <sz val="7"/>
      <color indexed="12"/>
      <name val="Arial"/>
      <family val="2"/>
    </font>
    <font>
      <u/>
      <sz val="9"/>
      <color indexed="12"/>
      <name val="Arial"/>
      <family val="2"/>
    </font>
    <font>
      <b/>
      <sz val="8"/>
      <color theme="0"/>
      <name val="Arial Narrow"/>
      <family val="2"/>
    </font>
    <font>
      <sz val="8"/>
      <color indexed="30"/>
      <name val="Arial"/>
      <family val="2"/>
    </font>
    <font>
      <b/>
      <i/>
      <sz val="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9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99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202">
    <xf numFmtId="0" fontId="0" fillId="0" borderId="0" xfId="0"/>
    <xf numFmtId="0" fontId="0" fillId="0" borderId="0" xfId="0" applyBorder="1"/>
    <xf numFmtId="0" fontId="0" fillId="0" borderId="1" xfId="0" applyBorder="1"/>
    <xf numFmtId="0" fontId="0" fillId="2" borderId="0" xfId="0" applyFill="1"/>
    <xf numFmtId="0" fontId="0" fillId="2" borderId="0" xfId="0" applyFill="1" applyBorder="1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2" borderId="0" xfId="0" applyFill="1" applyAlignment="1">
      <alignment horizontal="left"/>
    </xf>
    <xf numFmtId="0" fontId="0" fillId="2" borderId="0" xfId="0" applyFill="1" applyAlignment="1">
      <alignment vertical="center"/>
    </xf>
    <xf numFmtId="0" fontId="0" fillId="2" borderId="0" xfId="0" applyFill="1" applyAlignment="1">
      <alignment horizontal="right"/>
    </xf>
    <xf numFmtId="0" fontId="13" fillId="2" borderId="0" xfId="0" applyFont="1" applyFill="1" applyAlignment="1">
      <alignment horizontal="right"/>
    </xf>
    <xf numFmtId="0" fontId="15" fillId="2" borderId="0" xfId="0" applyFont="1" applyFill="1" applyBorder="1" applyAlignment="1">
      <alignment vertical="center"/>
    </xf>
    <xf numFmtId="0" fontId="0" fillId="2" borderId="0" xfId="0" applyFill="1" applyBorder="1" applyAlignment="1"/>
    <xf numFmtId="0" fontId="0" fillId="2" borderId="0" xfId="0" applyFill="1" applyBorder="1" applyAlignment="1">
      <alignment horizontal="left"/>
    </xf>
    <xf numFmtId="2" fontId="2" fillId="2" borderId="0" xfId="0" applyNumberFormat="1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2" fontId="6" fillId="2" borderId="0" xfId="0" applyNumberFormat="1" applyFont="1" applyFill="1" applyBorder="1" applyAlignment="1"/>
    <xf numFmtId="0" fontId="20" fillId="2" borderId="0" xfId="0" applyFont="1" applyFill="1" applyAlignment="1">
      <alignment horizontal="right"/>
    </xf>
    <xf numFmtId="0" fontId="20" fillId="2" borderId="0" xfId="0" applyFont="1" applyFill="1" applyBorder="1" applyAlignment="1">
      <alignment horizontal="right"/>
    </xf>
    <xf numFmtId="0" fontId="22" fillId="2" borderId="0" xfId="0" applyFont="1" applyFill="1" applyAlignment="1">
      <alignment horizontal="right" vertical="center"/>
    </xf>
    <xf numFmtId="0" fontId="23" fillId="2" borderId="0" xfId="0" applyFont="1" applyFill="1" applyAlignment="1">
      <alignment horizontal="right"/>
    </xf>
    <xf numFmtId="2" fontId="0" fillId="2" borderId="0" xfId="0" applyNumberFormat="1" applyFill="1" applyBorder="1"/>
    <xf numFmtId="2" fontId="2" fillId="2" borderId="0" xfId="0" applyNumberFormat="1" applyFont="1" applyFill="1" applyBorder="1" applyAlignment="1">
      <alignment horizontal="center" vertical="center"/>
    </xf>
    <xf numFmtId="0" fontId="32" fillId="2" borderId="0" xfId="0" applyFont="1" applyFill="1"/>
    <xf numFmtId="0" fontId="25" fillId="2" borderId="0" xfId="0" applyFont="1" applyFill="1" applyBorder="1" applyAlignment="1">
      <alignment horizontal="center" vertical="center" wrapText="1"/>
    </xf>
    <xf numFmtId="0" fontId="27" fillId="2" borderId="0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center" vertical="center"/>
    </xf>
    <xf numFmtId="166" fontId="12" fillId="2" borderId="3" xfId="2" applyNumberFormat="1" applyFill="1" applyBorder="1" applyAlignment="1" applyProtection="1">
      <alignment horizontal="center"/>
    </xf>
    <xf numFmtId="0" fontId="0" fillId="2" borderId="0" xfId="0" applyFill="1" applyAlignment="1">
      <alignment horizontal="center"/>
    </xf>
    <xf numFmtId="0" fontId="18" fillId="0" borderId="3" xfId="0" applyNumberFormat="1" applyFont="1" applyBorder="1" applyAlignment="1">
      <alignment horizontal="center"/>
    </xf>
    <xf numFmtId="166" fontId="12" fillId="2" borderId="3" xfId="2" applyNumberFormat="1" applyFill="1" applyBorder="1" applyAlignment="1" applyProtection="1">
      <alignment horizontal="center" vertical="center"/>
    </xf>
    <xf numFmtId="0" fontId="38" fillId="2" borderId="0" xfId="0" applyFont="1" applyFill="1"/>
    <xf numFmtId="166" fontId="12" fillId="2" borderId="5" xfId="2" applyNumberFormat="1" applyFill="1" applyBorder="1" applyAlignment="1" applyProtection="1">
      <alignment horizontal="center"/>
    </xf>
    <xf numFmtId="166" fontId="0" fillId="0" borderId="3" xfId="0" applyNumberFormat="1" applyBorder="1" applyAlignment="1">
      <alignment horizontal="center" vertical="center"/>
    </xf>
    <xf numFmtId="0" fontId="18" fillId="2" borderId="0" xfId="0" applyFont="1" applyFill="1"/>
    <xf numFmtId="2" fontId="0" fillId="2" borderId="0" xfId="0" applyNumberFormat="1" applyFill="1" applyAlignment="1">
      <alignment horizontal="center"/>
    </xf>
    <xf numFmtId="166" fontId="12" fillId="2" borderId="0" xfId="2" applyNumberFormat="1" applyFill="1" applyBorder="1" applyAlignment="1" applyProtection="1">
      <alignment horizontal="center" vertical="center"/>
    </xf>
    <xf numFmtId="0" fontId="0" fillId="2" borderId="0" xfId="0" applyFill="1" applyBorder="1" applyAlignment="1">
      <alignment horizontal="left" vertical="center" wrapText="1"/>
    </xf>
    <xf numFmtId="164" fontId="4" fillId="2" borderId="3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14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center" wrapText="1"/>
    </xf>
    <xf numFmtId="2" fontId="28" fillId="2" borderId="0" xfId="0" applyNumberFormat="1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center" vertical="center"/>
    </xf>
    <xf numFmtId="165" fontId="4" fillId="2" borderId="0" xfId="0" applyNumberFormat="1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/>
    </xf>
    <xf numFmtId="0" fontId="5" fillId="2" borderId="0" xfId="0" applyFont="1" applyFill="1" applyBorder="1" applyAlignment="1">
      <alignment horizontal="left" vertical="center"/>
    </xf>
    <xf numFmtId="0" fontId="0" fillId="2" borderId="0" xfId="0" applyFill="1" applyBorder="1" applyAlignment="1">
      <alignment vertical="center"/>
    </xf>
    <xf numFmtId="0" fontId="54" fillId="2" borderId="0" xfId="0" applyFont="1" applyFill="1" applyAlignment="1">
      <alignment horizontal="right" vertical="center"/>
    </xf>
    <xf numFmtId="2" fontId="4" fillId="2" borderId="0" xfId="0" applyNumberFormat="1" applyFont="1" applyFill="1" applyBorder="1" applyAlignment="1">
      <alignment horizontal="center"/>
    </xf>
    <xf numFmtId="2" fontId="56" fillId="2" borderId="0" xfId="0" applyNumberFormat="1" applyFont="1" applyFill="1" applyBorder="1" applyAlignment="1">
      <alignment horizontal="center"/>
    </xf>
    <xf numFmtId="0" fontId="29" fillId="2" borderId="0" xfId="0" applyFont="1" applyFill="1" applyBorder="1" applyAlignment="1">
      <alignment horizontal="center" vertical="center" wrapText="1"/>
    </xf>
    <xf numFmtId="0" fontId="57" fillId="2" borderId="0" xfId="0" applyFont="1" applyFill="1"/>
    <xf numFmtId="0" fontId="0" fillId="4" borderId="0" xfId="0" applyFill="1" applyBorder="1" applyAlignment="1">
      <alignment wrapText="1"/>
    </xf>
    <xf numFmtId="2" fontId="4" fillId="4" borderId="0" xfId="0" applyNumberFormat="1" applyFont="1" applyFill="1" applyBorder="1" applyAlignment="1">
      <alignment horizontal="center" vertical="center"/>
    </xf>
    <xf numFmtId="0" fontId="65" fillId="2" borderId="0" xfId="0" applyFont="1" applyFill="1"/>
    <xf numFmtId="0" fontId="0" fillId="4" borderId="0" xfId="0" applyFill="1"/>
    <xf numFmtId="2" fontId="0" fillId="4" borderId="0" xfId="0" applyNumberFormat="1" applyFill="1" applyBorder="1"/>
    <xf numFmtId="0" fontId="0" fillId="4" borderId="0" xfId="0" applyFill="1" applyBorder="1" applyAlignment="1"/>
    <xf numFmtId="0" fontId="14" fillId="5" borderId="2" xfId="0" applyFont="1" applyFill="1" applyBorder="1" applyAlignment="1">
      <alignment horizontal="center" vertical="center" wrapText="1"/>
    </xf>
    <xf numFmtId="0" fontId="5" fillId="5" borderId="11" xfId="0" applyFont="1" applyFill="1" applyBorder="1" applyAlignment="1">
      <alignment horizontal="center" vertical="center"/>
    </xf>
    <xf numFmtId="165" fontId="4" fillId="5" borderId="2" xfId="0" applyNumberFormat="1" applyFont="1" applyFill="1" applyBorder="1" applyAlignment="1">
      <alignment horizontal="center" vertical="center" wrapText="1"/>
    </xf>
    <xf numFmtId="2" fontId="4" fillId="4" borderId="3" xfId="0" applyNumberFormat="1" applyFont="1" applyFill="1" applyBorder="1" applyAlignment="1">
      <alignment horizontal="center" vertical="center"/>
    </xf>
    <xf numFmtId="0" fontId="67" fillId="2" borderId="0" xfId="0" applyFont="1" applyFill="1"/>
    <xf numFmtId="0" fontId="68" fillId="2" borderId="0" xfId="0" applyFont="1" applyFill="1"/>
    <xf numFmtId="0" fontId="0" fillId="4" borderId="0" xfId="0" applyFill="1" applyBorder="1"/>
    <xf numFmtId="0" fontId="31" fillId="2" borderId="0" xfId="0" applyFont="1" applyFill="1"/>
    <xf numFmtId="2" fontId="7" fillId="4" borderId="0" xfId="0" applyNumberFormat="1" applyFont="1" applyFill="1" applyBorder="1" applyAlignment="1">
      <alignment horizontal="right" vertical="center" wrapText="1"/>
    </xf>
    <xf numFmtId="0" fontId="4" fillId="4" borderId="0" xfId="0" applyFont="1" applyFill="1" applyBorder="1" applyAlignment="1">
      <alignment horizontal="right" vertical="center" wrapText="1"/>
    </xf>
    <xf numFmtId="0" fontId="0" fillId="4" borderId="0" xfId="0" applyFill="1" applyBorder="1" applyAlignment="1">
      <alignment horizontal="center" vertical="center"/>
    </xf>
    <xf numFmtId="2" fontId="4" fillId="6" borderId="2" xfId="0" applyNumberFormat="1" applyFont="1" applyFill="1" applyBorder="1" applyAlignment="1">
      <alignment horizontal="center" vertical="center"/>
    </xf>
    <xf numFmtId="2" fontId="4" fillId="6" borderId="12" xfId="0" applyNumberFormat="1" applyFont="1" applyFill="1" applyBorder="1" applyAlignment="1">
      <alignment horizontal="center" vertical="center"/>
    </xf>
    <xf numFmtId="0" fontId="41" fillId="6" borderId="2" xfId="0" applyFont="1" applyFill="1" applyBorder="1" applyAlignment="1">
      <alignment horizontal="center" vertical="center"/>
    </xf>
    <xf numFmtId="2" fontId="4" fillId="4" borderId="5" xfId="0" applyNumberFormat="1" applyFont="1" applyFill="1" applyBorder="1" applyAlignment="1">
      <alignment horizontal="center" vertical="center"/>
    </xf>
    <xf numFmtId="0" fontId="69" fillId="2" borderId="0" xfId="0" applyFont="1" applyFill="1"/>
    <xf numFmtId="2" fontId="64" fillId="4" borderId="0" xfId="0" applyNumberFormat="1" applyFont="1" applyFill="1" applyBorder="1" applyAlignment="1">
      <alignment horizontal="center" vertical="center"/>
    </xf>
    <xf numFmtId="2" fontId="4" fillId="7" borderId="3" xfId="0" applyNumberFormat="1" applyFont="1" applyFill="1" applyBorder="1" applyAlignment="1">
      <alignment horizontal="center" vertical="center"/>
    </xf>
    <xf numFmtId="2" fontId="4" fillId="7" borderId="5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2" fontId="59" fillId="7" borderId="8" xfId="0" applyNumberFormat="1" applyFont="1" applyFill="1" applyBorder="1" applyAlignment="1">
      <alignment horizontal="center" vertical="center"/>
    </xf>
    <xf numFmtId="2" fontId="59" fillId="7" borderId="7" xfId="0" applyNumberFormat="1" applyFont="1" applyFill="1" applyBorder="1" applyAlignment="1">
      <alignment horizontal="center" vertical="center"/>
    </xf>
    <xf numFmtId="2" fontId="59" fillId="4" borderId="8" xfId="0" applyNumberFormat="1" applyFont="1" applyFill="1" applyBorder="1" applyAlignment="1">
      <alignment horizontal="center" vertical="center"/>
    </xf>
    <xf numFmtId="0" fontId="20" fillId="4" borderId="0" xfId="0" applyFont="1" applyFill="1" applyAlignment="1">
      <alignment horizontal="right"/>
    </xf>
    <xf numFmtId="0" fontId="65" fillId="2" borderId="0" xfId="0" applyFont="1" applyFill="1" applyBorder="1"/>
    <xf numFmtId="2" fontId="70" fillId="7" borderId="3" xfId="0" applyNumberFormat="1" applyFont="1" applyFill="1" applyBorder="1" applyAlignment="1">
      <alignment horizontal="center" vertical="center"/>
    </xf>
    <xf numFmtId="0" fontId="60" fillId="4" borderId="3" xfId="0" applyFont="1" applyFill="1" applyBorder="1"/>
    <xf numFmtId="2" fontId="59" fillId="7" borderId="5" xfId="0" applyNumberFormat="1" applyFont="1" applyFill="1" applyBorder="1" applyAlignment="1">
      <alignment horizontal="center" vertical="center"/>
    </xf>
    <xf numFmtId="2" fontId="59" fillId="4" borderId="5" xfId="0" applyNumberFormat="1" applyFont="1" applyFill="1" applyBorder="1" applyAlignment="1">
      <alignment horizontal="center" vertical="center"/>
    </xf>
    <xf numFmtId="0" fontId="61" fillId="4" borderId="0" xfId="0" applyFont="1" applyFill="1" applyAlignment="1">
      <alignment horizontal="center" vertical="center"/>
    </xf>
    <xf numFmtId="0" fontId="60" fillId="7" borderId="3" xfId="0" applyFont="1" applyFill="1" applyBorder="1"/>
    <xf numFmtId="2" fontId="58" fillId="4" borderId="3" xfId="0" applyNumberFormat="1" applyFont="1" applyFill="1" applyBorder="1" applyAlignment="1">
      <alignment horizontal="center" vertical="center"/>
    </xf>
    <xf numFmtId="166" fontId="12" fillId="2" borderId="0" xfId="2" applyNumberFormat="1" applyFill="1" applyBorder="1" applyAlignment="1" applyProtection="1">
      <alignment horizontal="center"/>
    </xf>
    <xf numFmtId="0" fontId="5" fillId="4" borderId="0" xfId="0" applyFont="1" applyFill="1" applyBorder="1" applyAlignment="1"/>
    <xf numFmtId="2" fontId="34" fillId="4" borderId="0" xfId="0" applyNumberFormat="1" applyFont="1" applyFill="1" applyBorder="1" applyAlignment="1">
      <alignment horizontal="center" vertical="center" wrapText="1"/>
    </xf>
    <xf numFmtId="0" fontId="35" fillId="4" borderId="0" xfId="0" applyFont="1" applyFill="1" applyBorder="1" applyAlignment="1">
      <alignment horizontal="center" vertical="center" wrapText="1"/>
    </xf>
    <xf numFmtId="0" fontId="42" fillId="4" borderId="0" xfId="0" applyFont="1" applyFill="1" applyBorder="1" applyAlignment="1">
      <alignment horizontal="center" vertical="center" wrapText="1"/>
    </xf>
    <xf numFmtId="2" fontId="59" fillId="4" borderId="7" xfId="0" applyNumberFormat="1" applyFont="1" applyFill="1" applyBorder="1" applyAlignment="1">
      <alignment horizontal="center" vertical="center"/>
    </xf>
    <xf numFmtId="2" fontId="59" fillId="4" borderId="3" xfId="3" applyNumberFormat="1" applyFont="1" applyFill="1" applyBorder="1" applyAlignment="1">
      <alignment horizontal="center" vertical="center"/>
    </xf>
    <xf numFmtId="2" fontId="59" fillId="7" borderId="3" xfId="3" applyNumberFormat="1" applyFont="1" applyFill="1" applyBorder="1" applyAlignment="1">
      <alignment horizontal="center" vertical="center"/>
    </xf>
    <xf numFmtId="2" fontId="59" fillId="4" borderId="11" xfId="0" applyNumberFormat="1" applyFont="1" applyFill="1" applyBorder="1" applyAlignment="1">
      <alignment horizontal="center" vertical="center"/>
    </xf>
    <xf numFmtId="2" fontId="59" fillId="4" borderId="0" xfId="0" applyNumberFormat="1" applyFont="1" applyFill="1" applyBorder="1" applyAlignment="1">
      <alignment horizontal="center" vertical="center"/>
    </xf>
    <xf numFmtId="2" fontId="59" fillId="4" borderId="15" xfId="0" applyNumberFormat="1" applyFont="1" applyFill="1" applyBorder="1" applyAlignment="1">
      <alignment horizontal="center" vertical="center"/>
    </xf>
    <xf numFmtId="2" fontId="59" fillId="7" borderId="15" xfId="0" applyNumberFormat="1" applyFont="1" applyFill="1" applyBorder="1" applyAlignment="1">
      <alignment horizontal="center" vertical="center"/>
    </xf>
    <xf numFmtId="2" fontId="62" fillId="7" borderId="3" xfId="0" applyNumberFormat="1" applyFont="1" applyFill="1" applyBorder="1" applyAlignment="1">
      <alignment horizontal="center" vertical="center"/>
    </xf>
    <xf numFmtId="2" fontId="62" fillId="4" borderId="3" xfId="0" applyNumberFormat="1" applyFont="1" applyFill="1" applyBorder="1" applyAlignment="1">
      <alignment horizontal="center" vertical="center"/>
    </xf>
    <xf numFmtId="2" fontId="40" fillId="4" borderId="3" xfId="0" applyNumberFormat="1" applyFont="1" applyFill="1" applyBorder="1" applyAlignment="1">
      <alignment horizontal="center" vertical="center"/>
    </xf>
    <xf numFmtId="2" fontId="40" fillId="7" borderId="3" xfId="0" applyNumberFormat="1" applyFont="1" applyFill="1" applyBorder="1" applyAlignment="1">
      <alignment horizontal="center" vertical="center"/>
    </xf>
    <xf numFmtId="2" fontId="4" fillId="7" borderId="4" xfId="0" applyNumberFormat="1" applyFont="1" applyFill="1" applyBorder="1" applyAlignment="1">
      <alignment horizontal="center" vertical="center"/>
    </xf>
    <xf numFmtId="0" fontId="65" fillId="4" borderId="0" xfId="0" applyFont="1" applyFill="1" applyAlignment="1">
      <alignment horizontal="right"/>
    </xf>
    <xf numFmtId="0" fontId="65" fillId="2" borderId="0" xfId="0" applyFont="1" applyFill="1" applyAlignment="1">
      <alignment horizontal="right"/>
    </xf>
    <xf numFmtId="0" fontId="18" fillId="2" borderId="0" xfId="0" applyFont="1" applyFill="1" applyBorder="1"/>
    <xf numFmtId="2" fontId="70" fillId="4" borderId="0" xfId="0" applyNumberFormat="1" applyFont="1" applyFill="1" applyBorder="1" applyAlignment="1">
      <alignment horizontal="center" vertical="center"/>
    </xf>
    <xf numFmtId="0" fontId="2" fillId="9" borderId="0" xfId="0" applyFont="1" applyFill="1"/>
    <xf numFmtId="0" fontId="0" fillId="9" borderId="0" xfId="0" applyFill="1"/>
    <xf numFmtId="0" fontId="66" fillId="9" borderId="0" xfId="0" applyFont="1" applyFill="1"/>
    <xf numFmtId="0" fontId="18" fillId="9" borderId="0" xfId="0" applyFont="1" applyFill="1"/>
    <xf numFmtId="0" fontId="0" fillId="9" borderId="0" xfId="0" applyFill="1" applyBorder="1"/>
    <xf numFmtId="2" fontId="0" fillId="9" borderId="0" xfId="0" applyNumberFormat="1" applyFill="1"/>
    <xf numFmtId="0" fontId="0" fillId="9" borderId="0" xfId="0" applyFill="1" applyBorder="1" applyAlignment="1"/>
    <xf numFmtId="0" fontId="0" fillId="9" borderId="22" xfId="0" applyFill="1" applyBorder="1"/>
    <xf numFmtId="2" fontId="0" fillId="9" borderId="0" xfId="0" applyNumberFormat="1" applyFill="1" applyBorder="1"/>
    <xf numFmtId="0" fontId="26" fillId="9" borderId="0" xfId="0" applyFont="1" applyFill="1" applyBorder="1"/>
    <xf numFmtId="4" fontId="0" fillId="9" borderId="0" xfId="0" applyNumberFormat="1" applyFill="1" applyBorder="1"/>
    <xf numFmtId="4" fontId="0" fillId="9" borderId="22" xfId="0" applyNumberFormat="1" applyFill="1" applyBorder="1"/>
    <xf numFmtId="0" fontId="26" fillId="9" borderId="0" xfId="0" applyFont="1" applyFill="1"/>
    <xf numFmtId="0" fontId="11" fillId="9" borderId="0" xfId="0" applyFont="1" applyFill="1"/>
    <xf numFmtId="4" fontId="0" fillId="9" borderId="0" xfId="0" applyNumberFormat="1" applyFill="1"/>
    <xf numFmtId="0" fontId="73" fillId="9" borderId="0" xfId="0" applyFont="1" applyFill="1"/>
    <xf numFmtId="0" fontId="73" fillId="9" borderId="0" xfId="0" applyFont="1" applyFill="1" applyBorder="1"/>
    <xf numFmtId="0" fontId="65" fillId="9" borderId="0" xfId="0" applyFont="1" applyFill="1"/>
    <xf numFmtId="0" fontId="65" fillId="9" borderId="0" xfId="0" applyFont="1" applyFill="1" applyBorder="1"/>
    <xf numFmtId="0" fontId="65" fillId="9" borderId="22" xfId="0" applyFont="1" applyFill="1" applyBorder="1"/>
    <xf numFmtId="0" fontId="10" fillId="9" borderId="0" xfId="0" applyFont="1" applyFill="1"/>
    <xf numFmtId="0" fontId="0" fillId="9" borderId="0" xfId="0" applyFill="1" applyBorder="1" applyAlignment="1">
      <alignment horizontal="center" vertical="center" wrapText="1"/>
    </xf>
    <xf numFmtId="0" fontId="49" fillId="9" borderId="0" xfId="0" applyFont="1" applyFill="1"/>
    <xf numFmtId="0" fontId="74" fillId="9" borderId="1" xfId="0" applyFont="1" applyFill="1" applyBorder="1" applyAlignment="1">
      <alignment horizontal="center" vertical="center"/>
    </xf>
    <xf numFmtId="0" fontId="65" fillId="9" borderId="0" xfId="0" applyFont="1" applyFill="1" applyBorder="1" applyAlignment="1">
      <alignment horizontal="center" vertical="center"/>
    </xf>
    <xf numFmtId="0" fontId="65" fillId="9" borderId="22" xfId="0" applyFont="1" applyFill="1" applyBorder="1" applyAlignment="1">
      <alignment horizontal="center" vertical="center"/>
    </xf>
    <xf numFmtId="2" fontId="65" fillId="9" borderId="0" xfId="0" applyNumberFormat="1" applyFont="1" applyFill="1"/>
    <xf numFmtId="0" fontId="74" fillId="9" borderId="0" xfId="0" applyFont="1" applyFill="1"/>
    <xf numFmtId="0" fontId="0" fillId="9" borderId="1" xfId="0" applyFill="1" applyBorder="1"/>
    <xf numFmtId="2" fontId="18" fillId="9" borderId="1" xfId="0" applyNumberFormat="1" applyFont="1" applyFill="1" applyBorder="1"/>
    <xf numFmtId="2" fontId="0" fillId="9" borderId="1" xfId="0" applyNumberFormat="1" applyFill="1" applyBorder="1"/>
    <xf numFmtId="0" fontId="26" fillId="9" borderId="1" xfId="0" applyFont="1" applyFill="1" applyBorder="1"/>
    <xf numFmtId="0" fontId="0" fillId="9" borderId="0" xfId="0" applyFill="1" applyAlignment="1"/>
    <xf numFmtId="0" fontId="0" fillId="9" borderId="22" xfId="0" applyFill="1" applyBorder="1" applyAlignment="1"/>
    <xf numFmtId="0" fontId="2" fillId="9" borderId="0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left" vertical="center"/>
    </xf>
    <xf numFmtId="0" fontId="39" fillId="2" borderId="0" xfId="0" applyFont="1" applyFill="1"/>
    <xf numFmtId="2" fontId="7" fillId="2" borderId="0" xfId="0" applyNumberFormat="1" applyFont="1" applyFill="1" applyBorder="1" applyAlignment="1">
      <alignment horizontal="center"/>
    </xf>
    <xf numFmtId="0" fontId="41" fillId="9" borderId="0" xfId="0" applyFont="1" applyFill="1"/>
    <xf numFmtId="0" fontId="41" fillId="9" borderId="0" xfId="0" applyFont="1" applyFill="1" applyBorder="1"/>
    <xf numFmtId="0" fontId="11" fillId="9" borderId="0" xfId="0" applyFont="1" applyFill="1" applyBorder="1"/>
    <xf numFmtId="0" fontId="6" fillId="2" borderId="0" xfId="0" applyFont="1" applyFill="1" applyBorder="1" applyAlignment="1">
      <alignment horizontal="left" vertical="center" wrapText="1"/>
    </xf>
    <xf numFmtId="0" fontId="50" fillId="0" borderId="0" xfId="2" applyFont="1" applyAlignment="1" applyProtection="1"/>
    <xf numFmtId="0" fontId="2" fillId="9" borderId="1" xfId="0" applyFont="1" applyFill="1" applyBorder="1" applyAlignment="1"/>
    <xf numFmtId="0" fontId="2" fillId="9" borderId="0" xfId="0" applyFont="1" applyFill="1" applyBorder="1" applyAlignment="1"/>
    <xf numFmtId="0" fontId="2" fillId="9" borderId="22" xfId="0" applyFont="1" applyFill="1" applyBorder="1" applyAlignment="1"/>
    <xf numFmtId="0" fontId="2" fillId="9" borderId="0" xfId="0" applyFont="1" applyFill="1" applyAlignment="1"/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66" fillId="9" borderId="0" xfId="0" applyFont="1" applyFill="1" applyAlignment="1">
      <alignment vertical="center"/>
    </xf>
    <xf numFmtId="0" fontId="6" fillId="4" borderId="0" xfId="0" applyFont="1" applyFill="1" applyBorder="1" applyAlignment="1">
      <alignment horizontal="center" vertical="center" wrapText="1"/>
    </xf>
    <xf numFmtId="0" fontId="21" fillId="4" borderId="0" xfId="0" applyFont="1" applyFill="1" applyAlignment="1">
      <alignment horizontal="right"/>
    </xf>
    <xf numFmtId="2" fontId="66" fillId="9" borderId="0" xfId="0" applyNumberFormat="1" applyFont="1" applyFill="1" applyBorder="1" applyAlignment="1">
      <alignment horizontal="center" vertical="center"/>
    </xf>
    <xf numFmtId="0" fontId="2" fillId="9" borderId="0" xfId="0" applyFont="1" applyFill="1" applyAlignment="1"/>
    <xf numFmtId="0" fontId="2" fillId="9" borderId="0" xfId="0" applyFont="1" applyFill="1" applyBorder="1" applyAlignment="1"/>
    <xf numFmtId="0" fontId="2" fillId="9" borderId="0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0" fontId="2" fillId="9" borderId="0" xfId="0" applyFont="1" applyFill="1" applyAlignment="1"/>
    <xf numFmtId="166" fontId="79" fillId="2" borderId="3" xfId="2" applyNumberFormat="1" applyFont="1" applyFill="1" applyBorder="1" applyAlignment="1" applyProtection="1">
      <alignment horizontal="center"/>
    </xf>
    <xf numFmtId="0" fontId="10" fillId="4" borderId="11" xfId="0" applyFont="1" applyFill="1" applyBorder="1" applyAlignment="1">
      <alignment horizontal="left" vertical="center"/>
    </xf>
    <xf numFmtId="2" fontId="59" fillId="6" borderId="4" xfId="0" applyNumberFormat="1" applyFont="1" applyFill="1" applyBorder="1" applyAlignment="1">
      <alignment horizontal="center" vertical="center"/>
    </xf>
    <xf numFmtId="0" fontId="41" fillId="6" borderId="11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 wrapText="1"/>
    </xf>
    <xf numFmtId="0" fontId="76" fillId="4" borderId="0" xfId="2" applyFont="1" applyFill="1" applyBorder="1" applyAlignment="1" applyProtection="1">
      <alignment horizontal="center" vertical="center" wrapText="1"/>
    </xf>
    <xf numFmtId="0" fontId="18" fillId="4" borderId="0" xfId="0" applyFont="1" applyFill="1" applyBorder="1" applyAlignment="1"/>
    <xf numFmtId="0" fontId="26" fillId="4" borderId="0" xfId="0" applyFont="1" applyFill="1" applyBorder="1"/>
    <xf numFmtId="4" fontId="0" fillId="4" borderId="0" xfId="0" applyNumberFormat="1" applyFill="1" applyBorder="1"/>
    <xf numFmtId="166" fontId="12" fillId="4" borderId="0" xfId="2" applyNumberFormat="1" applyFill="1" applyBorder="1" applyAlignment="1" applyProtection="1">
      <alignment horizontal="center" vertical="center"/>
    </xf>
    <xf numFmtId="0" fontId="0" fillId="4" borderId="0" xfId="0" applyFill="1" applyAlignment="1">
      <alignment horizontal="right"/>
    </xf>
    <xf numFmtId="0" fontId="11" fillId="4" borderId="0" xfId="0" applyFont="1" applyFill="1" applyBorder="1" applyAlignment="1">
      <alignment horizontal="center" vertical="center"/>
    </xf>
    <xf numFmtId="0" fontId="82" fillId="4" borderId="0" xfId="0" applyFont="1" applyFill="1" applyBorder="1" applyAlignment="1">
      <alignment horizontal="center" vertical="center" wrapText="1"/>
    </xf>
    <xf numFmtId="0" fontId="76" fillId="4" borderId="0" xfId="0" applyFont="1" applyFill="1" applyBorder="1" applyAlignment="1">
      <alignment horizontal="center" vertical="center"/>
    </xf>
    <xf numFmtId="0" fontId="81" fillId="4" borderId="0" xfId="0" applyFont="1" applyFill="1" applyBorder="1" applyAlignment="1">
      <alignment horizontal="center" vertical="center" wrapText="1"/>
    </xf>
    <xf numFmtId="2" fontId="62" fillId="4" borderId="7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wrapText="1"/>
    </xf>
    <xf numFmtId="0" fontId="3" fillId="4" borderId="0" xfId="0" applyFont="1" applyFill="1" applyBorder="1" applyAlignment="1">
      <alignment wrapText="1"/>
    </xf>
    <xf numFmtId="0" fontId="66" fillId="9" borderId="0" xfId="0" applyFont="1" applyFill="1" applyBorder="1" applyAlignment="1"/>
    <xf numFmtId="0" fontId="2" fillId="9" borderId="0" xfId="0" applyFont="1" applyFill="1" applyBorder="1" applyAlignment="1"/>
    <xf numFmtId="0" fontId="2" fillId="9" borderId="22" xfId="0" applyFont="1" applyFill="1" applyBorder="1" applyAlignment="1"/>
    <xf numFmtId="0" fontId="2" fillId="9" borderId="0" xfId="0" applyFont="1" applyFill="1" applyAlignment="1"/>
    <xf numFmtId="0" fontId="66" fillId="9" borderId="1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66" fillId="9" borderId="0" xfId="0" applyFont="1" applyFill="1" applyAlignment="1">
      <alignment vertical="center"/>
    </xf>
    <xf numFmtId="0" fontId="2" fillId="9" borderId="0" xfId="0" applyFont="1" applyFill="1" applyAlignment="1"/>
    <xf numFmtId="0" fontId="2" fillId="9" borderId="0" xfId="0" applyFont="1" applyFill="1" applyBorder="1" applyAlignment="1"/>
    <xf numFmtId="0" fontId="2" fillId="9" borderId="0" xfId="0" applyFont="1" applyFill="1" applyBorder="1" applyAlignment="1"/>
    <xf numFmtId="0" fontId="2" fillId="9" borderId="0" xfId="0" applyFont="1" applyFill="1" applyAlignment="1"/>
    <xf numFmtId="0" fontId="2" fillId="9" borderId="0" xfId="0" applyFont="1" applyFill="1" applyBorder="1" applyAlignment="1"/>
    <xf numFmtId="0" fontId="2" fillId="9" borderId="0" xfId="0" applyFont="1" applyFill="1" applyAlignment="1"/>
    <xf numFmtId="0" fontId="2" fillId="9" borderId="0" xfId="0" applyFont="1" applyFill="1" applyBorder="1" applyAlignment="1"/>
    <xf numFmtId="0" fontId="2" fillId="9" borderId="0" xfId="0" applyFont="1" applyFill="1" applyAlignment="1"/>
    <xf numFmtId="0" fontId="9" fillId="4" borderId="0" xfId="0" applyFont="1" applyFill="1"/>
    <xf numFmtId="0" fontId="95" fillId="2" borderId="0" xfId="0" applyFont="1" applyFill="1"/>
    <xf numFmtId="2" fontId="5" fillId="4" borderId="0" xfId="0" applyNumberFormat="1" applyFont="1" applyFill="1" applyBorder="1" applyAlignment="1">
      <alignment wrapText="1"/>
    </xf>
    <xf numFmtId="0" fontId="2" fillId="4" borderId="0" xfId="0" applyFont="1" applyFill="1" applyBorder="1" applyAlignment="1"/>
    <xf numFmtId="0" fontId="2" fillId="4" borderId="0" xfId="0" applyFont="1" applyFill="1" applyAlignment="1"/>
    <xf numFmtId="0" fontId="2" fillId="9" borderId="0" xfId="0" applyFont="1" applyFill="1" applyBorder="1" applyAlignment="1"/>
    <xf numFmtId="0" fontId="0" fillId="4" borderId="0" xfId="0" applyFill="1" applyAlignment="1">
      <alignment horizontal="center" vertical="center"/>
    </xf>
    <xf numFmtId="0" fontId="6" fillId="4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/>
    <xf numFmtId="0" fontId="65" fillId="4" borderId="0" xfId="0" applyFont="1" applyFill="1"/>
    <xf numFmtId="0" fontId="2" fillId="9" borderId="0" xfId="0" applyFont="1" applyFill="1" applyBorder="1" applyAlignment="1"/>
    <xf numFmtId="0" fontId="66" fillId="9" borderId="1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36" fillId="7" borderId="16" xfId="0" applyFont="1" applyFill="1" applyBorder="1" applyAlignment="1"/>
    <xf numFmtId="0" fontId="36" fillId="7" borderId="25" xfId="0" applyFont="1" applyFill="1" applyBorder="1" applyAlignment="1"/>
    <xf numFmtId="2" fontId="58" fillId="7" borderId="3" xfId="0" applyNumberFormat="1" applyFont="1" applyFill="1" applyBorder="1" applyAlignment="1">
      <alignment horizontal="center" vertical="center"/>
    </xf>
    <xf numFmtId="0" fontId="2" fillId="9" borderId="0" xfId="0" applyFont="1" applyFill="1" applyBorder="1" applyAlignment="1"/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2" fillId="9" borderId="0" xfId="0" applyFont="1" applyFill="1" applyAlignment="1"/>
    <xf numFmtId="0" fontId="2" fillId="9" borderId="0" xfId="0" applyFont="1" applyFill="1" applyBorder="1" applyAlignment="1"/>
    <xf numFmtId="0" fontId="2" fillId="9" borderId="0" xfId="0" applyFont="1" applyFill="1" applyAlignment="1"/>
    <xf numFmtId="1" fontId="59" fillId="4" borderId="8" xfId="0" applyNumberFormat="1" applyFont="1" applyFill="1" applyBorder="1" applyAlignment="1">
      <alignment horizontal="center" vertical="center"/>
    </xf>
    <xf numFmtId="0" fontId="2" fillId="9" borderId="0" xfId="0" applyFont="1" applyFill="1" applyBorder="1" applyAlignment="1"/>
    <xf numFmtId="0" fontId="2" fillId="9" borderId="0" xfId="0" applyFont="1" applyFill="1" applyAlignment="1"/>
    <xf numFmtId="0" fontId="0" fillId="7" borderId="3" xfId="0" applyFill="1" applyBorder="1"/>
    <xf numFmtId="0" fontId="5" fillId="4" borderId="3" xfId="0" applyFont="1" applyFill="1" applyBorder="1" applyAlignment="1">
      <alignment horizontal="center" vertical="center"/>
    </xf>
    <xf numFmtId="0" fontId="0" fillId="4" borderId="3" xfId="0" applyFill="1" applyBorder="1"/>
    <xf numFmtId="0" fontId="10" fillId="4" borderId="16" xfId="0" applyFont="1" applyFill="1" applyBorder="1" applyAlignment="1">
      <alignment horizontal="left" vertical="center"/>
    </xf>
    <xf numFmtId="0" fontId="41" fillId="6" borderId="16" xfId="0" applyFont="1" applyFill="1" applyBorder="1" applyAlignment="1">
      <alignment horizontal="center" vertical="center"/>
    </xf>
    <xf numFmtId="0" fontId="41" fillId="6" borderId="25" xfId="0" applyFont="1" applyFill="1" applyBorder="1" applyAlignment="1">
      <alignment horizontal="center" vertical="center"/>
    </xf>
    <xf numFmtId="0" fontId="10" fillId="6" borderId="25" xfId="0" applyFont="1" applyFill="1" applyBorder="1" applyAlignment="1">
      <alignment horizontal="left" vertical="center"/>
    </xf>
    <xf numFmtId="2" fontId="4" fillId="6" borderId="25" xfId="0" applyNumberFormat="1" applyFont="1" applyFill="1" applyBorder="1" applyAlignment="1">
      <alignment horizontal="center" vertical="center"/>
    </xf>
    <xf numFmtId="2" fontId="59" fillId="6" borderId="19" xfId="0" applyNumberFormat="1" applyFont="1" applyFill="1" applyBorder="1" applyAlignment="1">
      <alignment horizontal="center" vertical="center"/>
    </xf>
    <xf numFmtId="2" fontId="59" fillId="6" borderId="9" xfId="0" applyNumberFormat="1" applyFont="1" applyFill="1" applyBorder="1" applyAlignment="1">
      <alignment horizontal="center" vertical="center"/>
    </xf>
    <xf numFmtId="2" fontId="5" fillId="4" borderId="3" xfId="0" applyNumberFormat="1" applyFont="1" applyFill="1" applyBorder="1"/>
    <xf numFmtId="0" fontId="0" fillId="7" borderId="3" xfId="0" applyFill="1" applyBorder="1" applyAlignment="1">
      <alignment horizontal="center" vertical="center" wrapText="1"/>
    </xf>
    <xf numFmtId="2" fontId="10" fillId="7" borderId="3" xfId="0" applyNumberFormat="1" applyFont="1" applyFill="1" applyBorder="1" applyAlignment="1">
      <alignment horizontal="center" vertical="center" wrapText="1"/>
    </xf>
    <xf numFmtId="0" fontId="1" fillId="7" borderId="3" xfId="0" applyFont="1" applyFill="1" applyBorder="1"/>
    <xf numFmtId="0" fontId="1" fillId="4" borderId="3" xfId="0" applyFont="1" applyFill="1" applyBorder="1"/>
    <xf numFmtId="0" fontId="5" fillId="7" borderId="3" xfId="0" applyFont="1" applyFill="1" applyBorder="1"/>
    <xf numFmtId="0" fontId="0" fillId="7" borderId="3" xfId="0" applyFill="1" applyBorder="1" applyAlignment="1">
      <alignment horizontal="center" vertical="center" wrapText="1"/>
    </xf>
    <xf numFmtId="0" fontId="1" fillId="0" borderId="3" xfId="0" applyFont="1" applyBorder="1"/>
    <xf numFmtId="0" fontId="1" fillId="7" borderId="0" xfId="0" applyFont="1" applyFill="1"/>
    <xf numFmtId="1" fontId="59" fillId="4" borderId="3" xfId="0" applyNumberFormat="1" applyFont="1" applyFill="1" applyBorder="1" applyAlignment="1">
      <alignment horizontal="center" vertical="center"/>
    </xf>
    <xf numFmtId="1" fontId="59" fillId="7" borderId="3" xfId="0" applyNumberFormat="1" applyFont="1" applyFill="1" applyBorder="1" applyAlignment="1">
      <alignment horizontal="center" vertical="center"/>
    </xf>
    <xf numFmtId="1" fontId="59" fillId="4" borderId="7" xfId="0" applyNumberFormat="1" applyFont="1" applyFill="1" applyBorder="1" applyAlignment="1">
      <alignment horizontal="center" vertical="center"/>
    </xf>
    <xf numFmtId="1" fontId="59" fillId="7" borderId="7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vertical="center"/>
    </xf>
    <xf numFmtId="2" fontId="59" fillId="14" borderId="3" xfId="0" applyNumberFormat="1" applyFont="1" applyFill="1" applyBorder="1" applyAlignment="1">
      <alignment horizontal="center" vertical="center"/>
    </xf>
    <xf numFmtId="0" fontId="62" fillId="7" borderId="3" xfId="0" applyFont="1" applyFill="1" applyBorder="1"/>
    <xf numFmtId="0" fontId="62" fillId="4" borderId="3" xfId="0" applyFont="1" applyFill="1" applyBorder="1"/>
    <xf numFmtId="0" fontId="4" fillId="7" borderId="3" xfId="0" applyNumberFormat="1" applyFont="1" applyFill="1" applyBorder="1" applyAlignment="1">
      <alignment horizontal="center" vertical="center" wrapText="1"/>
    </xf>
    <xf numFmtId="0" fontId="4" fillId="4" borderId="3" xfId="0" applyNumberFormat="1" applyFont="1" applyFill="1" applyBorder="1" applyAlignment="1">
      <alignment horizontal="center" vertical="center" wrapText="1"/>
    </xf>
    <xf numFmtId="2" fontId="5" fillId="7" borderId="3" xfId="0" applyNumberFormat="1" applyFont="1" applyFill="1" applyBorder="1"/>
    <xf numFmtId="0" fontId="5" fillId="7" borderId="3" xfId="0" applyFont="1" applyFill="1" applyBorder="1" applyAlignment="1">
      <alignment horizontal="center" vertical="center"/>
    </xf>
    <xf numFmtId="2" fontId="6" fillId="7" borderId="2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0" xfId="0" applyFont="1"/>
    <xf numFmtId="1" fontId="59" fillId="7" borderId="8" xfId="0" applyNumberFormat="1" applyFont="1" applyFill="1" applyBorder="1" applyAlignment="1">
      <alignment horizontal="center" vertical="center"/>
    </xf>
    <xf numFmtId="1" fontId="59" fillId="4" borderId="5" xfId="0" applyNumberFormat="1" applyFont="1" applyFill="1" applyBorder="1" applyAlignment="1">
      <alignment horizontal="center" vertical="center"/>
    </xf>
    <xf numFmtId="1" fontId="59" fillId="4" borderId="11" xfId="0" applyNumberFormat="1" applyFont="1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 wrapText="1"/>
    </xf>
    <xf numFmtId="1" fontId="59" fillId="7" borderId="14" xfId="0" applyNumberFormat="1" applyFont="1" applyFill="1" applyBorder="1" applyAlignment="1">
      <alignment horizontal="center" vertical="center"/>
    </xf>
    <xf numFmtId="1" fontId="59" fillId="4" borderId="14" xfId="0" applyNumberFormat="1" applyFont="1" applyFill="1" applyBorder="1" applyAlignment="1">
      <alignment horizontal="center" vertical="center"/>
    </xf>
    <xf numFmtId="0" fontId="2" fillId="9" borderId="0" xfId="0" applyFont="1" applyFill="1" applyBorder="1" applyAlignment="1"/>
    <xf numFmtId="0" fontId="2" fillId="9" borderId="0" xfId="0" applyFont="1" applyFill="1" applyAlignment="1"/>
    <xf numFmtId="0" fontId="1" fillId="4" borderId="0" xfId="0" applyFont="1" applyFill="1"/>
    <xf numFmtId="1" fontId="59" fillId="7" borderId="5" xfId="0" applyNumberFormat="1" applyFont="1" applyFill="1" applyBorder="1" applyAlignment="1">
      <alignment horizontal="center" vertical="center"/>
    </xf>
    <xf numFmtId="0" fontId="5" fillId="4" borderId="3" xfId="0" applyFont="1" applyFill="1" applyBorder="1"/>
    <xf numFmtId="1" fontId="59" fillId="7" borderId="4" xfId="0" applyNumberFormat="1" applyFont="1" applyFill="1" applyBorder="1" applyAlignment="1">
      <alignment horizontal="center" vertical="center"/>
    </xf>
    <xf numFmtId="1" fontId="59" fillId="4" borderId="4" xfId="0" applyNumberFormat="1" applyFont="1" applyFill="1" applyBorder="1" applyAlignment="1">
      <alignment horizontal="center"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66" fillId="9" borderId="1" xfId="0" applyFont="1" applyFill="1" applyBorder="1" applyAlignment="1">
      <alignment vertical="center"/>
    </xf>
    <xf numFmtId="2" fontId="1" fillId="4" borderId="3" xfId="0" applyNumberFormat="1" applyFont="1" applyFill="1" applyBorder="1"/>
    <xf numFmtId="0" fontId="2" fillId="9" borderId="0" xfId="0" applyFont="1" applyFill="1" applyBorder="1" applyAlignment="1"/>
    <xf numFmtId="0" fontId="2" fillId="9" borderId="0" xfId="0" applyFont="1" applyFill="1" applyAlignment="1"/>
    <xf numFmtId="1" fontId="70" fillId="7" borderId="3" xfId="0" applyNumberFormat="1" applyFont="1" applyFill="1" applyBorder="1" applyAlignment="1">
      <alignment horizontal="center" vertical="center"/>
    </xf>
    <xf numFmtId="1" fontId="70" fillId="4" borderId="3" xfId="0" applyNumberFormat="1" applyFont="1" applyFill="1" applyBorder="1" applyAlignment="1">
      <alignment horizontal="center"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1" fontId="59" fillId="4" borderId="0" xfId="0" applyNumberFormat="1" applyFont="1" applyFill="1" applyBorder="1" applyAlignment="1">
      <alignment horizontal="center"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1" fontId="59" fillId="4" borderId="18" xfId="0" applyNumberFormat="1" applyFont="1" applyFill="1" applyBorder="1" applyAlignment="1">
      <alignment horizontal="center" vertical="center"/>
    </xf>
    <xf numFmtId="1" fontId="59" fillId="7" borderId="11" xfId="0" applyNumberFormat="1" applyFont="1" applyFill="1" applyBorder="1" applyAlignment="1">
      <alignment horizontal="center" vertical="center"/>
    </xf>
    <xf numFmtId="1" fontId="0" fillId="2" borderId="0" xfId="0" applyNumberFormat="1" applyFill="1" applyBorder="1" applyAlignment="1">
      <alignment horizontal="center" vertical="center" wrapText="1"/>
    </xf>
    <xf numFmtId="1" fontId="1" fillId="4" borderId="3" xfId="0" applyNumberFormat="1" applyFont="1" applyFill="1" applyBorder="1"/>
    <xf numFmtId="1" fontId="1" fillId="7" borderId="3" xfId="0" applyNumberFormat="1" applyFont="1" applyFill="1" applyBorder="1"/>
    <xf numFmtId="1" fontId="4" fillId="7" borderId="3" xfId="0" applyNumberFormat="1" applyFont="1" applyFill="1" applyBorder="1" applyAlignment="1">
      <alignment horizontal="center" vertical="center"/>
    </xf>
    <xf numFmtId="1" fontId="4" fillId="4" borderId="3" xfId="0" applyNumberFormat="1" applyFont="1" applyFill="1" applyBorder="1" applyAlignment="1">
      <alignment horizontal="center" vertical="center"/>
    </xf>
    <xf numFmtId="1" fontId="1" fillId="0" borderId="3" xfId="0" applyNumberFormat="1" applyFont="1" applyBorder="1"/>
    <xf numFmtId="1" fontId="1" fillId="7" borderId="7" xfId="0" applyNumberFormat="1" applyFont="1" applyFill="1" applyBorder="1"/>
    <xf numFmtId="1" fontId="59" fillId="4" borderId="17" xfId="0" applyNumberFormat="1" applyFont="1" applyFill="1" applyBorder="1" applyAlignment="1">
      <alignment horizontal="center" vertical="center"/>
    </xf>
    <xf numFmtId="1" fontId="59" fillId="7" borderId="17" xfId="0" applyNumberFormat="1" applyFont="1" applyFill="1" applyBorder="1" applyAlignment="1">
      <alignment horizontal="center" vertical="center"/>
    </xf>
    <xf numFmtId="1" fontId="4" fillId="7" borderId="11" xfId="0" applyNumberFormat="1" applyFont="1" applyFill="1" applyBorder="1" applyAlignment="1">
      <alignment horizontal="center" vertical="center"/>
    </xf>
    <xf numFmtId="1" fontId="4" fillId="4" borderId="11" xfId="0" applyNumberFormat="1" applyFont="1" applyFill="1" applyBorder="1" applyAlignment="1">
      <alignment horizontal="center" vertical="center"/>
    </xf>
    <xf numFmtId="1" fontId="62" fillId="4" borderId="3" xfId="0" applyNumberFormat="1" applyFont="1" applyFill="1" applyBorder="1" applyAlignment="1">
      <alignment horizontal="center" vertical="center" wrapText="1"/>
    </xf>
    <xf numFmtId="1" fontId="62" fillId="7" borderId="3" xfId="0" applyNumberFormat="1" applyFont="1" applyFill="1" applyBorder="1" applyAlignment="1">
      <alignment horizontal="center" vertical="center" wrapText="1"/>
    </xf>
    <xf numFmtId="1" fontId="1" fillId="7" borderId="3" xfId="0" applyNumberFormat="1" applyFont="1" applyFill="1" applyBorder="1" applyAlignment="1">
      <alignment vertical="center"/>
    </xf>
    <xf numFmtId="1" fontId="1" fillId="0" borderId="7" xfId="0" applyNumberFormat="1" applyFont="1" applyBorder="1"/>
    <xf numFmtId="1" fontId="59" fillId="7" borderId="9" xfId="0" applyNumberFormat="1" applyFont="1" applyFill="1" applyBorder="1" applyAlignment="1">
      <alignment horizontal="center" vertical="center"/>
    </xf>
    <xf numFmtId="168" fontId="71" fillId="4" borderId="8" xfId="0" applyNumberFormat="1" applyFont="1" applyFill="1" applyBorder="1" applyAlignment="1">
      <alignment horizontal="center" vertical="center"/>
    </xf>
    <xf numFmtId="168" fontId="4" fillId="5" borderId="3" xfId="0" applyNumberFormat="1" applyFont="1" applyFill="1" applyBorder="1" applyAlignment="1">
      <alignment horizontal="center" vertical="center"/>
    </xf>
    <xf numFmtId="168" fontId="59" fillId="7" borderId="3" xfId="0" applyNumberFormat="1" applyFont="1" applyFill="1" applyBorder="1" applyAlignment="1">
      <alignment horizontal="center" vertical="center"/>
    </xf>
    <xf numFmtId="168" fontId="59" fillId="7" borderId="7" xfId="0" applyNumberFormat="1" applyFont="1" applyFill="1" applyBorder="1" applyAlignment="1">
      <alignment horizontal="center" vertical="center"/>
    </xf>
    <xf numFmtId="168" fontId="59" fillId="4" borderId="3" xfId="0" applyNumberFormat="1" applyFont="1" applyFill="1" applyBorder="1" applyAlignment="1">
      <alignment horizontal="center" vertical="center"/>
    </xf>
    <xf numFmtId="168" fontId="59" fillId="7" borderId="8" xfId="0" applyNumberFormat="1" applyFont="1" applyFill="1" applyBorder="1" applyAlignment="1">
      <alignment horizontal="center" vertical="center"/>
    </xf>
    <xf numFmtId="0" fontId="3" fillId="12" borderId="25" xfId="0" applyNumberFormat="1" applyFont="1" applyFill="1" applyBorder="1" applyAlignment="1">
      <alignment horizontal="center" vertical="center" wrapText="1"/>
    </xf>
    <xf numFmtId="0" fontId="3" fillId="12" borderId="0" xfId="0" applyNumberFormat="1" applyFont="1" applyFill="1" applyBorder="1" applyAlignment="1">
      <alignment horizontal="center" vertical="center" wrapText="1"/>
    </xf>
    <xf numFmtId="0" fontId="3" fillId="12" borderId="12" xfId="0" applyNumberFormat="1" applyFont="1" applyFill="1" applyBorder="1" applyAlignment="1">
      <alignment horizontal="center" vertical="center" wrapText="1"/>
    </xf>
    <xf numFmtId="0" fontId="2" fillId="9" borderId="1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0" fontId="0" fillId="9" borderId="0" xfId="0" applyFill="1" applyBorder="1" applyAlignment="1">
      <alignment horizontal="center" vertical="center" wrapText="1"/>
    </xf>
    <xf numFmtId="1" fontId="106" fillId="4" borderId="3" xfId="0" applyNumberFormat="1" applyFont="1" applyFill="1" applyBorder="1" applyAlignment="1">
      <alignment horizontal="center" vertical="center"/>
    </xf>
    <xf numFmtId="1" fontId="106" fillId="7" borderId="3" xfId="0" applyNumberFormat="1" applyFont="1" applyFill="1" applyBorder="1" applyAlignment="1">
      <alignment horizontal="center" vertical="center"/>
    </xf>
    <xf numFmtId="1" fontId="106" fillId="4" borderId="4" xfId="0" applyNumberFormat="1" applyFont="1" applyFill="1" applyBorder="1" applyAlignment="1">
      <alignment horizontal="center" vertical="center"/>
    </xf>
    <xf numFmtId="1" fontId="106" fillId="7" borderId="5" xfId="0" applyNumberFormat="1" applyFont="1" applyFill="1" applyBorder="1" applyAlignment="1">
      <alignment horizontal="center" vertical="center"/>
    </xf>
    <xf numFmtId="1" fontId="106" fillId="4" borderId="5" xfId="0" applyNumberFormat="1" applyFont="1" applyFill="1" applyBorder="1" applyAlignment="1">
      <alignment horizontal="center" vertical="center"/>
    </xf>
    <xf numFmtId="0" fontId="62" fillId="4" borderId="3" xfId="0" applyFont="1" applyFill="1" applyBorder="1" applyAlignment="1">
      <alignment vertical="center"/>
    </xf>
    <xf numFmtId="0" fontId="62" fillId="7" borderId="3" xfId="0" applyFont="1" applyFill="1" applyBorder="1" applyAlignment="1">
      <alignment vertical="center"/>
    </xf>
    <xf numFmtId="0" fontId="5" fillId="7" borderId="11" xfId="0" applyFont="1" applyFill="1" applyBorder="1"/>
    <xf numFmtId="1" fontId="59" fillId="17" borderId="3" xfId="0" applyNumberFormat="1" applyFont="1" applyFill="1" applyBorder="1" applyAlignment="1">
      <alignment horizontal="center" vertical="center"/>
    </xf>
    <xf numFmtId="2" fontId="70" fillId="4" borderId="3" xfId="0" applyNumberFormat="1" applyFont="1" applyFill="1" applyBorder="1" applyAlignment="1">
      <alignment horizontal="center" vertical="center"/>
    </xf>
    <xf numFmtId="0" fontId="0" fillId="9" borderId="0" xfId="0" applyFill="1" applyBorder="1" applyAlignment="1">
      <alignment horizontal="center" vertical="center" wrapText="1"/>
    </xf>
    <xf numFmtId="168" fontId="1" fillId="7" borderId="3" xfId="0" applyNumberFormat="1" applyFont="1" applyFill="1" applyBorder="1"/>
    <xf numFmtId="2" fontId="4" fillId="14" borderId="3" xfId="0" applyNumberFormat="1" applyFont="1" applyFill="1" applyBorder="1" applyAlignment="1">
      <alignment horizontal="center" vertical="center"/>
    </xf>
    <xf numFmtId="168" fontId="1" fillId="4" borderId="3" xfId="0" applyNumberFormat="1" applyFont="1" applyFill="1" applyBorder="1"/>
    <xf numFmtId="2" fontId="4" fillId="18" borderId="3" xfId="0" applyNumberFormat="1" applyFont="1" applyFill="1" applyBorder="1" applyAlignment="1">
      <alignment horizontal="center" vertical="center"/>
    </xf>
    <xf numFmtId="2" fontId="59" fillId="18" borderId="7" xfId="0" applyNumberFormat="1" applyFont="1" applyFill="1" applyBorder="1" applyAlignment="1">
      <alignment horizontal="center" vertical="center"/>
    </xf>
    <xf numFmtId="168" fontId="59" fillId="4" borderId="7" xfId="0" applyNumberFormat="1" applyFont="1" applyFill="1" applyBorder="1" applyAlignment="1">
      <alignment horizontal="center" vertical="center"/>
    </xf>
    <xf numFmtId="2" fontId="59" fillId="18" borderId="3" xfId="0" applyNumberFormat="1" applyFont="1" applyFill="1" applyBorder="1" applyAlignment="1">
      <alignment horizontal="center" vertical="center"/>
    </xf>
    <xf numFmtId="168" fontId="59" fillId="4" borderId="8" xfId="0" applyNumberFormat="1" applyFont="1" applyFill="1" applyBorder="1" applyAlignment="1">
      <alignment horizontal="center" vertical="center"/>
    </xf>
    <xf numFmtId="2" fontId="4" fillId="4" borderId="4" xfId="0" applyNumberFormat="1" applyFont="1" applyFill="1" applyBorder="1" applyAlignment="1">
      <alignment horizontal="center" vertical="center"/>
    </xf>
    <xf numFmtId="166" fontId="79" fillId="2" borderId="3" xfId="2" applyNumberFormat="1" applyFont="1" applyFill="1" applyBorder="1" applyAlignment="1" applyProtection="1">
      <alignment horizontal="center" vertical="center"/>
    </xf>
    <xf numFmtId="166" fontId="79" fillId="2" borderId="5" xfId="2" applyNumberFormat="1" applyFont="1" applyFill="1" applyBorder="1" applyAlignment="1" applyProtection="1">
      <alignment horizontal="center"/>
    </xf>
    <xf numFmtId="166" fontId="108" fillId="2" borderId="5" xfId="2" applyNumberFormat="1" applyFont="1" applyFill="1" applyBorder="1" applyAlignment="1" applyProtection="1">
      <alignment horizontal="center"/>
    </xf>
    <xf numFmtId="166" fontId="109" fillId="2" borderId="5" xfId="2" applyNumberFormat="1" applyFont="1" applyFill="1" applyBorder="1" applyAlignment="1" applyProtection="1">
      <alignment horizontal="center"/>
    </xf>
    <xf numFmtId="0" fontId="79" fillId="2" borderId="3" xfId="2" applyFont="1" applyFill="1" applyBorder="1" applyAlignment="1" applyProtection="1">
      <alignment horizontal="center"/>
    </xf>
    <xf numFmtId="166" fontId="79" fillId="2" borderId="19" xfId="2" applyNumberFormat="1" applyFont="1" applyFill="1" applyBorder="1" applyAlignment="1" applyProtection="1">
      <alignment horizontal="center"/>
    </xf>
    <xf numFmtId="0" fontId="79" fillId="0" borderId="3" xfId="2" applyNumberFormat="1" applyFont="1" applyBorder="1" applyAlignment="1" applyProtection="1">
      <alignment horizontal="center"/>
    </xf>
    <xf numFmtId="0" fontId="65" fillId="2" borderId="3" xfId="0" applyFont="1" applyFill="1" applyBorder="1" applyAlignment="1">
      <alignment horizontal="center"/>
    </xf>
    <xf numFmtId="0" fontId="65" fillId="0" borderId="3" xfId="0" applyNumberFormat="1" applyFont="1" applyBorder="1" applyAlignment="1">
      <alignment horizontal="center"/>
    </xf>
    <xf numFmtId="0" fontId="79" fillId="0" borderId="3" xfId="2" applyFont="1" applyBorder="1" applyAlignment="1" applyProtection="1">
      <alignment horizontal="center"/>
    </xf>
    <xf numFmtId="0" fontId="79" fillId="2" borderId="7" xfId="2" applyFont="1" applyFill="1" applyBorder="1" applyAlignment="1" applyProtection="1">
      <alignment horizontal="center"/>
    </xf>
    <xf numFmtId="166" fontId="79" fillId="2" borderId="4" xfId="2" applyNumberFormat="1" applyFont="1" applyFill="1" applyBorder="1" applyAlignment="1" applyProtection="1">
      <alignment horizontal="center" vertical="center"/>
    </xf>
    <xf numFmtId="166" fontId="79" fillId="2" borderId="4" xfId="2" applyNumberFormat="1" applyFont="1" applyFill="1" applyBorder="1" applyAlignment="1" applyProtection="1">
      <alignment horizontal="center"/>
    </xf>
    <xf numFmtId="166" fontId="79" fillId="0" borderId="3" xfId="2" applyNumberFormat="1" applyFont="1" applyBorder="1" applyAlignment="1" applyProtection="1">
      <alignment horizontal="center"/>
    </xf>
    <xf numFmtId="166" fontId="79" fillId="2" borderId="5" xfId="2" applyNumberFormat="1" applyFont="1" applyFill="1" applyBorder="1" applyAlignment="1" applyProtection="1">
      <alignment horizontal="center" vertical="center"/>
    </xf>
    <xf numFmtId="166" fontId="65" fillId="2" borderId="4" xfId="0" applyNumberFormat="1" applyFont="1" applyFill="1" applyBorder="1" applyAlignment="1">
      <alignment horizontal="center"/>
    </xf>
    <xf numFmtId="166" fontId="65" fillId="2" borderId="3" xfId="0" applyNumberFormat="1" applyFont="1" applyFill="1" applyBorder="1" applyAlignment="1">
      <alignment horizontal="center"/>
    </xf>
    <xf numFmtId="166" fontId="79" fillId="4" borderId="3" xfId="2" applyNumberFormat="1" applyFont="1" applyFill="1" applyBorder="1" applyAlignment="1" applyProtection="1">
      <alignment horizontal="center"/>
    </xf>
    <xf numFmtId="166" fontId="65" fillId="4" borderId="3" xfId="0" applyNumberFormat="1" applyFont="1" applyFill="1" applyBorder="1" applyAlignment="1">
      <alignment horizontal="center"/>
    </xf>
    <xf numFmtId="49" fontId="79" fillId="2" borderId="3" xfId="2" applyNumberFormat="1" applyFont="1" applyFill="1" applyBorder="1" applyAlignment="1" applyProtection="1">
      <alignment horizontal="center"/>
    </xf>
    <xf numFmtId="49" fontId="79" fillId="2" borderId="5" xfId="2" applyNumberFormat="1" applyFont="1" applyFill="1" applyBorder="1" applyAlignment="1" applyProtection="1">
      <alignment horizontal="center"/>
    </xf>
    <xf numFmtId="0" fontId="2" fillId="9" borderId="0" xfId="0" applyFont="1" applyFill="1" applyBorder="1" applyAlignment="1"/>
    <xf numFmtId="168" fontId="71" fillId="4" borderId="3" xfId="0" applyNumberFormat="1" applyFont="1" applyFill="1" applyBorder="1" applyAlignment="1">
      <alignment horizontal="center" vertical="center" wrapText="1"/>
    </xf>
    <xf numFmtId="1" fontId="106" fillId="4" borderId="0" xfId="0" applyNumberFormat="1" applyFont="1" applyFill="1" applyBorder="1" applyAlignment="1">
      <alignment horizontal="center" vertical="center"/>
    </xf>
    <xf numFmtId="49" fontId="79" fillId="2" borderId="0" xfId="2" applyNumberFormat="1" applyFont="1" applyFill="1" applyBorder="1" applyAlignment="1" applyProtection="1">
      <alignment horizontal="center"/>
    </xf>
    <xf numFmtId="164" fontId="4" fillId="2" borderId="3" xfId="0" applyNumberFormat="1" applyFont="1" applyFill="1" applyBorder="1" applyAlignment="1">
      <alignment horizontal="center" vertical="center" wrapText="1"/>
    </xf>
    <xf numFmtId="168" fontId="71" fillId="4" borderId="3" xfId="0" applyNumberFormat="1" applyFont="1" applyFill="1" applyBorder="1" applyAlignment="1">
      <alignment horizontal="center" vertical="center"/>
    </xf>
    <xf numFmtId="0" fontId="2" fillId="9" borderId="0" xfId="0" applyFont="1" applyFill="1" applyAlignment="1"/>
    <xf numFmtId="0" fontId="2" fillId="9" borderId="22" xfId="0" applyFont="1" applyFill="1" applyBorder="1" applyAlignment="1"/>
    <xf numFmtId="0" fontId="2" fillId="9" borderId="0" xfId="0" applyFont="1" applyFill="1" applyBorder="1" applyAlignment="1"/>
    <xf numFmtId="0" fontId="2" fillId="9" borderId="1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2" fontId="5" fillId="4" borderId="5" xfId="0" applyNumberFormat="1" applyFont="1" applyFill="1" applyBorder="1" applyAlignment="1">
      <alignment horizontal="center" vertical="center"/>
    </xf>
    <xf numFmtId="2" fontId="5" fillId="7" borderId="5" xfId="0" applyNumberFormat="1" applyFont="1" applyFill="1" applyBorder="1" applyAlignment="1">
      <alignment horizontal="center" vertical="center"/>
    </xf>
    <xf numFmtId="0" fontId="2" fillId="9" borderId="0" xfId="0" applyFont="1" applyFill="1" applyBorder="1" applyAlignment="1"/>
    <xf numFmtId="0" fontId="2" fillId="9" borderId="0" xfId="0" applyFont="1" applyFill="1" applyAlignment="1"/>
    <xf numFmtId="0" fontId="2" fillId="9" borderId="0" xfId="0" applyFont="1" applyFill="1" applyAlignment="1"/>
    <xf numFmtId="0" fontId="2" fillId="9" borderId="0" xfId="0" applyFont="1" applyFill="1" applyBorder="1" applyAlignment="1"/>
    <xf numFmtId="0" fontId="2" fillId="9" borderId="1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0" fontId="2" fillId="9" borderId="0" xfId="0" applyFont="1" applyFill="1" applyAlignment="1"/>
    <xf numFmtId="0" fontId="2" fillId="9" borderId="0" xfId="0" applyFont="1" applyFill="1" applyBorder="1" applyAlignment="1"/>
    <xf numFmtId="0" fontId="2" fillId="9" borderId="0" xfId="0" applyFont="1" applyFill="1" applyBorder="1" applyAlignment="1"/>
    <xf numFmtId="166" fontId="79" fillId="2" borderId="9" xfId="2" applyNumberFormat="1" applyFont="1" applyFill="1" applyBorder="1" applyAlignment="1" applyProtection="1">
      <alignment horizontal="center"/>
    </xf>
    <xf numFmtId="0" fontId="2" fillId="9" borderId="0" xfId="0" applyFont="1" applyFill="1" applyBorder="1" applyAlignment="1"/>
    <xf numFmtId="2" fontId="59" fillId="7" borderId="11" xfId="0" applyNumberFormat="1" applyFont="1" applyFill="1" applyBorder="1" applyAlignment="1">
      <alignment horizontal="center" vertical="center"/>
    </xf>
    <xf numFmtId="1" fontId="106" fillId="4" borderId="11" xfId="0" applyNumberFormat="1" applyFont="1" applyFill="1" applyBorder="1" applyAlignment="1">
      <alignment horizontal="center" vertical="center"/>
    </xf>
    <xf numFmtId="1" fontId="106" fillId="7" borderId="11" xfId="0" applyNumberFormat="1" applyFont="1" applyFill="1" applyBorder="1" applyAlignment="1">
      <alignment horizontal="center" vertical="center"/>
    </xf>
    <xf numFmtId="0" fontId="2" fillId="9" borderId="0" xfId="0" applyFont="1" applyFill="1" applyBorder="1" applyAlignment="1"/>
    <xf numFmtId="0" fontId="0" fillId="9" borderId="0" xfId="0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left" vertical="center"/>
    </xf>
    <xf numFmtId="2" fontId="59" fillId="7" borderId="3" xfId="0" applyNumberFormat="1" applyFont="1" applyFill="1" applyBorder="1" applyAlignment="1">
      <alignment horizontal="center" vertical="center"/>
    </xf>
    <xf numFmtId="2" fontId="1" fillId="7" borderId="3" xfId="0" applyNumberFormat="1" applyFont="1" applyFill="1" applyBorder="1"/>
    <xf numFmtId="0" fontId="0" fillId="4" borderId="0" xfId="0" applyFill="1" applyBorder="1" applyAlignment="1"/>
    <xf numFmtId="0" fontId="76" fillId="4" borderId="0" xfId="2" applyFont="1" applyFill="1" applyBorder="1" applyAlignment="1" applyProtection="1">
      <alignment horizontal="center" vertical="center" wrapText="1"/>
    </xf>
    <xf numFmtId="0" fontId="2" fillId="9" borderId="0" xfId="0" applyFont="1" applyFill="1" applyBorder="1" applyAlignment="1"/>
    <xf numFmtId="0" fontId="2" fillId="9" borderId="0" xfId="0" applyFont="1" applyFill="1" applyAlignment="1"/>
    <xf numFmtId="0" fontId="78" fillId="13" borderId="12" xfId="0" applyFont="1" applyFill="1" applyBorder="1"/>
    <xf numFmtId="0" fontId="76" fillId="13" borderId="3" xfId="0" applyFont="1" applyFill="1" applyBorder="1" applyAlignment="1">
      <alignment horizontal="center" vertical="center"/>
    </xf>
    <xf numFmtId="0" fontId="66" fillId="13" borderId="3" xfId="0" applyFont="1" applyFill="1" applyBorder="1" applyAlignment="1">
      <alignment horizontal="center" vertical="center"/>
    </xf>
    <xf numFmtId="2" fontId="43" fillId="13" borderId="3" xfId="0" applyNumberFormat="1" applyFont="1" applyFill="1" applyBorder="1" applyAlignment="1">
      <alignment horizontal="center" vertical="center"/>
    </xf>
    <xf numFmtId="2" fontId="76" fillId="13" borderId="3" xfId="0" applyNumberFormat="1" applyFont="1" applyFill="1" applyBorder="1" applyAlignment="1">
      <alignment horizontal="center" vertical="center"/>
    </xf>
    <xf numFmtId="2" fontId="55" fillId="10" borderId="7" xfId="0" applyNumberFormat="1" applyFont="1" applyFill="1" applyBorder="1" applyAlignment="1">
      <alignment horizontal="center" vertical="center" wrapText="1"/>
    </xf>
    <xf numFmtId="0" fontId="74" fillId="10" borderId="5" xfId="0" applyFont="1" applyFill="1" applyBorder="1" applyAlignment="1">
      <alignment horizontal="center" vertical="center" wrapText="1"/>
    </xf>
    <xf numFmtId="0" fontId="5" fillId="19" borderId="12" xfId="0" applyFont="1" applyFill="1" applyBorder="1" applyAlignment="1">
      <alignment horizontal="left" vertical="center"/>
    </xf>
    <xf numFmtId="0" fontId="5" fillId="19" borderId="9" xfId="0" applyFont="1" applyFill="1" applyBorder="1" applyAlignment="1">
      <alignment horizontal="left" vertical="center"/>
    </xf>
    <xf numFmtId="2" fontId="46" fillId="13" borderId="3" xfId="0" applyNumberFormat="1" applyFont="1" applyFill="1" applyBorder="1" applyAlignment="1">
      <alignment horizontal="center" vertical="center"/>
    </xf>
    <xf numFmtId="0" fontId="1" fillId="4" borderId="5" xfId="0" applyFont="1" applyFill="1" applyBorder="1"/>
    <xf numFmtId="0" fontId="66" fillId="13" borderId="12" xfId="0" applyFont="1" applyFill="1" applyBorder="1" applyAlignment="1">
      <alignment horizontal="center" vertical="center"/>
    </xf>
    <xf numFmtId="0" fontId="76" fillId="13" borderId="12" xfId="0" applyFont="1" applyFill="1" applyBorder="1" applyAlignment="1">
      <alignment horizontal="center" vertical="center"/>
    </xf>
    <xf numFmtId="0" fontId="76" fillId="13" borderId="9" xfId="0" applyFont="1" applyFill="1" applyBorder="1" applyAlignment="1">
      <alignment horizontal="center" vertical="center"/>
    </xf>
    <xf numFmtId="168" fontId="59" fillId="4" borderId="35" xfId="0" applyNumberFormat="1" applyFont="1" applyFill="1" applyBorder="1" applyAlignment="1">
      <alignment horizontal="center" vertical="center"/>
    </xf>
    <xf numFmtId="168" fontId="59" fillId="4" borderId="37" xfId="0" applyNumberFormat="1" applyFont="1" applyFill="1" applyBorder="1" applyAlignment="1">
      <alignment horizontal="center" vertical="center"/>
    </xf>
    <xf numFmtId="2" fontId="77" fillId="15" borderId="5" xfId="0" applyNumberFormat="1" applyFont="1" applyFill="1" applyBorder="1" applyAlignment="1">
      <alignment horizontal="center" vertical="center"/>
    </xf>
    <xf numFmtId="2" fontId="76" fillId="15" borderId="5" xfId="0" applyNumberFormat="1" applyFont="1" applyFill="1" applyBorder="1" applyAlignment="1">
      <alignment horizontal="center"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66" fillId="9" borderId="1" xfId="0" applyFont="1" applyFill="1" applyBorder="1" applyAlignment="1">
      <alignment vertical="center"/>
    </xf>
    <xf numFmtId="0" fontId="1" fillId="2" borderId="0" xfId="0" applyFont="1" applyFill="1" applyBorder="1"/>
    <xf numFmtId="2" fontId="6" fillId="4" borderId="2" xfId="0" applyNumberFormat="1" applyFont="1" applyFill="1" applyBorder="1" applyAlignment="1">
      <alignment horizontal="center" vertical="center" wrapText="1"/>
    </xf>
    <xf numFmtId="2" fontId="65" fillId="4" borderId="3" xfId="0" applyNumberFormat="1" applyFont="1" applyFill="1" applyBorder="1"/>
    <xf numFmtId="2" fontId="65" fillId="7" borderId="3" xfId="0" applyNumberFormat="1" applyFont="1" applyFill="1" applyBorder="1"/>
    <xf numFmtId="0" fontId="4" fillId="7" borderId="5" xfId="0" applyFont="1" applyFill="1" applyBorder="1" applyAlignment="1">
      <alignment horizontal="center"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1" fontId="106" fillId="4" borderId="15" xfId="0" applyNumberFormat="1" applyFont="1" applyFill="1" applyBorder="1" applyAlignment="1">
      <alignment horizontal="center" vertical="center"/>
    </xf>
    <xf numFmtId="1" fontId="70" fillId="7" borderId="15" xfId="0" applyNumberFormat="1" applyFont="1" applyFill="1" applyBorder="1" applyAlignment="1">
      <alignment horizontal="center" vertical="center"/>
    </xf>
    <xf numFmtId="1" fontId="116" fillId="7" borderId="8" xfId="0" applyNumberFormat="1" applyFont="1" applyFill="1" applyBorder="1" applyAlignment="1">
      <alignment horizontal="center" vertical="center"/>
    </xf>
    <xf numFmtId="1" fontId="59" fillId="7" borderId="18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0" fontId="0" fillId="4" borderId="0" xfId="0" applyFill="1" applyBorder="1" applyAlignment="1">
      <alignment horizontal="center" vertical="center" wrapText="1"/>
    </xf>
    <xf numFmtId="0" fontId="0" fillId="4" borderId="0" xfId="0" applyFill="1" applyBorder="1" applyAlignment="1"/>
    <xf numFmtId="0" fontId="2" fillId="9" borderId="0" xfId="0" applyFont="1" applyFill="1" applyBorder="1" applyAlignment="1"/>
    <xf numFmtId="0" fontId="2" fillId="9" borderId="0" xfId="0" applyFont="1" applyFill="1" applyAlignment="1"/>
    <xf numFmtId="1" fontId="70" fillId="4" borderId="5" xfId="0" applyNumberFormat="1" applyFont="1" applyFill="1" applyBorder="1" applyAlignment="1">
      <alignment horizontal="center" vertical="center"/>
    </xf>
    <xf numFmtId="166" fontId="109" fillId="2" borderId="3" xfId="2" applyNumberFormat="1" applyFont="1" applyFill="1" applyBorder="1" applyAlignment="1" applyProtection="1">
      <alignment horizontal="center" vertical="center"/>
    </xf>
    <xf numFmtId="0" fontId="2" fillId="9" borderId="0" xfId="0" applyFont="1" applyFill="1" applyBorder="1" applyAlignment="1"/>
    <xf numFmtId="2" fontId="59" fillId="4" borderId="3" xfId="0" applyNumberFormat="1" applyFont="1" applyFill="1" applyBorder="1" applyAlignment="1">
      <alignment horizontal="center" vertical="center"/>
    </xf>
    <xf numFmtId="0" fontId="41" fillId="4" borderId="2" xfId="0" applyFont="1" applyFill="1" applyBorder="1" applyAlignment="1">
      <alignment horizontal="center" vertical="center"/>
    </xf>
    <xf numFmtId="1" fontId="41" fillId="4" borderId="3" xfId="0" applyNumberFormat="1" applyFont="1" applyFill="1" applyBorder="1" applyAlignment="1">
      <alignment horizontal="center" vertical="center" wrapText="1"/>
    </xf>
    <xf numFmtId="1" fontId="59" fillId="4" borderId="34" xfId="0" applyNumberFormat="1" applyFont="1" applyFill="1" applyBorder="1" applyAlignment="1">
      <alignment horizontal="center" vertical="center"/>
    </xf>
    <xf numFmtId="1" fontId="59" fillId="7" borderId="31" xfId="0" applyNumberFormat="1" applyFont="1" applyFill="1" applyBorder="1" applyAlignment="1">
      <alignment horizontal="center" vertical="center"/>
    </xf>
    <xf numFmtId="2" fontId="59" fillId="7" borderId="32" xfId="0" applyNumberFormat="1" applyFont="1" applyFill="1" applyBorder="1" applyAlignment="1">
      <alignment horizontal="center" vertical="center"/>
    </xf>
    <xf numFmtId="1" fontId="59" fillId="7" borderId="32" xfId="0" applyNumberFormat="1" applyFont="1" applyFill="1" applyBorder="1" applyAlignment="1">
      <alignment horizontal="center" vertical="center"/>
    </xf>
    <xf numFmtId="1" fontId="41" fillId="7" borderId="7" xfId="0" applyNumberFormat="1" applyFont="1" applyFill="1" applyBorder="1" applyAlignment="1">
      <alignment horizontal="center" vertical="center" wrapText="1"/>
    </xf>
    <xf numFmtId="2" fontId="4" fillId="7" borderId="7" xfId="0" applyNumberFormat="1" applyFont="1" applyFill="1" applyBorder="1" applyAlignment="1">
      <alignment horizontal="center" vertical="center"/>
    </xf>
    <xf numFmtId="0" fontId="41" fillId="7" borderId="25" xfId="0" applyFont="1" applyFill="1" applyBorder="1" applyAlignment="1">
      <alignment horizontal="center" vertical="center"/>
    </xf>
    <xf numFmtId="1" fontId="106" fillId="4" borderId="7" xfId="0" applyNumberFormat="1" applyFont="1" applyFill="1" applyBorder="1" applyAlignment="1">
      <alignment horizontal="center" vertical="center"/>
    </xf>
    <xf numFmtId="2" fontId="59" fillId="4" borderId="3" xfId="0" applyNumberFormat="1" applyFont="1" applyFill="1" applyBorder="1" applyAlignment="1">
      <alignment horizontal="center" vertical="center"/>
    </xf>
    <xf numFmtId="0" fontId="117" fillId="2" borderId="0" xfId="0" applyFont="1" applyFill="1"/>
    <xf numFmtId="1" fontId="59" fillId="21" borderId="5" xfId="0" applyNumberFormat="1" applyFont="1" applyFill="1" applyBorder="1" applyAlignment="1">
      <alignment horizontal="center" vertical="center"/>
    </xf>
    <xf numFmtId="1" fontId="59" fillId="21" borderId="3" xfId="0" applyNumberFormat="1" applyFont="1" applyFill="1" applyBorder="1" applyAlignment="1">
      <alignment horizontal="center" vertical="center"/>
    </xf>
    <xf numFmtId="0" fontId="1" fillId="21" borderId="3" xfId="0" applyFont="1" applyFill="1" applyBorder="1"/>
    <xf numFmtId="2" fontId="4" fillId="21" borderId="3" xfId="0" applyNumberFormat="1" applyFont="1" applyFill="1" applyBorder="1" applyAlignment="1">
      <alignment horizontal="center" vertical="center"/>
    </xf>
    <xf numFmtId="1" fontId="1" fillId="21" borderId="3" xfId="0" applyNumberFormat="1" applyFont="1" applyFill="1" applyBorder="1"/>
    <xf numFmtId="1" fontId="106" fillId="21" borderId="3" xfId="0" applyNumberFormat="1" applyFont="1" applyFill="1" applyBorder="1" applyAlignment="1">
      <alignment horizontal="center" vertical="center"/>
    </xf>
    <xf numFmtId="1" fontId="59" fillId="21" borderId="14" xfId="0" applyNumberFormat="1" applyFont="1" applyFill="1" applyBorder="1" applyAlignment="1">
      <alignment horizontal="center" vertical="center"/>
    </xf>
    <xf numFmtId="2" fontId="4" fillId="21" borderId="5" xfId="0" applyNumberFormat="1" applyFont="1" applyFill="1" applyBorder="1" applyAlignment="1">
      <alignment horizontal="center" vertical="center"/>
    </xf>
    <xf numFmtId="2" fontId="5" fillId="21" borderId="5" xfId="0" applyNumberFormat="1" applyFont="1" applyFill="1" applyBorder="1" applyAlignment="1">
      <alignment horizontal="center" vertical="center"/>
    </xf>
    <xf numFmtId="1" fontId="106" fillId="21" borderId="5" xfId="0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9" borderId="0" xfId="0" applyFont="1" applyFill="1" applyAlignment="1"/>
    <xf numFmtId="0" fontId="2" fillId="9" borderId="22" xfId="0" applyFont="1" applyFill="1" applyBorder="1" applyAlignment="1"/>
    <xf numFmtId="0" fontId="2" fillId="9" borderId="1" xfId="0" applyFont="1" applyFill="1" applyBorder="1" applyAlignment="1"/>
    <xf numFmtId="2" fontId="62" fillId="7" borderId="3" xfId="0" applyNumberFormat="1" applyFont="1" applyFill="1" applyBorder="1"/>
    <xf numFmtId="2" fontId="59" fillId="7" borderId="3" xfId="0" applyNumberFormat="1" applyFont="1" applyFill="1" applyBorder="1" applyAlignment="1">
      <alignment horizontal="center"/>
    </xf>
    <xf numFmtId="1" fontId="59" fillId="7" borderId="3" xfId="0" applyNumberFormat="1" applyFont="1" applyFill="1" applyBorder="1" applyAlignment="1">
      <alignment horizontal="center"/>
    </xf>
    <xf numFmtId="0" fontId="66" fillId="9" borderId="1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1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2" fillId="9" borderId="1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0" fontId="2" fillId="9" borderId="0" xfId="0" applyFont="1" applyFill="1" applyBorder="1" applyAlignment="1"/>
    <xf numFmtId="0" fontId="66" fillId="9" borderId="0" xfId="0" applyFont="1" applyFill="1" applyAlignment="1">
      <alignment vertical="center"/>
    </xf>
    <xf numFmtId="2" fontId="5" fillId="4" borderId="0" xfId="0" applyNumberFormat="1" applyFont="1" applyFill="1" applyBorder="1" applyAlignment="1"/>
    <xf numFmtId="2" fontId="0" fillId="4" borderId="0" xfId="0" applyNumberFormat="1" applyFill="1" applyBorder="1" applyAlignment="1"/>
    <xf numFmtId="0" fontId="66" fillId="9" borderId="0" xfId="0" applyFont="1" applyFill="1" applyBorder="1" applyAlignment="1"/>
    <xf numFmtId="0" fontId="5" fillId="4" borderId="11" xfId="0" applyFont="1" applyFill="1" applyBorder="1"/>
    <xf numFmtId="0" fontId="1" fillId="7" borderId="5" xfId="0" applyFont="1" applyFill="1" applyBorder="1"/>
    <xf numFmtId="1" fontId="1" fillId="7" borderId="5" xfId="0" applyNumberFormat="1" applyFont="1" applyFill="1" applyBorder="1"/>
    <xf numFmtId="1" fontId="106" fillId="0" borderId="3" xfId="0" applyNumberFormat="1" applyFont="1" applyFill="1" applyBorder="1" applyAlignment="1">
      <alignment horizontal="center" vertical="center"/>
    </xf>
    <xf numFmtId="1" fontId="106" fillId="7" borderId="7" xfId="0" applyNumberFormat="1" applyFont="1" applyFill="1" applyBorder="1" applyAlignment="1">
      <alignment horizontal="center" vertical="center"/>
    </xf>
    <xf numFmtId="166" fontId="79" fillId="4" borderId="0" xfId="2" applyNumberFormat="1" applyFont="1" applyFill="1" applyBorder="1" applyAlignment="1" applyProtection="1">
      <alignment horizontal="center"/>
    </xf>
    <xf numFmtId="0" fontId="73" fillId="4" borderId="0" xfId="0" applyFont="1" applyFill="1" applyBorder="1"/>
    <xf numFmtId="0" fontId="4" fillId="7" borderId="3" xfId="0" applyFont="1" applyFill="1" applyBorder="1"/>
    <xf numFmtId="0" fontId="4" fillId="4" borderId="3" xfId="0" applyFont="1" applyFill="1" applyBorder="1"/>
    <xf numFmtId="0" fontId="4" fillId="7" borderId="3" xfId="0" applyFont="1" applyFill="1" applyBorder="1" applyAlignment="1"/>
    <xf numFmtId="0" fontId="4" fillId="4" borderId="3" xfId="0" applyFont="1" applyFill="1" applyBorder="1" applyAlignment="1"/>
    <xf numFmtId="1" fontId="59" fillId="4" borderId="15" xfId="0" applyNumberFormat="1" applyFont="1" applyFill="1" applyBorder="1" applyAlignment="1">
      <alignment horizontal="center" vertical="center"/>
    </xf>
    <xf numFmtId="2" fontId="4" fillId="7" borderId="22" xfId="0" applyNumberFormat="1" applyFont="1" applyFill="1" applyBorder="1" applyAlignment="1">
      <alignment horizontal="center"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2" fillId="9" borderId="1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0" fontId="66" fillId="9" borderId="1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2" fontId="62" fillId="4" borderId="3" xfId="0" applyNumberFormat="1" applyFont="1" applyFill="1" applyBorder="1"/>
    <xf numFmtId="2" fontId="59" fillId="4" borderId="3" xfId="0" applyNumberFormat="1" applyFont="1" applyFill="1" applyBorder="1" applyAlignment="1">
      <alignment horizontal="center"/>
    </xf>
    <xf numFmtId="1" fontId="59" fillId="4" borderId="3" xfId="0" applyNumberFormat="1" applyFont="1" applyFill="1" applyBorder="1" applyAlignment="1">
      <alignment horizontal="center"/>
    </xf>
    <xf numFmtId="2" fontId="59" fillId="21" borderId="3" xfId="0" applyNumberFormat="1" applyFont="1" applyFill="1" applyBorder="1" applyAlignment="1">
      <alignment horizontal="center" vertical="center"/>
    </xf>
    <xf numFmtId="2" fontId="66" fillId="7" borderId="3" xfId="0" applyNumberFormat="1" applyFont="1" applyFill="1" applyBorder="1" applyAlignment="1">
      <alignment horizontal="center" vertical="center"/>
    </xf>
    <xf numFmtId="2" fontId="66" fillId="4" borderId="3" xfId="0" applyNumberFormat="1" applyFont="1" applyFill="1" applyBorder="1" applyAlignment="1">
      <alignment horizontal="center" vertical="center"/>
    </xf>
    <xf numFmtId="1" fontId="107" fillId="7" borderId="3" xfId="0" applyNumberFormat="1" applyFont="1" applyFill="1" applyBorder="1" applyAlignment="1">
      <alignment horizontal="center" vertical="center"/>
    </xf>
    <xf numFmtId="2" fontId="59" fillId="4" borderId="3" xfId="0" applyNumberFormat="1" applyFont="1" applyFill="1" applyBorder="1" applyAlignment="1">
      <alignment horizontal="center" vertical="center"/>
    </xf>
    <xf numFmtId="2" fontId="59" fillId="21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2" fontId="59" fillId="4" borderId="3" xfId="0" applyNumberFormat="1" applyFont="1" applyFill="1" applyBorder="1" applyAlignment="1">
      <alignment horizontal="center" vertical="center"/>
    </xf>
    <xf numFmtId="0" fontId="0" fillId="4" borderId="0" xfId="0" applyFill="1" applyBorder="1" applyAlignment="1"/>
    <xf numFmtId="0" fontId="1" fillId="7" borderId="3" xfId="0" applyFont="1" applyFill="1" applyBorder="1" applyAlignment="1">
      <alignment horizontal="center" vertical="center" wrapText="1"/>
    </xf>
    <xf numFmtId="0" fontId="1" fillId="7" borderId="0" xfId="0" applyFont="1" applyFill="1" applyBorder="1"/>
    <xf numFmtId="0" fontId="1" fillId="4" borderId="0" xfId="0" applyFont="1" applyFill="1" applyBorder="1"/>
    <xf numFmtId="0" fontId="61" fillId="7" borderId="3" xfId="0" applyFont="1" applyFill="1" applyBorder="1" applyAlignment="1">
      <alignment horizontal="center" vertical="center" wrapText="1"/>
    </xf>
    <xf numFmtId="0" fontId="9" fillId="6" borderId="18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1" fontId="1" fillId="4" borderId="3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7" borderId="3" xfId="0" applyFont="1" applyFill="1" applyBorder="1" applyAlignment="1">
      <alignment horizontal="center" vertical="center"/>
    </xf>
    <xf numFmtId="1" fontId="1" fillId="7" borderId="3" xfId="0" applyNumberFormat="1" applyFont="1" applyFill="1" applyBorder="1" applyAlignment="1">
      <alignment horizontal="center" vertical="center"/>
    </xf>
    <xf numFmtId="2" fontId="59" fillId="21" borderId="5" xfId="3" applyNumberFormat="1" applyFont="1" applyFill="1" applyBorder="1" applyAlignment="1">
      <alignment horizontal="center" vertical="center"/>
    </xf>
    <xf numFmtId="1" fontId="59" fillId="21" borderId="8" xfId="0" applyNumberFormat="1" applyFont="1" applyFill="1" applyBorder="1" applyAlignment="1">
      <alignment horizontal="center" vertical="center"/>
    </xf>
    <xf numFmtId="2" fontId="59" fillId="21" borderId="5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70" fillId="21" borderId="3" xfId="0" applyNumberFormat="1" applyFont="1" applyFill="1" applyBorder="1" applyAlignment="1">
      <alignment horizontal="center" vertical="center"/>
    </xf>
    <xf numFmtId="1" fontId="59" fillId="21" borderId="4" xfId="0" applyNumberFormat="1" applyFont="1" applyFill="1" applyBorder="1" applyAlignment="1">
      <alignment horizontal="center" vertical="center"/>
    </xf>
    <xf numFmtId="2" fontId="59" fillId="21" borderId="3" xfId="0" applyNumberFormat="1" applyFont="1" applyFill="1" applyBorder="1" applyAlignment="1">
      <alignment horizontal="center" vertical="center"/>
    </xf>
    <xf numFmtId="2" fontId="59" fillId="4" borderId="3" xfId="0" applyNumberFormat="1" applyFont="1" applyFill="1" applyBorder="1" applyAlignment="1">
      <alignment horizontal="center" vertical="center"/>
    </xf>
    <xf numFmtId="2" fontId="59" fillId="21" borderId="3" xfId="0" applyNumberFormat="1" applyFont="1" applyFill="1" applyBorder="1" applyAlignment="1">
      <alignment horizontal="center" vertical="center"/>
    </xf>
    <xf numFmtId="2" fontId="59" fillId="4" borderId="3" xfId="0" applyNumberFormat="1" applyFont="1" applyFill="1" applyBorder="1" applyAlignment="1">
      <alignment horizontal="center" vertical="center"/>
    </xf>
    <xf numFmtId="2" fontId="59" fillId="4" borderId="3" xfId="0" applyNumberFormat="1" applyFont="1" applyFill="1" applyBorder="1" applyAlignment="1">
      <alignment horizontal="center" vertical="center"/>
    </xf>
    <xf numFmtId="2" fontId="59" fillId="4" borderId="3" xfId="0" applyNumberFormat="1" applyFont="1" applyFill="1" applyBorder="1" applyAlignment="1">
      <alignment horizontal="center" vertical="center"/>
    </xf>
    <xf numFmtId="0" fontId="2" fillId="9" borderId="0" xfId="0" applyFont="1" applyFill="1" applyBorder="1" applyAlignment="1"/>
    <xf numFmtId="0" fontId="2" fillId="9" borderId="0" xfId="0" applyFont="1" applyFill="1" applyAlignment="1"/>
    <xf numFmtId="2" fontId="59" fillId="7" borderId="3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1" fontId="59" fillId="7" borderId="33" xfId="0" applyNumberFormat="1" applyFont="1" applyFill="1" applyBorder="1" applyAlignment="1">
      <alignment horizontal="center" vertical="center"/>
    </xf>
    <xf numFmtId="1" fontId="59" fillId="4" borderId="33" xfId="0" applyNumberFormat="1" applyFont="1" applyFill="1" applyBorder="1" applyAlignment="1">
      <alignment horizontal="center" vertical="center"/>
    </xf>
    <xf numFmtId="1" fontId="59" fillId="4" borderId="10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2" fontId="59" fillId="7" borderId="3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2" fontId="59" fillId="7" borderId="3" xfId="0" applyNumberFormat="1" applyFont="1" applyFill="1" applyBorder="1" applyAlignment="1">
      <alignment horizontal="center" vertical="center"/>
    </xf>
    <xf numFmtId="0" fontId="0" fillId="4" borderId="0" xfId="0" applyFill="1" applyBorder="1" applyAlignment="1"/>
    <xf numFmtId="2" fontId="59" fillId="7" borderId="12" xfId="0" applyNumberFormat="1" applyFont="1" applyFill="1" applyBorder="1" applyAlignment="1">
      <alignment horizontal="center" vertical="center"/>
    </xf>
    <xf numFmtId="1" fontId="59" fillId="4" borderId="35" xfId="0" applyNumberFormat="1" applyFont="1" applyFill="1" applyBorder="1" applyAlignment="1">
      <alignment horizontal="center" vertical="center"/>
    </xf>
    <xf numFmtId="1" fontId="59" fillId="4" borderId="21" xfId="0" applyNumberFormat="1" applyFont="1" applyFill="1" applyBorder="1" applyAlignment="1">
      <alignment horizontal="center" vertical="center"/>
    </xf>
    <xf numFmtId="2" fontId="59" fillId="4" borderId="2" xfId="0" applyNumberFormat="1" applyFont="1" applyFill="1" applyBorder="1" applyAlignment="1">
      <alignment horizontal="center" vertical="center"/>
    </xf>
    <xf numFmtId="0" fontId="1" fillId="4" borderId="2" xfId="0" applyFont="1" applyFill="1" applyBorder="1"/>
    <xf numFmtId="0" fontId="1" fillId="4" borderId="12" xfId="0" applyFont="1" applyFill="1" applyBorder="1"/>
    <xf numFmtId="166" fontId="79" fillId="2" borderId="0" xfId="2" applyNumberFormat="1" applyFont="1" applyFill="1" applyBorder="1" applyAlignment="1" applyProtection="1">
      <alignment horizontal="center" vertical="center"/>
    </xf>
    <xf numFmtId="0" fontId="1" fillId="4" borderId="0" xfId="0" applyFont="1" applyFill="1" applyBorder="1" applyAlignment="1"/>
    <xf numFmtId="1" fontId="106" fillId="4" borderId="18" xfId="0" applyNumberFormat="1" applyFont="1" applyFill="1" applyBorder="1" applyAlignment="1">
      <alignment horizontal="center" vertical="center"/>
    </xf>
    <xf numFmtId="0" fontId="15" fillId="4" borderId="3" xfId="0" applyFont="1" applyFill="1" applyBorder="1"/>
    <xf numFmtId="0" fontId="4" fillId="7" borderId="3" xfId="0" applyFont="1" applyFill="1" applyBorder="1" applyAlignment="1">
      <alignment horizontal="center" vertical="center"/>
    </xf>
    <xf numFmtId="1" fontId="70" fillId="21" borderId="3" xfId="0" applyNumberFormat="1" applyFont="1" applyFill="1" applyBorder="1" applyAlignment="1">
      <alignment horizontal="center" vertical="center"/>
    </xf>
    <xf numFmtId="2" fontId="58" fillId="4" borderId="7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vertical="center"/>
    </xf>
    <xf numFmtId="1" fontId="1" fillId="4" borderId="5" xfId="0" applyNumberFormat="1" applyFont="1" applyFill="1" applyBorder="1" applyAlignment="1">
      <alignment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2" fontId="59" fillId="21" borderId="3" xfId="0" applyNumberFormat="1" applyFont="1" applyFill="1" applyBorder="1" applyAlignment="1">
      <alignment horizontal="center" vertical="center"/>
    </xf>
    <xf numFmtId="2" fontId="59" fillId="21" borderId="3" xfId="0" applyNumberFormat="1" applyFont="1" applyFill="1" applyBorder="1" applyAlignment="1">
      <alignment horizontal="center" vertical="center"/>
    </xf>
    <xf numFmtId="2" fontId="59" fillId="21" borderId="3" xfId="0" applyNumberFormat="1" applyFont="1" applyFill="1" applyBorder="1" applyAlignment="1">
      <alignment horizontal="center"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2" fontId="59" fillId="21" borderId="3" xfId="0" applyNumberFormat="1" applyFont="1" applyFill="1" applyBorder="1" applyAlignment="1">
      <alignment horizontal="center" vertical="center"/>
    </xf>
    <xf numFmtId="2" fontId="59" fillId="21" borderId="3" xfId="0" applyNumberFormat="1" applyFont="1" applyFill="1" applyBorder="1" applyAlignment="1">
      <alignment horizontal="center" vertical="center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1" fillId="7" borderId="11" xfId="0" applyFont="1" applyFill="1" applyBorder="1"/>
    <xf numFmtId="0" fontId="0" fillId="4" borderId="5" xfId="0" applyFill="1" applyBorder="1"/>
    <xf numFmtId="2" fontId="6" fillId="4" borderId="12" xfId="0" applyNumberFormat="1" applyFont="1" applyFill="1" applyBorder="1" applyAlignment="1">
      <alignment horizontal="center" vertical="center" wrapText="1"/>
    </xf>
    <xf numFmtId="0" fontId="5" fillId="4" borderId="5" xfId="0" applyFont="1" applyFill="1" applyBorder="1"/>
    <xf numFmtId="0" fontId="66" fillId="9" borderId="0" xfId="0" applyFont="1" applyFill="1" applyBorder="1" applyAlignment="1">
      <alignment vertical="center"/>
    </xf>
    <xf numFmtId="0" fontId="1" fillId="4" borderId="7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0" fillId="4" borderId="0" xfId="0" applyFill="1" applyBorder="1" applyAlignment="1"/>
    <xf numFmtId="0" fontId="1" fillId="7" borderId="3" xfId="0" applyFont="1" applyFill="1" applyBorder="1" applyAlignment="1">
      <alignment horizontal="center" vertical="center" wrapText="1"/>
    </xf>
    <xf numFmtId="1" fontId="70" fillId="4" borderId="0" xfId="0" applyNumberFormat="1" applyFont="1" applyFill="1" applyBorder="1" applyAlignment="1">
      <alignment horizontal="center" vertical="center"/>
    </xf>
    <xf numFmtId="166" fontId="79" fillId="2" borderId="0" xfId="2" applyNumberFormat="1" applyFont="1" applyFill="1" applyBorder="1" applyAlignment="1" applyProtection="1">
      <alignment horizontal="center"/>
    </xf>
    <xf numFmtId="1" fontId="59" fillId="0" borderId="3" xfId="0" applyNumberFormat="1" applyFont="1" applyFill="1" applyBorder="1" applyAlignment="1">
      <alignment horizontal="center" vertical="center"/>
    </xf>
    <xf numFmtId="1" fontId="116" fillId="7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2" fontId="59" fillId="21" borderId="3" xfId="0" applyNumberFormat="1" applyFont="1" applyFill="1" applyBorder="1" applyAlignment="1">
      <alignment horizontal="center" vertical="center"/>
    </xf>
    <xf numFmtId="0" fontId="61" fillId="4" borderId="3" xfId="0" applyFont="1" applyFill="1" applyBorder="1" applyAlignment="1">
      <alignment horizontal="center" vertical="center" wrapText="1"/>
    </xf>
    <xf numFmtId="2" fontId="59" fillId="4" borderId="19" xfId="0" applyNumberFormat="1" applyFont="1" applyFill="1" applyBorder="1" applyAlignment="1">
      <alignment horizontal="center" vertical="center"/>
    </xf>
    <xf numFmtId="2" fontId="40" fillId="4" borderId="7" xfId="0" applyNumberFormat="1" applyFont="1" applyFill="1" applyBorder="1" applyAlignment="1">
      <alignment horizontal="center" vertical="center"/>
    </xf>
    <xf numFmtId="2" fontId="59" fillId="7" borderId="4" xfId="0" applyNumberFormat="1" applyFont="1" applyFill="1" applyBorder="1" applyAlignment="1">
      <alignment horizontal="center" vertical="center"/>
    </xf>
    <xf numFmtId="2" fontId="64" fillId="7" borderId="3" xfId="0" applyNumberFormat="1" applyFont="1" applyFill="1" applyBorder="1" applyAlignment="1">
      <alignment horizontal="center" vertical="center"/>
    </xf>
    <xf numFmtId="2" fontId="66" fillId="21" borderId="3" xfId="0" applyNumberFormat="1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2" fontId="40" fillId="4" borderId="3" xfId="0" applyNumberFormat="1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2" fontId="59" fillId="7" borderId="35" xfId="0" applyNumberFormat="1" applyFont="1" applyFill="1" applyBorder="1" applyAlignment="1">
      <alignment horizontal="center" vertical="center"/>
    </xf>
    <xf numFmtId="1" fontId="59" fillId="4" borderId="32" xfId="0" applyNumberFormat="1" applyFont="1" applyFill="1" applyBorder="1" applyAlignment="1">
      <alignment horizontal="center" vertical="center"/>
    </xf>
    <xf numFmtId="0" fontId="61" fillId="19" borderId="7" xfId="0" applyFont="1" applyFill="1" applyBorder="1" applyAlignment="1">
      <alignment horizontal="center" vertical="center" wrapText="1"/>
    </xf>
    <xf numFmtId="0" fontId="61" fillId="19" borderId="5" xfId="0" applyFont="1" applyFill="1" applyBorder="1" applyAlignment="1">
      <alignment horizontal="center" vertical="center" wrapText="1"/>
    </xf>
    <xf numFmtId="0" fontId="50" fillId="2" borderId="0" xfId="2" applyFont="1" applyFill="1" applyAlignment="1" applyProtection="1"/>
    <xf numFmtId="0" fontId="50" fillId="0" borderId="0" xfId="2" applyFont="1" applyAlignment="1" applyProtection="1"/>
    <xf numFmtId="2" fontId="5" fillId="6" borderId="11" xfId="0" applyNumberFormat="1" applyFont="1" applyFill="1" applyBorder="1" applyAlignment="1"/>
    <xf numFmtId="0" fontId="18" fillId="6" borderId="2" xfId="0" applyFont="1" applyFill="1" applyBorder="1" applyAlignment="1"/>
    <xf numFmtId="0" fontId="18" fillId="6" borderId="4" xfId="0" applyFont="1" applyFill="1" applyBorder="1" applyAlignment="1"/>
    <xf numFmtId="0" fontId="52" fillId="4" borderId="0" xfId="2" applyFont="1" applyFill="1" applyAlignment="1" applyProtection="1"/>
    <xf numFmtId="0" fontId="52" fillId="0" borderId="0" xfId="2" applyFont="1" applyAlignment="1" applyProtection="1"/>
    <xf numFmtId="0" fontId="2" fillId="2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61" fillId="11" borderId="3" xfId="0" applyFont="1" applyFill="1" applyBorder="1" applyAlignment="1">
      <alignment horizontal="center" vertical="center" wrapText="1"/>
    </xf>
    <xf numFmtId="0" fontId="60" fillId="11" borderId="3" xfId="0" applyFont="1" applyFill="1" applyBorder="1" applyAlignment="1">
      <alignment horizontal="center" vertical="center" wrapText="1"/>
    </xf>
    <xf numFmtId="2" fontId="104" fillId="13" borderId="3" xfId="0" applyNumberFormat="1" applyFont="1" applyFill="1" applyBorder="1" applyAlignment="1">
      <alignment horizontal="center" vertical="center" wrapText="1"/>
    </xf>
    <xf numFmtId="0" fontId="78" fillId="13" borderId="3" xfId="0" applyFont="1" applyFill="1" applyBorder="1" applyAlignment="1">
      <alignment horizontal="center" vertical="center" wrapText="1"/>
    </xf>
    <xf numFmtId="0" fontId="4" fillId="19" borderId="16" xfId="2" applyFont="1" applyFill="1" applyBorder="1" applyAlignment="1" applyProtection="1">
      <alignment horizontal="center" vertical="center" wrapText="1"/>
    </xf>
    <xf numFmtId="0" fontId="1" fillId="19" borderId="25" xfId="0" applyFont="1" applyFill="1" applyBorder="1" applyAlignment="1">
      <alignment horizontal="center" vertical="center" wrapText="1"/>
    </xf>
    <xf numFmtId="0" fontId="1" fillId="19" borderId="19" xfId="0" applyFont="1" applyFill="1" applyBorder="1" applyAlignment="1">
      <alignment horizontal="center" vertical="center" wrapText="1"/>
    </xf>
    <xf numFmtId="0" fontId="1" fillId="19" borderId="18" xfId="0" applyFont="1" applyFill="1" applyBorder="1" applyAlignment="1">
      <alignment horizontal="center" vertical="center" wrapText="1"/>
    </xf>
    <xf numFmtId="0" fontId="1" fillId="19" borderId="12" xfId="0" applyFont="1" applyFill="1" applyBorder="1" applyAlignment="1">
      <alignment horizontal="center" vertical="center" wrapText="1"/>
    </xf>
    <xf numFmtId="0" fontId="1" fillId="19" borderId="9" xfId="0" applyFont="1" applyFill="1" applyBorder="1" applyAlignment="1">
      <alignment horizontal="center" vertical="center" wrapText="1"/>
    </xf>
    <xf numFmtId="2" fontId="5" fillId="6" borderId="18" xfId="0" applyNumberFormat="1" applyFont="1" applyFill="1" applyBorder="1" applyAlignment="1"/>
    <xf numFmtId="0" fontId="0" fillId="6" borderId="12" xfId="0" applyFill="1" applyBorder="1" applyAlignment="1"/>
    <xf numFmtId="0" fontId="0" fillId="6" borderId="9" xfId="0" applyFill="1" applyBorder="1" applyAlignment="1"/>
    <xf numFmtId="0" fontId="0" fillId="6" borderId="2" xfId="0" applyFill="1" applyBorder="1" applyAlignment="1"/>
    <xf numFmtId="0" fontId="0" fillId="6" borderId="4" xfId="0" applyFill="1" applyBorder="1" applyAlignment="1"/>
    <xf numFmtId="0" fontId="61" fillId="19" borderId="3" xfId="0" applyFont="1" applyFill="1" applyBorder="1" applyAlignment="1">
      <alignment horizontal="center" vertical="center" wrapText="1"/>
    </xf>
    <xf numFmtId="2" fontId="5" fillId="4" borderId="3" xfId="0" applyNumberFormat="1" applyFont="1" applyFill="1" applyBorder="1" applyAlignment="1">
      <alignment wrapText="1"/>
    </xf>
    <xf numFmtId="0" fontId="0" fillId="4" borderId="3" xfId="0" applyFill="1" applyBorder="1" applyAlignment="1">
      <alignment wrapText="1"/>
    </xf>
    <xf numFmtId="2" fontId="5" fillId="7" borderId="3" xfId="0" applyNumberFormat="1" applyFont="1" applyFill="1" applyBorder="1" applyAlignment="1"/>
    <xf numFmtId="0" fontId="0" fillId="7" borderId="3" xfId="0" applyFill="1" applyBorder="1" applyAlignment="1"/>
    <xf numFmtId="0" fontId="5" fillId="7" borderId="3" xfId="0" applyFont="1" applyFill="1" applyBorder="1" applyAlignment="1"/>
    <xf numFmtId="2" fontId="72" fillId="21" borderId="3" xfId="0" applyNumberFormat="1" applyFont="1" applyFill="1" applyBorder="1" applyAlignment="1"/>
    <xf numFmtId="0" fontId="65" fillId="21" borderId="3" xfId="0" applyFont="1" applyFill="1" applyBorder="1" applyAlignment="1"/>
    <xf numFmtId="2" fontId="5" fillId="4" borderId="3" xfId="0" applyNumberFormat="1" applyFont="1" applyFill="1" applyBorder="1" applyAlignment="1"/>
    <xf numFmtId="0" fontId="0" fillId="4" borderId="3" xfId="0" applyFill="1" applyBorder="1" applyAlignment="1"/>
    <xf numFmtId="0" fontId="2" fillId="9" borderId="1" xfId="0" applyFont="1" applyFill="1" applyBorder="1" applyAlignment="1"/>
    <xf numFmtId="0" fontId="2" fillId="9" borderId="0" xfId="0" applyFont="1" applyFill="1" applyAlignment="1"/>
    <xf numFmtId="0" fontId="2" fillId="9" borderId="22" xfId="0" applyFont="1" applyFill="1" applyBorder="1" applyAlignment="1"/>
    <xf numFmtId="0" fontId="2" fillId="9" borderId="0" xfId="0" applyFont="1" applyFill="1" applyBorder="1" applyAlignment="1"/>
    <xf numFmtId="2" fontId="5" fillId="4" borderId="11" xfId="0" applyNumberFormat="1" applyFont="1" applyFill="1" applyBorder="1" applyAlignment="1"/>
    <xf numFmtId="0" fontId="0" fillId="4" borderId="2" xfId="0" applyFill="1" applyBorder="1" applyAlignment="1"/>
    <xf numFmtId="0" fontId="0" fillId="4" borderId="4" xfId="0" applyFill="1" applyBorder="1" applyAlignment="1"/>
    <xf numFmtId="0" fontId="5" fillId="6" borderId="11" xfId="0" applyFont="1" applyFill="1" applyBorder="1" applyAlignment="1"/>
    <xf numFmtId="0" fontId="5" fillId="6" borderId="2" xfId="0" applyFont="1" applyFill="1" applyBorder="1" applyAlignment="1"/>
    <xf numFmtId="0" fontId="5" fillId="6" borderId="4" xfId="0" applyFont="1" applyFill="1" applyBorder="1" applyAlignment="1"/>
    <xf numFmtId="0" fontId="18" fillId="4" borderId="3" xfId="0" applyFont="1" applyFill="1" applyBorder="1" applyAlignment="1"/>
    <xf numFmtId="2" fontId="5" fillId="6" borderId="3" xfId="0" applyNumberFormat="1" applyFont="1" applyFill="1" applyBorder="1" applyAlignment="1">
      <alignment wrapText="1"/>
    </xf>
    <xf numFmtId="0" fontId="0" fillId="6" borderId="3" xfId="0" applyFill="1" applyBorder="1" applyAlignment="1"/>
    <xf numFmtId="2" fontId="5" fillId="7" borderId="11" xfId="0" applyNumberFormat="1" applyFont="1" applyFill="1" applyBorder="1" applyAlignment="1"/>
    <xf numFmtId="0" fontId="0" fillId="7" borderId="2" xfId="0" applyFill="1" applyBorder="1" applyAlignment="1"/>
    <xf numFmtId="0" fontId="0" fillId="7" borderId="4" xfId="0" applyFill="1" applyBorder="1" applyAlignment="1"/>
    <xf numFmtId="2" fontId="5" fillId="4" borderId="5" xfId="0" applyNumberFormat="1" applyFont="1" applyFill="1" applyBorder="1" applyAlignment="1"/>
    <xf numFmtId="2" fontId="1" fillId="4" borderId="5" xfId="0" applyNumberFormat="1" applyFont="1" applyFill="1" applyBorder="1" applyAlignment="1"/>
    <xf numFmtId="0" fontId="2" fillId="4" borderId="7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11" fillId="4" borderId="25" xfId="0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center" vertical="center"/>
    </xf>
    <xf numFmtId="0" fontId="61" fillId="11" borderId="7" xfId="0" applyFont="1" applyFill="1" applyBorder="1" applyAlignment="1">
      <alignment horizontal="center" vertical="center" wrapText="1"/>
    </xf>
    <xf numFmtId="0" fontId="60" fillId="11" borderId="5" xfId="0" applyFont="1" applyFill="1" applyBorder="1" applyAlignment="1">
      <alignment horizontal="center" vertical="center" wrapText="1"/>
    </xf>
    <xf numFmtId="2" fontId="104" fillId="13" borderId="25" xfId="0" applyNumberFormat="1" applyFont="1" applyFill="1" applyBorder="1" applyAlignment="1">
      <alignment horizontal="center" vertical="center" wrapText="1"/>
    </xf>
    <xf numFmtId="0" fontId="78" fillId="13" borderId="25" xfId="0" applyFont="1" applyFill="1" applyBorder="1" applyAlignment="1">
      <alignment horizontal="center" vertical="center" wrapText="1"/>
    </xf>
    <xf numFmtId="0" fontId="78" fillId="13" borderId="19" xfId="0" applyFont="1" applyFill="1" applyBorder="1" applyAlignment="1">
      <alignment horizontal="center" vertical="center" wrapText="1"/>
    </xf>
    <xf numFmtId="0" fontId="4" fillId="19" borderId="25" xfId="2" applyFont="1" applyFill="1" applyBorder="1" applyAlignment="1" applyProtection="1">
      <alignment horizontal="center" vertical="center" wrapText="1"/>
    </xf>
    <xf numFmtId="0" fontId="4" fillId="19" borderId="19" xfId="2" applyFont="1" applyFill="1" applyBorder="1" applyAlignment="1" applyProtection="1">
      <alignment horizontal="center" vertical="center" wrapText="1"/>
    </xf>
    <xf numFmtId="0" fontId="4" fillId="19" borderId="18" xfId="2" applyFont="1" applyFill="1" applyBorder="1" applyAlignment="1" applyProtection="1">
      <alignment horizontal="center" vertical="center" wrapText="1"/>
    </xf>
    <xf numFmtId="0" fontId="4" fillId="19" borderId="12" xfId="2" applyFont="1" applyFill="1" applyBorder="1" applyAlignment="1" applyProtection="1">
      <alignment horizontal="center" vertical="center" wrapText="1"/>
    </xf>
    <xf numFmtId="0" fontId="4" fillId="19" borderId="9" xfId="2" applyFont="1" applyFill="1" applyBorder="1" applyAlignment="1" applyProtection="1">
      <alignment horizontal="center" vertical="center" wrapText="1"/>
    </xf>
    <xf numFmtId="2" fontId="5" fillId="7" borderId="5" xfId="0" applyNumberFormat="1" applyFont="1" applyFill="1" applyBorder="1" applyAlignment="1"/>
    <xf numFmtId="0" fontId="18" fillId="7" borderId="5" xfId="0" applyFont="1" applyFill="1" applyBorder="1" applyAlignment="1"/>
    <xf numFmtId="2" fontId="5" fillId="21" borderId="3" xfId="0" applyNumberFormat="1" applyFont="1" applyFill="1" applyBorder="1" applyAlignment="1"/>
    <xf numFmtId="0" fontId="0" fillId="21" borderId="3" xfId="0" applyFill="1" applyBorder="1" applyAlignment="1"/>
    <xf numFmtId="2" fontId="5" fillId="4" borderId="7" xfId="0" applyNumberFormat="1" applyFont="1" applyFill="1" applyBorder="1" applyAlignment="1"/>
    <xf numFmtId="0" fontId="18" fillId="4" borderId="7" xfId="0" applyFont="1" applyFill="1" applyBorder="1" applyAlignment="1"/>
    <xf numFmtId="2" fontId="5" fillId="7" borderId="3" xfId="0" applyNumberFormat="1" applyFont="1" applyFill="1" applyBorder="1" applyAlignment="1">
      <alignment wrapText="1"/>
    </xf>
    <xf numFmtId="0" fontId="66" fillId="9" borderId="1" xfId="0" applyFont="1" applyFill="1" applyBorder="1" applyAlignment="1">
      <alignment vertical="center"/>
    </xf>
    <xf numFmtId="0" fontId="66" fillId="9" borderId="0" xfId="0" applyFont="1" applyFill="1" applyBorder="1" applyAlignment="1">
      <alignment vertical="center"/>
    </xf>
    <xf numFmtId="0" fontId="66" fillId="9" borderId="22" xfId="0" applyFont="1" applyFill="1" applyBorder="1" applyAlignment="1">
      <alignment vertical="center"/>
    </xf>
    <xf numFmtId="0" fontId="5" fillId="7" borderId="11" xfId="0" applyNumberFormat="1" applyFont="1" applyFill="1" applyBorder="1" applyAlignment="1"/>
    <xf numFmtId="0" fontId="0" fillId="7" borderId="2" xfId="0" applyNumberFormat="1" applyFill="1" applyBorder="1" applyAlignment="1"/>
    <xf numFmtId="0" fontId="0" fillId="7" borderId="4" xfId="0" applyNumberFormat="1" applyFill="1" applyBorder="1" applyAlignment="1"/>
    <xf numFmtId="0" fontId="26" fillId="9" borderId="0" xfId="0" applyFont="1" applyFill="1" applyBorder="1" applyAlignment="1">
      <alignment wrapText="1"/>
    </xf>
    <xf numFmtId="0" fontId="9" fillId="9" borderId="0" xfId="0" applyFont="1" applyFill="1" applyBorder="1" applyAlignment="1">
      <alignment wrapText="1"/>
    </xf>
    <xf numFmtId="0" fontId="9" fillId="9" borderId="22" xfId="0" applyFont="1" applyFill="1" applyBorder="1" applyAlignment="1">
      <alignment wrapText="1"/>
    </xf>
    <xf numFmtId="2" fontId="5" fillId="6" borderId="3" xfId="0" applyNumberFormat="1" applyFont="1" applyFill="1" applyBorder="1" applyAlignment="1"/>
    <xf numFmtId="0" fontId="5" fillId="4" borderId="3" xfId="0" applyFont="1" applyFill="1" applyBorder="1" applyAlignment="1"/>
    <xf numFmtId="0" fontId="1" fillId="4" borderId="3" xfId="0" applyFont="1" applyFill="1" applyBorder="1" applyAlignment="1"/>
    <xf numFmtId="2" fontId="2" fillId="12" borderId="11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3" fillId="9" borderId="1" xfId="0" applyFont="1" applyFill="1" applyBorder="1" applyAlignment="1">
      <alignment vertical="center"/>
    </xf>
    <xf numFmtId="0" fontId="75" fillId="9" borderId="0" xfId="0" applyFont="1" applyFill="1" applyBorder="1" applyAlignment="1">
      <alignment vertical="center"/>
    </xf>
    <xf numFmtId="0" fontId="75" fillId="9" borderId="22" xfId="0" applyFont="1" applyFill="1" applyBorder="1" applyAlignment="1">
      <alignment vertical="center"/>
    </xf>
    <xf numFmtId="0" fontId="73" fillId="9" borderId="1" xfId="0" applyFont="1" applyFill="1" applyBorder="1" applyAlignment="1"/>
    <xf numFmtId="0" fontId="0" fillId="0" borderId="0" xfId="0" applyBorder="1" applyAlignment="1"/>
    <xf numFmtId="0" fontId="0" fillId="0" borderId="22" xfId="0" applyBorder="1" applyAlignment="1"/>
    <xf numFmtId="0" fontId="5" fillId="7" borderId="11" xfId="0" applyFont="1" applyFill="1" applyBorder="1" applyAlignment="1"/>
    <xf numFmtId="0" fontId="18" fillId="6" borderId="3" xfId="0" applyFont="1" applyFill="1" applyBorder="1" applyAlignment="1"/>
    <xf numFmtId="0" fontId="18" fillId="7" borderId="3" xfId="0" applyFont="1" applyFill="1" applyBorder="1" applyAlignment="1"/>
    <xf numFmtId="2" fontId="59" fillId="21" borderId="3" xfId="0" applyNumberFormat="1" applyFont="1" applyFill="1" applyBorder="1" applyAlignment="1">
      <alignment horizontal="center" vertical="center"/>
    </xf>
    <xf numFmtId="0" fontId="1" fillId="21" borderId="3" xfId="0" applyFont="1" applyFill="1" applyBorder="1" applyAlignment="1">
      <alignment horizontal="center" vertical="center"/>
    </xf>
    <xf numFmtId="0" fontId="0" fillId="4" borderId="5" xfId="0" applyFill="1" applyBorder="1" applyAlignment="1"/>
    <xf numFmtId="2" fontId="66" fillId="12" borderId="16" xfId="0" applyNumberFormat="1" applyFont="1" applyFill="1" applyBorder="1" applyAlignment="1">
      <alignment horizontal="center" vertical="center" wrapText="1"/>
    </xf>
    <xf numFmtId="0" fontId="72" fillId="12" borderId="25" xfId="0" applyFont="1" applyFill="1" applyBorder="1" applyAlignment="1">
      <alignment horizontal="center" vertical="center" wrapText="1"/>
    </xf>
    <xf numFmtId="0" fontId="72" fillId="12" borderId="19" xfId="0" applyFont="1" applyFill="1" applyBorder="1" applyAlignment="1">
      <alignment horizontal="center" vertical="center" wrapText="1"/>
    </xf>
    <xf numFmtId="0" fontId="72" fillId="12" borderId="1" xfId="0" applyFont="1" applyFill="1" applyBorder="1" applyAlignment="1">
      <alignment horizontal="center" vertical="center" wrapText="1"/>
    </xf>
    <xf numFmtId="0" fontId="72" fillId="12" borderId="0" xfId="0" applyFont="1" applyFill="1" applyBorder="1" applyAlignment="1">
      <alignment horizontal="center" vertical="center" wrapText="1"/>
    </xf>
    <xf numFmtId="0" fontId="72" fillId="12" borderId="22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5" fillId="7" borderId="2" xfId="0" applyFont="1" applyFill="1" applyBorder="1" applyAlignment="1"/>
    <xf numFmtId="0" fontId="5" fillId="7" borderId="4" xfId="0" applyFont="1" applyFill="1" applyBorder="1" applyAlignment="1"/>
    <xf numFmtId="0" fontId="1" fillId="7" borderId="3" xfId="0" applyFont="1" applyFill="1" applyBorder="1" applyAlignment="1"/>
    <xf numFmtId="0" fontId="0" fillId="6" borderId="3" xfId="0" applyFill="1" applyBorder="1" applyAlignment="1">
      <alignment wrapText="1"/>
    </xf>
    <xf numFmtId="0" fontId="26" fillId="9" borderId="0" xfId="0" applyFont="1" applyFill="1" applyBorder="1" applyAlignment="1"/>
    <xf numFmtId="0" fontId="15" fillId="0" borderId="0" xfId="0" applyFont="1" applyAlignment="1"/>
    <xf numFmtId="0" fontId="15" fillId="0" borderId="22" xfId="0" applyFont="1" applyBorder="1" applyAlignment="1"/>
    <xf numFmtId="2" fontId="5" fillId="4" borderId="18" xfId="0" applyNumberFormat="1" applyFont="1" applyFill="1" applyBorder="1" applyAlignment="1"/>
    <xf numFmtId="0" fontId="0" fillId="4" borderId="12" xfId="0" applyFill="1" applyBorder="1" applyAlignment="1"/>
    <xf numFmtId="0" fontId="0" fillId="4" borderId="9" xfId="0" applyFill="1" applyBorder="1" applyAlignment="1"/>
    <xf numFmtId="0" fontId="1" fillId="7" borderId="2" xfId="0" applyFont="1" applyFill="1" applyBorder="1" applyAlignment="1"/>
    <xf numFmtId="0" fontId="1" fillId="7" borderId="4" xfId="0" applyFont="1" applyFill="1" applyBorder="1" applyAlignment="1"/>
    <xf numFmtId="2" fontId="1" fillId="7" borderId="5" xfId="0" applyNumberFormat="1" applyFont="1" applyFill="1" applyBorder="1" applyAlignment="1"/>
    <xf numFmtId="2" fontId="5" fillId="6" borderId="2" xfId="0" applyNumberFormat="1" applyFont="1" applyFill="1" applyBorder="1" applyAlignment="1"/>
    <xf numFmtId="2" fontId="5" fillId="6" borderId="4" xfId="0" applyNumberFormat="1" applyFont="1" applyFill="1" applyBorder="1" applyAlignment="1"/>
    <xf numFmtId="0" fontId="2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2" fontId="4" fillId="21" borderId="11" xfId="0" applyNumberFormat="1" applyFont="1" applyFill="1" applyBorder="1" applyAlignment="1">
      <alignment horizontal="center" vertical="center"/>
    </xf>
    <xf numFmtId="0" fontId="1" fillId="21" borderId="2" xfId="0" applyFont="1" applyFill="1" applyBorder="1" applyAlignment="1">
      <alignment horizontal="center" vertical="center"/>
    </xf>
    <xf numFmtId="0" fontId="1" fillId="21" borderId="4" xfId="0" applyFont="1" applyFill="1" applyBorder="1" applyAlignment="1">
      <alignment horizontal="center" vertical="center"/>
    </xf>
    <xf numFmtId="0" fontId="0" fillId="7" borderId="5" xfId="0" applyFill="1" applyBorder="1" applyAlignment="1"/>
    <xf numFmtId="0" fontId="0" fillId="7" borderId="3" xfId="0" applyFill="1" applyBorder="1" applyAlignment="1">
      <alignment wrapText="1"/>
    </xf>
    <xf numFmtId="0" fontId="1" fillId="7" borderId="3" xfId="0" applyFont="1" applyFill="1" applyBorder="1" applyAlignment="1">
      <alignment wrapText="1"/>
    </xf>
    <xf numFmtId="2" fontId="5" fillId="4" borderId="11" xfId="0" applyNumberFormat="1" applyFont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0" fillId="4" borderId="4" xfId="0" applyFill="1" applyBorder="1" applyAlignment="1">
      <alignment wrapText="1"/>
    </xf>
    <xf numFmtId="2" fontId="5" fillId="7" borderId="11" xfId="0" applyNumberFormat="1" applyFont="1" applyFill="1" applyBorder="1" applyAlignment="1">
      <alignment wrapText="1"/>
    </xf>
    <xf numFmtId="0" fontId="0" fillId="7" borderId="2" xfId="0" applyFill="1" applyBorder="1" applyAlignment="1">
      <alignment wrapText="1"/>
    </xf>
    <xf numFmtId="0" fontId="0" fillId="7" borderId="4" xfId="0" applyFill="1" applyBorder="1" applyAlignment="1">
      <alignment wrapText="1"/>
    </xf>
    <xf numFmtId="0" fontId="36" fillId="9" borderId="0" xfId="0" applyFont="1" applyFill="1" applyBorder="1" applyAlignment="1"/>
    <xf numFmtId="0" fontId="36" fillId="9" borderId="0" xfId="0" applyFont="1" applyFill="1" applyAlignment="1"/>
    <xf numFmtId="2" fontId="5" fillId="21" borderId="11" xfId="0" applyNumberFormat="1" applyFont="1" applyFill="1" applyBorder="1" applyAlignment="1"/>
    <xf numFmtId="2" fontId="5" fillId="21" borderId="2" xfId="0" applyNumberFormat="1" applyFont="1" applyFill="1" applyBorder="1" applyAlignment="1"/>
    <xf numFmtId="2" fontId="5" fillId="21" borderId="4" xfId="0" applyNumberFormat="1" applyFont="1" applyFill="1" applyBorder="1" applyAlignment="1"/>
    <xf numFmtId="2" fontId="5" fillId="4" borderId="7" xfId="0" applyNumberFormat="1" applyFont="1" applyFill="1" applyBorder="1" applyAlignment="1">
      <alignment wrapText="1"/>
    </xf>
    <xf numFmtId="0" fontId="18" fillId="4" borderId="7" xfId="0" applyFont="1" applyFill="1" applyBorder="1" applyAlignment="1">
      <alignment wrapText="1"/>
    </xf>
    <xf numFmtId="0" fontId="4" fillId="19" borderId="3" xfId="2" applyFont="1" applyFill="1" applyBorder="1" applyAlignment="1" applyProtection="1">
      <alignment horizontal="center" vertical="center" wrapText="1"/>
    </xf>
    <xf numFmtId="2" fontId="5" fillId="4" borderId="2" xfId="0" applyNumberFormat="1" applyFont="1" applyFill="1" applyBorder="1" applyAlignment="1"/>
    <xf numFmtId="2" fontId="5" fillId="4" borderId="4" xfId="0" applyNumberFormat="1" applyFont="1" applyFill="1" applyBorder="1" applyAlignment="1"/>
    <xf numFmtId="0" fontId="1" fillId="6" borderId="3" xfId="0" applyFont="1" applyFill="1" applyBorder="1" applyAlignment="1"/>
    <xf numFmtId="2" fontId="5" fillId="6" borderId="5" xfId="0" applyNumberFormat="1" applyFont="1" applyFill="1" applyBorder="1" applyAlignment="1"/>
    <xf numFmtId="0" fontId="18" fillId="6" borderId="5" xfId="0" applyFont="1" applyFill="1" applyBorder="1" applyAlignment="1"/>
    <xf numFmtId="0" fontId="73" fillId="9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0" fillId="0" borderId="22" xfId="0" applyBorder="1" applyAlignment="1">
      <alignment vertical="center"/>
    </xf>
    <xf numFmtId="0" fontId="18" fillId="4" borderId="3" xfId="0" applyFont="1" applyFill="1" applyBorder="1" applyAlignment="1">
      <alignment wrapText="1"/>
    </xf>
    <xf numFmtId="0" fontId="2" fillId="0" borderId="3" xfId="0" applyFont="1" applyBorder="1" applyAlignment="1">
      <alignment horizontal="left" vertical="center" wrapText="1"/>
    </xf>
    <xf numFmtId="2" fontId="5" fillId="21" borderId="11" xfId="0" applyNumberFormat="1" applyFont="1" applyFill="1" applyBorder="1" applyAlignment="1">
      <alignment wrapText="1"/>
    </xf>
    <xf numFmtId="0" fontId="0" fillId="21" borderId="2" xfId="0" applyFill="1" applyBorder="1" applyAlignment="1">
      <alignment wrapText="1"/>
    </xf>
    <xf numFmtId="0" fontId="0" fillId="21" borderId="4" xfId="0" applyFill="1" applyBorder="1" applyAlignment="1">
      <alignment wrapText="1"/>
    </xf>
    <xf numFmtId="2" fontId="5" fillId="7" borderId="2" xfId="0" applyNumberFormat="1" applyFont="1" applyFill="1" applyBorder="1" applyAlignment="1"/>
    <xf numFmtId="2" fontId="5" fillId="7" borderId="4" xfId="0" applyNumberFormat="1" applyFont="1" applyFill="1" applyBorder="1" applyAlignment="1"/>
    <xf numFmtId="0" fontId="1" fillId="6" borderId="3" xfId="0" applyFont="1" applyFill="1" applyBorder="1" applyAlignment="1">
      <alignment wrapText="1"/>
    </xf>
    <xf numFmtId="0" fontId="2" fillId="4" borderId="3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left"/>
    </xf>
    <xf numFmtId="0" fontId="2" fillId="9" borderId="0" xfId="0" applyFont="1" applyFill="1" applyBorder="1" applyAlignment="1">
      <alignment horizontal="left"/>
    </xf>
    <xf numFmtId="0" fontId="2" fillId="9" borderId="22" xfId="0" applyFont="1" applyFill="1" applyBorder="1" applyAlignment="1">
      <alignment horizontal="left"/>
    </xf>
    <xf numFmtId="0" fontId="66" fillId="9" borderId="0" xfId="0" applyFont="1" applyFill="1" applyAlignment="1">
      <alignment vertical="center"/>
    </xf>
    <xf numFmtId="0" fontId="2" fillId="4" borderId="3" xfId="0" applyFont="1" applyFill="1" applyBorder="1" applyAlignment="1">
      <alignment horizontal="left" vertical="center" wrapText="1"/>
    </xf>
    <xf numFmtId="0" fontId="66" fillId="9" borderId="1" xfId="0" applyFont="1" applyFill="1" applyBorder="1" applyAlignment="1"/>
    <xf numFmtId="0" fontId="14" fillId="0" borderId="0" xfId="0" applyFont="1" applyAlignment="1"/>
    <xf numFmtId="0" fontId="14" fillId="0" borderId="22" xfId="0" applyFont="1" applyBorder="1" applyAlignment="1"/>
    <xf numFmtId="0" fontId="2" fillId="12" borderId="25" xfId="0" applyNumberFormat="1" applyFont="1" applyFill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2" fillId="9" borderId="1" xfId="0" applyFont="1" applyFill="1" applyBorder="1" applyAlignment="1">
      <alignment vertical="center"/>
    </xf>
    <xf numFmtId="0" fontId="14" fillId="9" borderId="0" xfId="0" applyFont="1" applyFill="1" applyBorder="1" applyAlignment="1"/>
    <xf numFmtId="0" fontId="14" fillId="9" borderId="22" xfId="0" applyFont="1" applyFill="1" applyBorder="1" applyAlignment="1"/>
    <xf numFmtId="2" fontId="17" fillId="4" borderId="3" xfId="0" applyNumberFormat="1" applyFont="1" applyFill="1" applyBorder="1" applyAlignment="1"/>
    <xf numFmtId="0" fontId="39" fillId="4" borderId="3" xfId="0" applyFont="1" applyFill="1" applyBorder="1" applyAlignment="1"/>
    <xf numFmtId="0" fontId="66" fillId="9" borderId="0" xfId="0" applyFont="1" applyFill="1" applyBorder="1" applyAlignment="1"/>
    <xf numFmtId="0" fontId="66" fillId="9" borderId="22" xfId="0" applyFont="1" applyFill="1" applyBorder="1" applyAlignment="1"/>
    <xf numFmtId="2" fontId="5" fillId="4" borderId="11" xfId="0" applyNumberFormat="1" applyFont="1" applyFill="1" applyBorder="1" applyAlignment="1">
      <alignment vertical="center" wrapText="1"/>
    </xf>
    <xf numFmtId="0" fontId="18" fillId="4" borderId="2" xfId="0" applyFont="1" applyFill="1" applyBorder="1" applyAlignment="1">
      <alignment vertical="center" wrapText="1"/>
    </xf>
    <xf numFmtId="0" fontId="18" fillId="4" borderId="4" xfId="0" applyFont="1" applyFill="1" applyBorder="1" applyAlignment="1">
      <alignment vertical="center" wrapText="1"/>
    </xf>
    <xf numFmtId="0" fontId="0" fillId="4" borderId="11" xfId="0" applyFill="1" applyBorder="1" applyAlignment="1"/>
    <xf numFmtId="0" fontId="36" fillId="7" borderId="18" xfId="0" applyFont="1" applyFill="1" applyBorder="1" applyAlignment="1"/>
    <xf numFmtId="0" fontId="36" fillId="7" borderId="12" xfId="0" applyFont="1" applyFill="1" applyBorder="1" applyAlignment="1"/>
    <xf numFmtId="2" fontId="58" fillId="4" borderId="5" xfId="0" applyNumberFormat="1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/>
    <xf numFmtId="0" fontId="17" fillId="7" borderId="11" xfId="0" applyFont="1" applyFill="1" applyBorder="1" applyAlignment="1"/>
    <xf numFmtId="0" fontId="39" fillId="7" borderId="2" xfId="0" applyFont="1" applyFill="1" applyBorder="1" applyAlignment="1"/>
    <xf numFmtId="0" fontId="39" fillId="7" borderId="4" xfId="0" applyFont="1" applyFill="1" applyBorder="1" applyAlignment="1"/>
    <xf numFmtId="0" fontId="0" fillId="0" borderId="25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73" fillId="9" borderId="0" xfId="0" applyFont="1" applyFill="1" applyBorder="1" applyAlignment="1"/>
    <xf numFmtId="0" fontId="73" fillId="9" borderId="22" xfId="0" applyFont="1" applyFill="1" applyBorder="1" applyAlignment="1"/>
    <xf numFmtId="2" fontId="17" fillId="7" borderId="3" xfId="0" applyNumberFormat="1" applyFont="1" applyFill="1" applyBorder="1" applyAlignment="1"/>
    <xf numFmtId="0" fontId="39" fillId="7" borderId="3" xfId="0" applyFont="1" applyFill="1" applyBorder="1" applyAlignment="1"/>
    <xf numFmtId="2" fontId="5" fillId="7" borderId="18" xfId="0" applyNumberFormat="1" applyFont="1" applyFill="1" applyBorder="1" applyAlignment="1"/>
    <xf numFmtId="0" fontId="0" fillId="7" borderId="12" xfId="0" applyFill="1" applyBorder="1" applyAlignment="1"/>
    <xf numFmtId="0" fontId="0" fillId="7" borderId="9" xfId="0" applyFill="1" applyBorder="1" applyAlignment="1"/>
    <xf numFmtId="2" fontId="58" fillId="7" borderId="3" xfId="0" applyNumberFormat="1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/>
    <xf numFmtId="0" fontId="18" fillId="7" borderId="4" xfId="0" applyFont="1" applyFill="1" applyBorder="1" applyAlignment="1"/>
    <xf numFmtId="0" fontId="0" fillId="7" borderId="11" xfId="0" applyFill="1" applyBorder="1" applyAlignment="1"/>
    <xf numFmtId="0" fontId="94" fillId="9" borderId="0" xfId="0" applyFont="1" applyFill="1" applyBorder="1" applyAlignment="1"/>
    <xf numFmtId="0" fontId="65" fillId="9" borderId="0" xfId="0" applyFont="1" applyFill="1" applyBorder="1" applyAlignment="1"/>
    <xf numFmtId="0" fontId="1" fillId="7" borderId="3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/>
    <xf numFmtId="2" fontId="59" fillId="4" borderId="16" xfId="0" applyNumberFormat="1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1" fillId="4" borderId="25" xfId="0" applyFont="1" applyFill="1" applyBorder="1" applyAlignment="1">
      <alignment horizontal="center" vertical="center" wrapText="1"/>
    </xf>
    <xf numFmtId="0" fontId="1" fillId="4" borderId="19" xfId="0" applyFont="1" applyFill="1" applyBorder="1" applyAlignment="1">
      <alignment horizontal="center" vertical="center" wrapText="1"/>
    </xf>
    <xf numFmtId="0" fontId="73" fillId="4" borderId="1" xfId="0" applyFont="1" applyFill="1" applyBorder="1" applyAlignment="1"/>
    <xf numFmtId="0" fontId="0" fillId="4" borderId="0" xfId="0" applyFill="1" applyBorder="1" applyAlignment="1"/>
    <xf numFmtId="2" fontId="2" fillId="6" borderId="1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6" borderId="18" xfId="0" applyFont="1" applyFill="1" applyBorder="1" applyAlignment="1">
      <alignment horizontal="center" vertical="center" wrapText="1"/>
    </xf>
    <xf numFmtId="0" fontId="5" fillId="6" borderId="12" xfId="0" applyFont="1" applyFill="1" applyBorder="1" applyAlignment="1">
      <alignment horizontal="center" vertical="center" wrapText="1"/>
    </xf>
    <xf numFmtId="2" fontId="58" fillId="4" borderId="3" xfId="0" applyNumberFormat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/>
    <xf numFmtId="0" fontId="5" fillId="21" borderId="5" xfId="0" applyFont="1" applyFill="1" applyBorder="1" applyAlignment="1"/>
    <xf numFmtId="0" fontId="0" fillId="21" borderId="5" xfId="0" applyFill="1" applyBorder="1" applyAlignment="1"/>
    <xf numFmtId="2" fontId="58" fillId="7" borderId="5" xfId="0" applyNumberFormat="1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/>
    <xf numFmtId="0" fontId="0" fillId="4" borderId="25" xfId="0" applyFill="1" applyBorder="1" applyAlignment="1"/>
    <xf numFmtId="0" fontId="0" fillId="4" borderId="19" xfId="0" applyFill="1" applyBorder="1" applyAlignment="1"/>
    <xf numFmtId="0" fontId="52" fillId="2" borderId="0" xfId="2" applyFont="1" applyFill="1" applyAlignment="1" applyProtection="1"/>
    <xf numFmtId="0" fontId="5" fillId="4" borderId="11" xfId="0" applyFont="1" applyFill="1" applyBorder="1" applyAlignment="1"/>
    <xf numFmtId="0" fontId="5" fillId="4" borderId="2" xfId="0" applyFont="1" applyFill="1" applyBorder="1" applyAlignment="1"/>
    <xf numFmtId="0" fontId="5" fillId="4" borderId="4" xfId="0" applyFont="1" applyFill="1" applyBorder="1" applyAlignment="1"/>
    <xf numFmtId="2" fontId="4" fillId="6" borderId="11" xfId="0" applyNumberFormat="1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63" fillId="2" borderId="7" xfId="2" applyFont="1" applyFill="1" applyBorder="1" applyAlignment="1" applyProtection="1">
      <alignment horizontal="center" vertical="center"/>
    </xf>
    <xf numFmtId="0" fontId="63" fillId="0" borderId="5" xfId="2" applyFont="1" applyBorder="1" applyAlignment="1" applyProtection="1">
      <alignment horizontal="center" vertical="center"/>
    </xf>
    <xf numFmtId="0" fontId="45" fillId="19" borderId="16" xfId="0" applyFont="1" applyFill="1" applyBorder="1" applyAlignment="1">
      <alignment horizontal="left" vertical="center" wrapText="1"/>
    </xf>
    <xf numFmtId="0" fontId="18" fillId="19" borderId="25" xfId="0" applyFont="1" applyFill="1" applyBorder="1" applyAlignment="1">
      <alignment horizontal="left" vertical="center" wrapText="1"/>
    </xf>
    <xf numFmtId="0" fontId="18" fillId="19" borderId="19" xfId="0" applyFont="1" applyFill="1" applyBorder="1" applyAlignment="1">
      <alignment horizontal="left" vertical="center" wrapText="1"/>
    </xf>
    <xf numFmtId="0" fontId="8" fillId="19" borderId="16" xfId="0" applyFont="1" applyFill="1" applyBorder="1" applyAlignment="1">
      <alignment horizontal="center" vertical="center" wrapText="1"/>
    </xf>
    <xf numFmtId="0" fontId="44" fillId="19" borderId="25" xfId="0" applyFont="1" applyFill="1" applyBorder="1" applyAlignment="1">
      <alignment horizontal="center" vertical="center" wrapText="1"/>
    </xf>
    <xf numFmtId="0" fontId="44" fillId="19" borderId="19" xfId="0" applyFont="1" applyFill="1" applyBorder="1" applyAlignment="1">
      <alignment horizontal="center" vertical="center" wrapText="1"/>
    </xf>
    <xf numFmtId="0" fontId="87" fillId="4" borderId="0" xfId="0" applyFont="1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vertical="center" wrapText="1"/>
    </xf>
    <xf numFmtId="0" fontId="12" fillId="19" borderId="18" xfId="2" applyFill="1" applyBorder="1" applyAlignment="1" applyProtection="1">
      <alignment horizontal="left" vertical="center"/>
    </xf>
    <xf numFmtId="0" fontId="12" fillId="19" borderId="12" xfId="2" applyFill="1" applyBorder="1" applyAlignment="1" applyProtection="1">
      <alignment horizontal="left" vertical="center"/>
    </xf>
    <xf numFmtId="0" fontId="90" fillId="20" borderId="11" xfId="0" applyFont="1" applyFill="1" applyBorder="1" applyAlignment="1">
      <alignment horizontal="center" vertical="center"/>
    </xf>
    <xf numFmtId="0" fontId="91" fillId="20" borderId="2" xfId="0" applyFont="1" applyFill="1" applyBorder="1" applyAlignment="1">
      <alignment horizontal="center" vertical="center"/>
    </xf>
    <xf numFmtId="0" fontId="91" fillId="20" borderId="4" xfId="0" applyFont="1" applyFill="1" applyBorder="1" applyAlignment="1">
      <alignment horizontal="center" vertical="center"/>
    </xf>
    <xf numFmtId="0" fontId="118" fillId="19" borderId="16" xfId="0" applyFont="1" applyFill="1" applyBorder="1" applyAlignment="1">
      <alignment horizontal="center" vertical="center" wrapText="1"/>
    </xf>
    <xf numFmtId="0" fontId="5" fillId="19" borderId="25" xfId="0" applyFont="1" applyFill="1" applyBorder="1" applyAlignment="1">
      <alignment horizontal="center" vertical="center" wrapText="1"/>
    </xf>
    <xf numFmtId="0" fontId="5" fillId="19" borderId="19" xfId="0" applyFont="1" applyFill="1" applyBorder="1" applyAlignment="1">
      <alignment horizontal="center" vertical="center" wrapText="1"/>
    </xf>
    <xf numFmtId="0" fontId="5" fillId="19" borderId="18" xfId="0" applyFont="1" applyFill="1" applyBorder="1" applyAlignment="1">
      <alignment horizontal="center" vertical="center" wrapText="1"/>
    </xf>
    <xf numFmtId="0" fontId="5" fillId="19" borderId="12" xfId="0" applyFont="1" applyFill="1" applyBorder="1" applyAlignment="1">
      <alignment horizontal="center" vertical="center" wrapText="1"/>
    </xf>
    <xf numFmtId="0" fontId="5" fillId="19" borderId="9" xfId="0" applyFont="1" applyFill="1" applyBorder="1" applyAlignment="1">
      <alignment horizontal="center" vertical="center" wrapText="1"/>
    </xf>
    <xf numFmtId="0" fontId="14" fillId="19" borderId="18" xfId="0" applyFont="1" applyFill="1" applyBorder="1" applyAlignment="1">
      <alignment horizontal="center" vertical="center" wrapText="1"/>
    </xf>
    <xf numFmtId="0" fontId="14" fillId="19" borderId="12" xfId="0" applyFont="1" applyFill="1" applyBorder="1" applyAlignment="1">
      <alignment horizontal="center" vertical="center" wrapText="1"/>
    </xf>
    <xf numFmtId="0" fontId="14" fillId="19" borderId="9" xfId="0" applyFont="1" applyFill="1" applyBorder="1" applyAlignment="1">
      <alignment horizontal="center" vertical="center" wrapText="1"/>
    </xf>
    <xf numFmtId="0" fontId="114" fillId="19" borderId="16" xfId="2" applyFont="1" applyFill="1" applyBorder="1" applyAlignment="1" applyProtection="1">
      <alignment horizontal="center" vertical="center" wrapText="1"/>
    </xf>
    <xf numFmtId="0" fontId="114" fillId="19" borderId="25" xfId="2" applyFont="1" applyFill="1" applyBorder="1" applyAlignment="1" applyProtection="1">
      <alignment horizontal="center" vertical="center" wrapText="1"/>
    </xf>
    <xf numFmtId="0" fontId="114" fillId="19" borderId="19" xfId="2" applyFont="1" applyFill="1" applyBorder="1" applyAlignment="1" applyProtection="1">
      <alignment horizontal="center" vertical="center" wrapText="1"/>
    </xf>
    <xf numFmtId="0" fontId="114" fillId="19" borderId="18" xfId="2" applyFont="1" applyFill="1" applyBorder="1" applyAlignment="1" applyProtection="1">
      <alignment horizontal="center" vertical="center" wrapText="1"/>
    </xf>
    <xf numFmtId="0" fontId="114" fillId="19" borderId="12" xfId="2" applyFont="1" applyFill="1" applyBorder="1" applyAlignment="1" applyProtection="1">
      <alignment horizontal="center" vertical="center" wrapText="1"/>
    </xf>
    <xf numFmtId="0" fontId="114" fillId="19" borderId="9" xfId="2" applyFont="1" applyFill="1" applyBorder="1" applyAlignment="1" applyProtection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12" fillId="8" borderId="11" xfId="0" applyFont="1" applyFill="1" applyBorder="1" applyAlignment="1">
      <alignment horizontal="center" vertical="center" wrapText="1"/>
    </xf>
    <xf numFmtId="0" fontId="112" fillId="8" borderId="2" xfId="0" applyFont="1" applyFill="1" applyBorder="1" applyAlignment="1">
      <alignment horizontal="center" vertical="center" wrapText="1"/>
    </xf>
    <xf numFmtId="0" fontId="113" fillId="8" borderId="4" xfId="0" applyFont="1" applyFill="1" applyBorder="1" applyAlignment="1">
      <alignment horizontal="center" vertical="center" wrapText="1"/>
    </xf>
    <xf numFmtId="0" fontId="53" fillId="3" borderId="11" xfId="0" applyFont="1" applyFill="1" applyBorder="1" applyAlignment="1">
      <alignment horizontal="center" wrapText="1"/>
    </xf>
    <xf numFmtId="0" fontId="53" fillId="3" borderId="2" xfId="0" applyFont="1" applyFill="1" applyBorder="1" applyAlignment="1">
      <alignment horizontal="center" wrapText="1"/>
    </xf>
    <xf numFmtId="0" fontId="47" fillId="3" borderId="4" xfId="0" applyFont="1" applyFill="1" applyBorder="1" applyAlignment="1">
      <alignment horizontal="center" wrapText="1"/>
    </xf>
    <xf numFmtId="0" fontId="37" fillId="9" borderId="16" xfId="0" applyFont="1" applyFill="1" applyBorder="1" applyAlignment="1">
      <alignment horizontal="center" vertical="center" wrapText="1"/>
    </xf>
    <xf numFmtId="0" fontId="37" fillId="9" borderId="25" xfId="0" applyFont="1" applyFill="1" applyBorder="1" applyAlignment="1">
      <alignment horizontal="center" vertical="center" wrapText="1"/>
    </xf>
    <xf numFmtId="0" fontId="37" fillId="9" borderId="19" xfId="0" applyFont="1" applyFill="1" applyBorder="1" applyAlignment="1">
      <alignment horizontal="center" vertical="center" wrapText="1"/>
    </xf>
    <xf numFmtId="0" fontId="37" fillId="9" borderId="1" xfId="0" applyFont="1" applyFill="1" applyBorder="1" applyAlignment="1">
      <alignment horizontal="center" vertical="center" wrapText="1"/>
    </xf>
    <xf numFmtId="0" fontId="37" fillId="9" borderId="0" xfId="0" applyFont="1" applyFill="1" applyBorder="1" applyAlignment="1">
      <alignment horizontal="center" vertical="center" wrapText="1"/>
    </xf>
    <xf numFmtId="0" fontId="37" fillId="9" borderId="22" xfId="0" applyFont="1" applyFill="1" applyBorder="1" applyAlignment="1">
      <alignment horizontal="center" vertical="center" wrapText="1"/>
    </xf>
    <xf numFmtId="0" fontId="0" fillId="9" borderId="18" xfId="0" applyFill="1" applyBorder="1" applyAlignment="1">
      <alignment horizontal="center" vertical="center" wrapText="1"/>
    </xf>
    <xf numFmtId="0" fontId="0" fillId="9" borderId="12" xfId="0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wrapText="1"/>
    </xf>
    <xf numFmtId="0" fontId="93" fillId="4" borderId="11" xfId="0" applyFont="1" applyFill="1" applyBorder="1" applyAlignment="1">
      <alignment horizontal="center" vertical="center"/>
    </xf>
    <xf numFmtId="0" fontId="91" fillId="4" borderId="2" xfId="0" applyFont="1" applyFill="1" applyBorder="1" applyAlignment="1">
      <alignment horizontal="center" vertical="center"/>
    </xf>
    <xf numFmtId="0" fontId="91" fillId="4" borderId="2" xfId="0" applyFont="1" applyFill="1" applyBorder="1" applyAlignment="1"/>
    <xf numFmtId="0" fontId="91" fillId="4" borderId="4" xfId="0" applyFont="1" applyFill="1" applyBorder="1" applyAlignment="1"/>
    <xf numFmtId="0" fontId="110" fillId="19" borderId="11" xfId="0" applyFont="1" applyFill="1" applyBorder="1" applyAlignment="1">
      <alignment horizontal="center" vertical="center" wrapText="1"/>
    </xf>
    <xf numFmtId="0" fontId="111" fillId="19" borderId="2" xfId="0" applyFont="1" applyFill="1" applyBorder="1" applyAlignment="1">
      <alignment horizontal="center" vertical="center" wrapText="1"/>
    </xf>
    <xf numFmtId="0" fontId="111" fillId="19" borderId="4" xfId="0" applyFont="1" applyFill="1" applyBorder="1" applyAlignment="1">
      <alignment horizontal="center" vertical="center" wrapText="1"/>
    </xf>
    <xf numFmtId="0" fontId="88" fillId="13" borderId="11" xfId="0" applyFont="1" applyFill="1" applyBorder="1" applyAlignment="1">
      <alignment horizontal="center" vertical="center"/>
    </xf>
    <xf numFmtId="0" fontId="78" fillId="13" borderId="2" xfId="0" applyFont="1" applyFill="1" applyBorder="1" applyAlignment="1">
      <alignment horizontal="center" vertical="center"/>
    </xf>
    <xf numFmtId="0" fontId="78" fillId="13" borderId="2" xfId="0" applyFont="1" applyFill="1" applyBorder="1" applyAlignment="1">
      <alignment horizontal="center"/>
    </xf>
    <xf numFmtId="0" fontId="78" fillId="13" borderId="4" xfId="0" applyFont="1" applyFill="1" applyBorder="1" applyAlignment="1">
      <alignment horizontal="center"/>
    </xf>
    <xf numFmtId="0" fontId="115" fillId="19" borderId="11" xfId="2" applyFont="1" applyFill="1" applyBorder="1" applyAlignment="1" applyProtection="1">
      <alignment horizontal="center" vertical="center" wrapText="1"/>
    </xf>
    <xf numFmtId="0" fontId="115" fillId="19" borderId="2" xfId="2" applyFont="1" applyFill="1" applyBorder="1" applyAlignment="1" applyProtection="1">
      <alignment horizontal="center" vertical="center" wrapText="1"/>
    </xf>
    <xf numFmtId="0" fontId="115" fillId="19" borderId="4" xfId="2" applyFont="1" applyFill="1" applyBorder="1" applyAlignment="1" applyProtection="1">
      <alignment horizontal="center" vertical="center" wrapText="1"/>
    </xf>
    <xf numFmtId="0" fontId="89" fillId="4" borderId="0" xfId="2" applyFont="1" applyFill="1" applyBorder="1" applyAlignment="1" applyProtection="1">
      <alignment horizontal="center" vertical="center" wrapText="1"/>
    </xf>
    <xf numFmtId="0" fontId="5" fillId="7" borderId="18" xfId="0" applyNumberFormat="1" applyFont="1" applyFill="1" applyBorder="1" applyAlignment="1"/>
    <xf numFmtId="0" fontId="0" fillId="7" borderId="12" xfId="0" applyNumberFormat="1" applyFill="1" applyBorder="1" applyAlignment="1"/>
    <xf numFmtId="0" fontId="0" fillId="7" borderId="9" xfId="0" applyNumberFormat="1" applyFill="1" applyBorder="1" applyAlignment="1"/>
    <xf numFmtId="0" fontId="0" fillId="0" borderId="0" xfId="0" applyAlignment="1"/>
    <xf numFmtId="2" fontId="58" fillId="4" borderId="7" xfId="0" applyNumberFormat="1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2" fontId="5" fillId="7" borderId="11" xfId="0" applyNumberFormat="1" applyFont="1" applyFill="1" applyBorder="1" applyAlignment="1">
      <alignment horizontal="left"/>
    </xf>
    <xf numFmtId="2" fontId="59" fillId="7" borderId="16" xfId="0" applyNumberFormat="1" applyFont="1" applyFill="1" applyBorder="1" applyAlignment="1">
      <alignment horizontal="center" vertical="center" wrapText="1"/>
    </xf>
    <xf numFmtId="0" fontId="5" fillId="7" borderId="25" xfId="0" applyFont="1" applyFill="1" applyBorder="1" applyAlignment="1">
      <alignment horizontal="center" vertical="center" wrapText="1"/>
    </xf>
    <xf numFmtId="0" fontId="1" fillId="7" borderId="25" xfId="0" applyFont="1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/>
    <xf numFmtId="2" fontId="4" fillId="6" borderId="18" xfId="0" applyNumberFormat="1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7" fillId="4" borderId="11" xfId="0" applyFont="1" applyFill="1" applyBorder="1" applyAlignment="1"/>
    <xf numFmtId="0" fontId="39" fillId="4" borderId="2" xfId="0" applyFont="1" applyFill="1" applyBorder="1" applyAlignment="1"/>
    <xf numFmtId="0" fontId="39" fillId="4" borderId="4" xfId="0" applyFont="1" applyFill="1" applyBorder="1" applyAlignment="1"/>
    <xf numFmtId="2" fontId="5" fillId="21" borderId="5" xfId="0" applyNumberFormat="1" applyFont="1" applyFill="1" applyBorder="1" applyAlignment="1"/>
    <xf numFmtId="2" fontId="4" fillId="21" borderId="18" xfId="0" applyNumberFormat="1" applyFont="1" applyFill="1" applyBorder="1" applyAlignment="1">
      <alignment horizontal="center" vertical="center"/>
    </xf>
    <xf numFmtId="2" fontId="4" fillId="21" borderId="12" xfId="0" applyNumberFormat="1" applyFont="1" applyFill="1" applyBorder="1" applyAlignment="1">
      <alignment horizontal="center" vertical="center"/>
    </xf>
    <xf numFmtId="0" fontId="0" fillId="4" borderId="18" xfId="0" applyFill="1" applyBorder="1" applyAlignment="1"/>
    <xf numFmtId="0" fontId="0" fillId="4" borderId="7" xfId="0" applyFill="1" applyBorder="1" applyAlignment="1"/>
    <xf numFmtId="2" fontId="5" fillId="21" borderId="18" xfId="0" applyNumberFormat="1" applyFont="1" applyFill="1" applyBorder="1" applyAlignment="1"/>
    <xf numFmtId="0" fontId="0" fillId="21" borderId="12" xfId="0" applyFill="1" applyBorder="1" applyAlignment="1"/>
    <xf numFmtId="0" fontId="0" fillId="21" borderId="9" xfId="0" applyFill="1" applyBorder="1" applyAlignment="1"/>
    <xf numFmtId="2" fontId="40" fillId="4" borderId="3" xfId="0" applyNumberFormat="1" applyFont="1" applyFill="1" applyBorder="1" applyAlignment="1">
      <alignment horizontal="center" vertical="center" wrapText="1"/>
    </xf>
    <xf numFmtId="2" fontId="45" fillId="4" borderId="3" xfId="0" applyNumberFormat="1" applyFont="1" applyFill="1" applyBorder="1" applyAlignment="1">
      <alignment horizontal="center" vertical="center" wrapText="1"/>
    </xf>
    <xf numFmtId="0" fontId="60" fillId="4" borderId="3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textRotation="90" wrapText="1"/>
    </xf>
    <xf numFmtId="2" fontId="4" fillId="4" borderId="11" xfId="0" applyNumberFormat="1" applyFont="1" applyFill="1" applyBorder="1" applyAlignment="1">
      <alignment vertical="center" wrapText="1"/>
    </xf>
    <xf numFmtId="2" fontId="4" fillId="4" borderId="2" xfId="0" applyNumberFormat="1" applyFont="1" applyFill="1" applyBorder="1" applyAlignment="1">
      <alignment vertical="center" wrapText="1"/>
    </xf>
    <xf numFmtId="0" fontId="0" fillId="4" borderId="4" xfId="0" applyFill="1" applyBorder="1" applyAlignment="1">
      <alignment vertical="center" wrapText="1"/>
    </xf>
    <xf numFmtId="2" fontId="4" fillId="7" borderId="11" xfId="0" applyNumberFormat="1" applyFont="1" applyFill="1" applyBorder="1" applyAlignment="1">
      <alignment vertical="center" wrapText="1"/>
    </xf>
    <xf numFmtId="2" fontId="4" fillId="7" borderId="2" xfId="0" applyNumberFormat="1" applyFont="1" applyFill="1" applyBorder="1" applyAlignment="1">
      <alignment vertical="center" wrapText="1"/>
    </xf>
    <xf numFmtId="0" fontId="0" fillId="7" borderId="4" xfId="0" applyFill="1" applyBorder="1" applyAlignment="1">
      <alignment vertical="center" wrapText="1"/>
    </xf>
    <xf numFmtId="0" fontId="51" fillId="15" borderId="18" xfId="0" applyFont="1" applyFill="1" applyBorder="1" applyAlignment="1">
      <alignment horizontal="center" vertical="center" wrapText="1"/>
    </xf>
    <xf numFmtId="0" fontId="14" fillId="15" borderId="12" xfId="0" applyFont="1" applyFill="1" applyBorder="1" applyAlignment="1">
      <alignment horizontal="center" vertical="center" wrapText="1"/>
    </xf>
    <xf numFmtId="0" fontId="14" fillId="15" borderId="9" xfId="0" applyFont="1" applyFill="1" applyBorder="1" applyAlignment="1">
      <alignment horizontal="center" vertical="center" wrapText="1"/>
    </xf>
    <xf numFmtId="0" fontId="19" fillId="7" borderId="11" xfId="0" applyFont="1" applyFill="1" applyBorder="1" applyAlignment="1">
      <alignment horizontal="left" vertical="center"/>
    </xf>
    <xf numFmtId="0" fontId="15" fillId="7" borderId="2" xfId="0" applyFont="1" applyFill="1" applyBorder="1" applyAlignment="1">
      <alignment horizontal="left" vertical="center"/>
    </xf>
    <xf numFmtId="0" fontId="15" fillId="7" borderId="4" xfId="0" applyFont="1" applyFill="1" applyBorder="1" applyAlignment="1">
      <alignment horizontal="left" vertical="center"/>
    </xf>
    <xf numFmtId="0" fontId="65" fillId="0" borderId="0" xfId="0" applyFont="1" applyAlignment="1"/>
    <xf numFmtId="0" fontId="65" fillId="0" borderId="22" xfId="0" applyFont="1" applyBorder="1" applyAlignment="1"/>
    <xf numFmtId="0" fontId="18" fillId="4" borderId="2" xfId="0" applyFont="1" applyFill="1" applyBorder="1" applyAlignment="1"/>
    <xf numFmtId="0" fontId="18" fillId="4" borderId="4" xfId="0" applyFont="1" applyFill="1" applyBorder="1" applyAlignment="1"/>
    <xf numFmtId="0" fontId="5" fillId="21" borderId="11" xfId="0" applyFont="1" applyFill="1" applyBorder="1" applyAlignment="1"/>
    <xf numFmtId="0" fontId="5" fillId="21" borderId="2" xfId="0" applyFont="1" applyFill="1" applyBorder="1" applyAlignment="1"/>
    <xf numFmtId="0" fontId="5" fillId="21" borderId="4" xfId="0" applyFont="1" applyFill="1" applyBorder="1" applyAlignment="1"/>
    <xf numFmtId="0" fontId="18" fillId="21" borderId="5" xfId="0" applyFont="1" applyFill="1" applyBorder="1" applyAlignment="1"/>
    <xf numFmtId="2" fontId="84" fillId="4" borderId="3" xfId="0" applyNumberFormat="1" applyFont="1" applyFill="1" applyBorder="1" applyAlignment="1"/>
    <xf numFmtId="0" fontId="83" fillId="4" borderId="3" xfId="0" applyFont="1" applyFill="1" applyBorder="1" applyAlignment="1"/>
    <xf numFmtId="2" fontId="0" fillId="7" borderId="3" xfId="0" applyNumberFormat="1" applyFill="1" applyBorder="1" applyAlignment="1"/>
    <xf numFmtId="0" fontId="18" fillId="4" borderId="5" xfId="0" applyFont="1" applyFill="1" applyBorder="1" applyAlignment="1"/>
    <xf numFmtId="2" fontId="0" fillId="4" borderId="3" xfId="0" applyNumberFormat="1" applyFill="1" applyBorder="1" applyAlignment="1"/>
    <xf numFmtId="0" fontId="77" fillId="13" borderId="11" xfId="0" applyFont="1" applyFill="1" applyBorder="1" applyAlignment="1">
      <alignment wrapText="1"/>
    </xf>
    <xf numFmtId="0" fontId="78" fillId="13" borderId="2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4" xfId="0" applyBorder="1" applyAlignment="1">
      <alignment wrapText="1"/>
    </xf>
    <xf numFmtId="0" fontId="77" fillId="16" borderId="11" xfId="0" applyFont="1" applyFill="1" applyBorder="1" applyAlignment="1">
      <alignment wrapText="1"/>
    </xf>
    <xf numFmtId="0" fontId="78" fillId="16" borderId="2" xfId="0" applyFont="1" applyFill="1" applyBorder="1" applyAlignment="1">
      <alignment wrapText="1"/>
    </xf>
    <xf numFmtId="0" fontId="88" fillId="10" borderId="0" xfId="0" applyFont="1" applyFill="1" applyBorder="1" applyAlignment="1">
      <alignment horizontal="center" vertical="center" wrapText="1"/>
    </xf>
    <xf numFmtId="0" fontId="80" fillId="10" borderId="0" xfId="0" applyFont="1" applyFill="1" applyBorder="1" applyAlignment="1">
      <alignment horizontal="center" vertical="center" wrapText="1"/>
    </xf>
    <xf numFmtId="2" fontId="84" fillId="7" borderId="11" xfId="0" applyNumberFormat="1" applyFont="1" applyFill="1" applyBorder="1" applyAlignment="1"/>
    <xf numFmtId="2" fontId="5" fillId="4" borderId="16" xfId="0" applyNumberFormat="1" applyFont="1" applyFill="1" applyBorder="1" applyAlignment="1"/>
    <xf numFmtId="2" fontId="5" fillId="4" borderId="25" xfId="0" applyNumberFormat="1" applyFont="1" applyFill="1" applyBorder="1" applyAlignment="1"/>
    <xf numFmtId="2" fontId="5" fillId="4" borderId="19" xfId="0" applyNumberFormat="1" applyFont="1" applyFill="1" applyBorder="1" applyAlignment="1"/>
    <xf numFmtId="0" fontId="5" fillId="4" borderId="18" xfId="0" applyFont="1" applyFill="1" applyBorder="1" applyAlignment="1"/>
    <xf numFmtId="0" fontId="100" fillId="13" borderId="11" xfId="2" applyFont="1" applyFill="1" applyBorder="1" applyAlignment="1" applyProtection="1">
      <alignment horizontal="center" vertical="center" wrapText="1"/>
    </xf>
    <xf numFmtId="0" fontId="100" fillId="13" borderId="2" xfId="2" applyFont="1" applyFill="1" applyBorder="1" applyAlignment="1" applyProtection="1">
      <alignment horizontal="center" vertical="center" wrapText="1"/>
    </xf>
    <xf numFmtId="0" fontId="100" fillId="13" borderId="4" xfId="2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5" fillId="19" borderId="11" xfId="0" applyFont="1" applyFill="1" applyBorder="1" applyAlignment="1">
      <alignment horizontal="center" vertical="center" wrapText="1"/>
    </xf>
    <xf numFmtId="0" fontId="9" fillId="19" borderId="2" xfId="0" applyFont="1" applyFill="1" applyBorder="1" applyAlignment="1">
      <alignment horizontal="center" vertical="center" wrapText="1"/>
    </xf>
    <xf numFmtId="0" fontId="9" fillId="19" borderId="4" xfId="0" applyFont="1" applyFill="1" applyBorder="1" applyAlignment="1">
      <alignment horizontal="center" vertical="center" wrapText="1"/>
    </xf>
    <xf numFmtId="0" fontId="9" fillId="19" borderId="16" xfId="0" applyFont="1" applyFill="1" applyBorder="1" applyAlignment="1">
      <alignment horizontal="left" vertical="center" wrapText="1"/>
    </xf>
    <xf numFmtId="0" fontId="9" fillId="19" borderId="25" xfId="0" applyFont="1" applyFill="1" applyBorder="1" applyAlignment="1">
      <alignment horizontal="left" vertical="center" wrapText="1"/>
    </xf>
    <xf numFmtId="0" fontId="9" fillId="19" borderId="25" xfId="0" applyFont="1" applyFill="1" applyBorder="1" applyAlignment="1">
      <alignment wrapText="1"/>
    </xf>
    <xf numFmtId="0" fontId="9" fillId="19" borderId="19" xfId="0" applyFont="1" applyFill="1" applyBorder="1" applyAlignment="1">
      <alignment wrapText="1"/>
    </xf>
    <xf numFmtId="0" fontId="9" fillId="19" borderId="1" xfId="0" applyFont="1" applyFill="1" applyBorder="1" applyAlignment="1">
      <alignment horizontal="left" vertical="center" wrapText="1"/>
    </xf>
    <xf numFmtId="0" fontId="9" fillId="19" borderId="0" xfId="0" applyFont="1" applyFill="1" applyBorder="1" applyAlignment="1">
      <alignment horizontal="left" vertical="center" wrapText="1"/>
    </xf>
    <xf numFmtId="0" fontId="9" fillId="19" borderId="0" xfId="0" applyFont="1" applyFill="1" applyBorder="1" applyAlignment="1">
      <alignment wrapText="1"/>
    </xf>
    <xf numFmtId="0" fontId="9" fillId="19" borderId="22" xfId="0" applyFont="1" applyFill="1" applyBorder="1" applyAlignment="1">
      <alignment wrapText="1"/>
    </xf>
    <xf numFmtId="0" fontId="9" fillId="19" borderId="1" xfId="0" applyFont="1" applyFill="1" applyBorder="1" applyAlignment="1">
      <alignment horizontal="left" wrapText="1"/>
    </xf>
    <xf numFmtId="0" fontId="9" fillId="19" borderId="0" xfId="0" applyFont="1" applyFill="1" applyBorder="1" applyAlignment="1">
      <alignment horizontal="left" wrapText="1"/>
    </xf>
    <xf numFmtId="0" fontId="0" fillId="19" borderId="1" xfId="0" applyFill="1" applyBorder="1" applyAlignment="1">
      <alignment wrapText="1"/>
    </xf>
    <xf numFmtId="0" fontId="0" fillId="19" borderId="0" xfId="0" applyFill="1" applyBorder="1" applyAlignment="1">
      <alignment wrapText="1"/>
    </xf>
    <xf numFmtId="0" fontId="0" fillId="19" borderId="22" xfId="0" applyFill="1" applyBorder="1" applyAlignment="1">
      <alignment wrapText="1"/>
    </xf>
    <xf numFmtId="0" fontId="0" fillId="19" borderId="18" xfId="0" applyFill="1" applyBorder="1" applyAlignment="1">
      <alignment wrapText="1"/>
    </xf>
    <xf numFmtId="0" fontId="0" fillId="19" borderId="12" xfId="0" applyFill="1" applyBorder="1" applyAlignment="1">
      <alignment wrapText="1"/>
    </xf>
    <xf numFmtId="0" fontId="0" fillId="19" borderId="9" xfId="0" applyFill="1" applyBorder="1" applyAlignment="1">
      <alignment wrapText="1"/>
    </xf>
    <xf numFmtId="0" fontId="104" fillId="1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99" fillId="19" borderId="1" xfId="0" applyFont="1" applyFill="1" applyBorder="1" applyAlignment="1">
      <alignment horizontal="center" vertical="center" wrapText="1"/>
    </xf>
    <xf numFmtId="0" fontId="5" fillId="19" borderId="0" xfId="0" applyFont="1" applyFill="1" applyBorder="1" applyAlignment="1">
      <alignment wrapText="1"/>
    </xf>
    <xf numFmtId="0" fontId="1" fillId="19" borderId="0" xfId="0" applyFont="1" applyFill="1" applyBorder="1" applyAlignment="1">
      <alignment wrapText="1"/>
    </xf>
    <xf numFmtId="0" fontId="1" fillId="19" borderId="22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19" borderId="18" xfId="0" applyFont="1" applyFill="1" applyBorder="1" applyAlignment="1">
      <alignment wrapText="1"/>
    </xf>
    <xf numFmtId="0" fontId="5" fillId="19" borderId="12" xfId="0" applyFont="1" applyFill="1" applyBorder="1" applyAlignment="1">
      <alignment wrapText="1"/>
    </xf>
    <xf numFmtId="0" fontId="1" fillId="19" borderId="12" xfId="0" applyFont="1" applyFill="1" applyBorder="1" applyAlignment="1">
      <alignment wrapText="1"/>
    </xf>
    <xf numFmtId="0" fontId="1" fillId="19" borderId="9" xfId="0" applyFont="1" applyFill="1" applyBorder="1" applyAlignment="1">
      <alignment wrapText="1"/>
    </xf>
    <xf numFmtId="0" fontId="26" fillId="2" borderId="3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92" fillId="13" borderId="36" xfId="0" applyFont="1" applyFill="1" applyBorder="1" applyAlignment="1">
      <alignment horizontal="center" vertical="center" wrapText="1"/>
    </xf>
    <xf numFmtId="0" fontId="78" fillId="13" borderId="29" xfId="0" applyFont="1" applyFill="1" applyBorder="1" applyAlignment="1">
      <alignment horizontal="center" vertical="center" wrapText="1"/>
    </xf>
    <xf numFmtId="0" fontId="78" fillId="13" borderId="30" xfId="0" applyFont="1" applyFill="1" applyBorder="1" applyAlignment="1">
      <alignment horizontal="center" vertical="center" wrapText="1"/>
    </xf>
    <xf numFmtId="2" fontId="76" fillId="15" borderId="15" xfId="0" applyNumberFormat="1" applyFont="1" applyFill="1" applyBorder="1" applyAlignment="1">
      <alignment horizontal="center" vertical="center" wrapText="1"/>
    </xf>
    <xf numFmtId="0" fontId="104" fillId="15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2" fontId="77" fillId="15" borderId="15" xfId="0" applyNumberFormat="1" applyFont="1" applyFill="1" applyBorder="1" applyAlignment="1">
      <alignment horizontal="center" vertical="center" wrapText="1"/>
    </xf>
    <xf numFmtId="0" fontId="78" fillId="15" borderId="15" xfId="0" applyFont="1" applyFill="1" applyBorder="1" applyAlignment="1">
      <alignment horizontal="center" vertical="center" wrapText="1"/>
    </xf>
    <xf numFmtId="0" fontId="104" fillId="15" borderId="5" xfId="0" applyFont="1" applyFill="1" applyBorder="1" applyAlignment="1">
      <alignment horizontal="center" vertical="center" wrapText="1"/>
    </xf>
    <xf numFmtId="0" fontId="84" fillId="4" borderId="3" xfId="0" applyFont="1" applyFill="1" applyBorder="1" applyAlignment="1">
      <alignment horizontal="left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85" fillId="13" borderId="3" xfId="0" applyFont="1" applyFill="1" applyBorder="1" applyAlignment="1">
      <alignment horizontal="center" vertical="center" wrapText="1"/>
    </xf>
    <xf numFmtId="0" fontId="86" fillId="13" borderId="3" xfId="0" applyFont="1" applyFill="1" applyBorder="1" applyAlignment="1">
      <alignment horizontal="center" vertical="center" wrapText="1"/>
    </xf>
    <xf numFmtId="2" fontId="28" fillId="5" borderId="11" xfId="0" applyNumberFormat="1" applyFont="1" applyFill="1" applyBorder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19" fillId="4" borderId="16" xfId="0" applyFont="1" applyFill="1" applyBorder="1" applyAlignment="1">
      <alignment horizontal="left" vertical="center"/>
    </xf>
    <xf numFmtId="0" fontId="15" fillId="4" borderId="25" xfId="0" applyFont="1" applyFill="1" applyBorder="1" applyAlignment="1">
      <alignment horizontal="left" vertical="center"/>
    </xf>
    <xf numFmtId="0" fontId="15" fillId="4" borderId="19" xfId="0" applyFont="1" applyFill="1" applyBorder="1" applyAlignment="1">
      <alignment horizontal="left" vertical="center"/>
    </xf>
    <xf numFmtId="0" fontId="97" fillId="10" borderId="11" xfId="0" applyFont="1" applyFill="1" applyBorder="1" applyAlignment="1">
      <alignment horizontal="center" vertical="center" wrapText="1"/>
    </xf>
    <xf numFmtId="0" fontId="97" fillId="10" borderId="2" xfId="0" applyFont="1" applyFill="1" applyBorder="1" applyAlignment="1">
      <alignment horizontal="center" vertical="center" wrapText="1"/>
    </xf>
    <xf numFmtId="0" fontId="98" fillId="10" borderId="4" xfId="0" applyFont="1" applyFill="1" applyBorder="1" applyAlignment="1">
      <alignment horizontal="center" vertical="center" wrapText="1"/>
    </xf>
    <xf numFmtId="0" fontId="85" fillId="13" borderId="16" xfId="0" applyFont="1" applyFill="1" applyBorder="1" applyAlignment="1">
      <alignment horizontal="center" vertical="center" wrapText="1"/>
    </xf>
    <xf numFmtId="0" fontId="86" fillId="13" borderId="25" xfId="0" applyFont="1" applyFill="1" applyBorder="1" applyAlignment="1">
      <alignment horizontal="center" vertical="center" wrapText="1"/>
    </xf>
    <xf numFmtId="0" fontId="86" fillId="13" borderId="19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0" borderId="5" xfId="0" applyBorder="1" applyAlignment="1">
      <alignment vertical="center"/>
    </xf>
    <xf numFmtId="2" fontId="76" fillId="13" borderId="11" xfId="0" applyNumberFormat="1" applyFont="1" applyFill="1" applyBorder="1" applyAlignment="1">
      <alignment horizontal="center" vertical="center"/>
    </xf>
    <xf numFmtId="0" fontId="76" fillId="13" borderId="2" xfId="0" applyFont="1" applyFill="1" applyBorder="1" applyAlignment="1">
      <alignment horizontal="center" vertical="center"/>
    </xf>
    <xf numFmtId="0" fontId="78" fillId="13" borderId="4" xfId="0" applyFont="1" applyFill="1" applyBorder="1" applyAlignment="1">
      <alignment horizontal="center" vertical="center"/>
    </xf>
    <xf numFmtId="0" fontId="78" fillId="10" borderId="0" xfId="0" applyFont="1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 wrapText="1"/>
    </xf>
    <xf numFmtId="0" fontId="5" fillId="19" borderId="1" xfId="0" applyFont="1" applyFill="1" applyBorder="1" applyAlignment="1">
      <alignment horizontal="center" vertical="center" wrapText="1"/>
    </xf>
    <xf numFmtId="0" fontId="5" fillId="19" borderId="0" xfId="0" applyFont="1" applyFill="1" applyBorder="1" applyAlignment="1">
      <alignment horizontal="center" vertical="center" wrapText="1"/>
    </xf>
    <xf numFmtId="0" fontId="0" fillId="19" borderId="0" xfId="0" applyFill="1" applyBorder="1" applyAlignment="1">
      <alignment horizontal="center" vertical="center" wrapText="1"/>
    </xf>
    <xf numFmtId="0" fontId="0" fillId="19" borderId="22" xfId="0" applyFill="1" applyBorder="1" applyAlignment="1">
      <alignment horizontal="center" vertical="center" wrapText="1"/>
    </xf>
    <xf numFmtId="0" fontId="0" fillId="19" borderId="12" xfId="0" applyFill="1" applyBorder="1" applyAlignment="1">
      <alignment horizontal="center" vertical="center" wrapText="1"/>
    </xf>
    <xf numFmtId="0" fontId="0" fillId="19" borderId="9" xfId="0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0" fontId="0" fillId="4" borderId="25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4" borderId="22" xfId="0" applyFill="1" applyBorder="1" applyAlignment="1">
      <alignment horizontal="center" vertical="center" wrapText="1"/>
    </xf>
    <xf numFmtId="0" fontId="0" fillId="4" borderId="18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77" fillId="13" borderId="23" xfId="0" applyFont="1" applyFill="1" applyBorder="1" applyAlignment="1">
      <alignment horizontal="center" vertical="center" wrapText="1"/>
    </xf>
    <xf numFmtId="0" fontId="77" fillId="13" borderId="26" xfId="0" applyFont="1" applyFill="1" applyBorder="1" applyAlignment="1">
      <alignment horizontal="center" vertical="center" wrapText="1"/>
    </xf>
    <xf numFmtId="0" fontId="77" fillId="13" borderId="27" xfId="0" applyFont="1" applyFill="1" applyBorder="1" applyAlignment="1">
      <alignment horizontal="center" vertical="center" wrapText="1"/>
    </xf>
    <xf numFmtId="0" fontId="77" fillId="13" borderId="6" xfId="0" applyFont="1" applyFill="1" applyBorder="1" applyAlignment="1">
      <alignment horizontal="center" vertical="center" wrapText="1"/>
    </xf>
    <xf numFmtId="0" fontId="77" fillId="13" borderId="0" xfId="0" applyFont="1" applyFill="1" applyBorder="1" applyAlignment="1">
      <alignment horizontal="center" vertical="center" wrapText="1"/>
    </xf>
    <xf numFmtId="0" fontId="77" fillId="13" borderId="13" xfId="0" applyFont="1" applyFill="1" applyBorder="1" applyAlignment="1">
      <alignment horizontal="center" vertical="center" wrapText="1"/>
    </xf>
    <xf numFmtId="0" fontId="77" fillId="13" borderId="24" xfId="0" applyFont="1" applyFill="1" applyBorder="1" applyAlignment="1">
      <alignment horizontal="center" vertical="center" wrapText="1"/>
    </xf>
    <xf numFmtId="0" fontId="77" fillId="13" borderId="20" xfId="0" applyFont="1" applyFill="1" applyBorder="1" applyAlignment="1">
      <alignment horizontal="center" vertical="center" wrapText="1"/>
    </xf>
    <xf numFmtId="0" fontId="77" fillId="13" borderId="28" xfId="0" applyFont="1" applyFill="1" applyBorder="1" applyAlignment="1">
      <alignment horizontal="center" vertical="center" wrapText="1"/>
    </xf>
    <xf numFmtId="0" fontId="66" fillId="9" borderId="0" xfId="0" applyFont="1" applyFill="1" applyAlignment="1"/>
    <xf numFmtId="0" fontId="19" fillId="4" borderId="11" xfId="0" applyFont="1" applyFill="1" applyBorder="1" applyAlignment="1">
      <alignment horizontal="left" vertical="center"/>
    </xf>
    <xf numFmtId="0" fontId="15" fillId="4" borderId="2" xfId="0" applyFont="1" applyFill="1" applyBorder="1" applyAlignment="1">
      <alignment horizontal="left" vertical="center"/>
    </xf>
    <xf numFmtId="0" fontId="15" fillId="4" borderId="4" xfId="0" applyFont="1" applyFill="1" applyBorder="1" applyAlignment="1">
      <alignment horizontal="left" vertical="center"/>
    </xf>
    <xf numFmtId="2" fontId="4" fillId="19" borderId="1" xfId="0" applyNumberFormat="1" applyFont="1" applyFill="1" applyBorder="1" applyAlignment="1">
      <alignment horizontal="center" vertical="center" wrapText="1"/>
    </xf>
    <xf numFmtId="0" fontId="5" fillId="19" borderId="22" xfId="0" applyFont="1" applyFill="1" applyBorder="1" applyAlignment="1">
      <alignment horizontal="center" vertical="center" wrapText="1"/>
    </xf>
    <xf numFmtId="0" fontId="84" fillId="7" borderId="3" xfId="0" applyFont="1" applyFill="1" applyBorder="1" applyAlignment="1">
      <alignment horizontal="left" wrapText="1"/>
    </xf>
    <xf numFmtId="0" fontId="76" fillId="17" borderId="5" xfId="0" applyFont="1" applyFill="1" applyBorder="1" applyAlignment="1"/>
    <xf numFmtId="0" fontId="104" fillId="17" borderId="5" xfId="0" applyFont="1" applyFill="1" applyBorder="1" applyAlignment="1"/>
    <xf numFmtId="2" fontId="5" fillId="4" borderId="16" xfId="0" applyNumberFormat="1" applyFont="1" applyFill="1" applyBorder="1" applyAlignment="1">
      <alignment wrapText="1"/>
    </xf>
    <xf numFmtId="0" fontId="0" fillId="4" borderId="25" xfId="0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18" fillId="7" borderId="2" xfId="0" applyFont="1" applyFill="1" applyBorder="1" applyAlignment="1">
      <alignment wrapText="1"/>
    </xf>
    <xf numFmtId="0" fontId="18" fillId="7" borderId="4" xfId="0" applyFont="1" applyFill="1" applyBorder="1" applyAlignment="1">
      <alignment wrapText="1"/>
    </xf>
    <xf numFmtId="0" fontId="5" fillId="4" borderId="11" xfId="0" applyNumberFormat="1" applyFont="1" applyFill="1" applyBorder="1" applyAlignment="1"/>
    <xf numFmtId="0" fontId="0" fillId="4" borderId="2" xfId="0" applyNumberFormat="1" applyFill="1" applyBorder="1" applyAlignment="1"/>
    <xf numFmtId="0" fontId="0" fillId="4" borderId="4" xfId="0" applyNumberFormat="1" applyFill="1" applyBorder="1" applyAlignment="1"/>
    <xf numFmtId="2" fontId="5" fillId="4" borderId="2" xfId="0" applyNumberFormat="1" applyFont="1" applyFill="1" applyBorder="1" applyAlignment="1">
      <alignment wrapText="1"/>
    </xf>
    <xf numFmtId="2" fontId="5" fillId="4" borderId="4" xfId="0" applyNumberFormat="1" applyFont="1" applyFill="1" applyBorder="1" applyAlignment="1">
      <alignment wrapText="1"/>
    </xf>
    <xf numFmtId="0" fontId="1" fillId="21" borderId="3" xfId="0" applyFont="1" applyFill="1" applyBorder="1" applyAlignment="1"/>
    <xf numFmtId="2" fontId="5" fillId="7" borderId="2" xfId="0" applyNumberFormat="1" applyFont="1" applyFill="1" applyBorder="1" applyAlignment="1">
      <alignment wrapText="1"/>
    </xf>
    <xf numFmtId="2" fontId="5" fillId="7" borderId="4" xfId="0" applyNumberFormat="1" applyFont="1" applyFill="1" applyBorder="1" applyAlignment="1">
      <alignment wrapText="1"/>
    </xf>
    <xf numFmtId="0" fontId="1" fillId="4" borderId="3" xfId="0" applyFont="1" applyFill="1" applyBorder="1" applyAlignment="1">
      <alignment wrapText="1"/>
    </xf>
    <xf numFmtId="0" fontId="11" fillId="4" borderId="3" xfId="0" applyFont="1" applyFill="1" applyBorder="1" applyAlignment="1"/>
    <xf numFmtId="0" fontId="66" fillId="12" borderId="16" xfId="0" applyFont="1" applyFill="1" applyBorder="1" applyAlignment="1">
      <alignment horizontal="center" vertical="center" wrapText="1"/>
    </xf>
    <xf numFmtId="0" fontId="66" fillId="12" borderId="25" xfId="0" applyFont="1" applyFill="1" applyBorder="1" applyAlignment="1">
      <alignment horizontal="center" vertical="center" wrapText="1"/>
    </xf>
    <xf numFmtId="0" fontId="0" fillId="12" borderId="25" xfId="0" applyFill="1" applyBorder="1" applyAlignment="1">
      <alignment horizontal="center" vertical="center" wrapText="1"/>
    </xf>
    <xf numFmtId="0" fontId="0" fillId="12" borderId="19" xfId="0" applyFill="1" applyBorder="1" applyAlignment="1">
      <alignment horizontal="center" vertical="center" wrapText="1"/>
    </xf>
    <xf numFmtId="0" fontId="66" fillId="12" borderId="1" xfId="0" applyFont="1" applyFill="1" applyBorder="1" applyAlignment="1">
      <alignment horizontal="center" vertical="center" wrapText="1"/>
    </xf>
    <xf numFmtId="0" fontId="66" fillId="12" borderId="0" xfId="0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0" fontId="0" fillId="12" borderId="22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 wrapText="1"/>
    </xf>
    <xf numFmtId="0" fontId="0" fillId="12" borderId="0" xfId="0" applyFill="1" applyBorder="1" applyAlignment="1">
      <alignment horizontal="center" vertical="center" wrapText="1"/>
    </xf>
    <xf numFmtId="0" fontId="0" fillId="12" borderId="18" xfId="0" applyFill="1" applyBorder="1" applyAlignment="1">
      <alignment horizontal="center" vertical="center" wrapText="1"/>
    </xf>
    <xf numFmtId="0" fontId="0" fillId="12" borderId="12" xfId="0" applyFill="1" applyBorder="1" applyAlignment="1">
      <alignment horizontal="center" vertical="center" wrapText="1"/>
    </xf>
    <xf numFmtId="0" fontId="0" fillId="12" borderId="9" xfId="0" applyFill="1" applyBorder="1" applyAlignment="1">
      <alignment horizontal="center" vertical="center" wrapText="1"/>
    </xf>
    <xf numFmtId="0" fontId="1" fillId="4" borderId="5" xfId="0" applyFont="1" applyFill="1" applyBorder="1" applyAlignment="1"/>
    <xf numFmtId="0" fontId="18" fillId="21" borderId="3" xfId="0" applyFont="1" applyFill="1" applyBorder="1" applyAlignment="1"/>
    <xf numFmtId="0" fontId="0" fillId="21" borderId="2" xfId="0" applyFill="1" applyBorder="1" applyAlignment="1"/>
    <xf numFmtId="0" fontId="0" fillId="21" borderId="4" xfId="0" applyFill="1" applyBorder="1" applyAlignment="1"/>
    <xf numFmtId="2" fontId="5" fillId="0" borderId="11" xfId="0" applyNumberFormat="1" applyFont="1" applyFill="1" applyBorder="1" applyAlignment="1"/>
    <xf numFmtId="0" fontId="0" fillId="0" borderId="2" xfId="0" applyFill="1" applyBorder="1" applyAlignment="1"/>
    <xf numFmtId="0" fontId="0" fillId="0" borderId="4" xfId="0" applyFill="1" applyBorder="1" applyAlignment="1"/>
    <xf numFmtId="2" fontId="17" fillId="4" borderId="11" xfId="0" applyNumberFormat="1" applyFont="1" applyFill="1" applyBorder="1" applyAlignment="1"/>
    <xf numFmtId="0" fontId="65" fillId="12" borderId="25" xfId="0" applyFont="1" applyFill="1" applyBorder="1" applyAlignment="1">
      <alignment horizontal="center" vertical="center" wrapText="1"/>
    </xf>
    <xf numFmtId="0" fontId="65" fillId="12" borderId="19" xfId="0" applyFont="1" applyFill="1" applyBorder="1" applyAlignment="1">
      <alignment horizontal="center" vertical="center" wrapText="1"/>
    </xf>
    <xf numFmtId="0" fontId="65" fillId="12" borderId="1" xfId="0" applyFont="1" applyFill="1" applyBorder="1" applyAlignment="1">
      <alignment horizontal="center" vertical="center" wrapText="1"/>
    </xf>
    <xf numFmtId="0" fontId="65" fillId="12" borderId="0" xfId="0" applyFont="1" applyFill="1" applyAlignment="1">
      <alignment horizontal="center" vertical="center" wrapText="1"/>
    </xf>
    <xf numFmtId="0" fontId="65" fillId="12" borderId="22" xfId="0" applyFont="1" applyFill="1" applyBorder="1" applyAlignment="1">
      <alignment horizontal="center" vertical="center" wrapText="1"/>
    </xf>
    <xf numFmtId="0" fontId="65" fillId="12" borderId="18" xfId="0" applyFont="1" applyFill="1" applyBorder="1" applyAlignment="1">
      <alignment horizontal="center" vertical="center" wrapText="1"/>
    </xf>
    <xf numFmtId="0" fontId="65" fillId="12" borderId="12" xfId="0" applyFont="1" applyFill="1" applyBorder="1" applyAlignment="1">
      <alignment horizontal="center" vertical="center" wrapText="1"/>
    </xf>
    <xf numFmtId="0" fontId="65" fillId="12" borderId="9" xfId="0" applyFont="1" applyFill="1" applyBorder="1" applyAlignment="1">
      <alignment horizontal="center" vertical="center" wrapText="1"/>
    </xf>
    <xf numFmtId="0" fontId="15" fillId="9" borderId="1" xfId="0" applyFont="1" applyFill="1" applyBorder="1" applyAlignment="1">
      <alignment vertical="center"/>
    </xf>
    <xf numFmtId="0" fontId="9" fillId="9" borderId="0" xfId="0" applyFont="1" applyFill="1" applyBorder="1" applyAlignment="1">
      <alignment vertical="center"/>
    </xf>
    <xf numFmtId="0" fontId="9" fillId="9" borderId="22" xfId="0" applyFont="1" applyFill="1" applyBorder="1" applyAlignment="1">
      <alignment vertical="center"/>
    </xf>
    <xf numFmtId="0" fontId="105" fillId="12" borderId="16" xfId="0" applyFont="1" applyFill="1" applyBorder="1" applyAlignment="1">
      <alignment horizontal="center" vertical="center" wrapText="1"/>
    </xf>
    <xf numFmtId="0" fontId="105" fillId="12" borderId="25" xfId="0" applyFont="1" applyFill="1" applyBorder="1" applyAlignment="1">
      <alignment horizontal="center" vertical="center" wrapText="1"/>
    </xf>
    <xf numFmtId="0" fontId="105" fillId="12" borderId="19" xfId="0" applyFont="1" applyFill="1" applyBorder="1" applyAlignment="1">
      <alignment horizontal="center" vertical="center" wrapText="1"/>
    </xf>
    <xf numFmtId="0" fontId="105" fillId="12" borderId="1" xfId="0" applyFont="1" applyFill="1" applyBorder="1" applyAlignment="1">
      <alignment horizontal="center" vertical="center" wrapText="1"/>
    </xf>
    <xf numFmtId="0" fontId="105" fillId="12" borderId="0" xfId="0" applyFont="1" applyFill="1" applyBorder="1" applyAlignment="1">
      <alignment horizontal="center" vertical="center" wrapText="1"/>
    </xf>
    <xf numFmtId="0" fontId="105" fillId="12" borderId="22" xfId="0" applyFont="1" applyFill="1" applyBorder="1" applyAlignment="1">
      <alignment horizontal="center" vertical="center" wrapText="1"/>
    </xf>
    <xf numFmtId="0" fontId="105" fillId="12" borderId="18" xfId="0" applyFont="1" applyFill="1" applyBorder="1" applyAlignment="1">
      <alignment horizontal="center" vertical="center" wrapText="1"/>
    </xf>
    <xf numFmtId="0" fontId="105" fillId="12" borderId="12" xfId="0" applyFont="1" applyFill="1" applyBorder="1" applyAlignment="1">
      <alignment horizontal="center" vertical="center" wrapText="1"/>
    </xf>
    <xf numFmtId="0" fontId="105" fillId="12" borderId="9" xfId="0" applyFont="1" applyFill="1" applyBorder="1" applyAlignment="1">
      <alignment horizontal="center" vertical="center" wrapText="1"/>
    </xf>
    <xf numFmtId="2" fontId="17" fillId="7" borderId="11" xfId="0" applyNumberFormat="1" applyFont="1" applyFill="1" applyBorder="1" applyAlignment="1">
      <alignment wrapText="1"/>
    </xf>
    <xf numFmtId="0" fontId="39" fillId="7" borderId="2" xfId="0" applyFont="1" applyFill="1" applyBorder="1" applyAlignment="1">
      <alignment wrapText="1"/>
    </xf>
    <xf numFmtId="0" fontId="39" fillId="7" borderId="4" xfId="0" applyFont="1" applyFill="1" applyBorder="1" applyAlignment="1">
      <alignment wrapText="1"/>
    </xf>
    <xf numFmtId="2" fontId="5" fillId="7" borderId="18" xfId="0" applyNumberFormat="1" applyFont="1" applyFill="1" applyBorder="1" applyAlignment="1">
      <alignment wrapText="1"/>
    </xf>
    <xf numFmtId="0" fontId="1" fillId="7" borderId="12" xfId="0" applyFont="1" applyFill="1" applyBorder="1" applyAlignment="1">
      <alignment wrapText="1"/>
    </xf>
    <xf numFmtId="0" fontId="1" fillId="7" borderId="9" xfId="0" applyFont="1" applyFill="1" applyBorder="1" applyAlignment="1">
      <alignment wrapText="1"/>
    </xf>
    <xf numFmtId="0" fontId="18" fillId="7" borderId="3" xfId="0" applyFont="1" applyFill="1" applyBorder="1" applyAlignment="1">
      <alignment wrapText="1"/>
    </xf>
    <xf numFmtId="2" fontId="84" fillId="4" borderId="3" xfId="0" applyNumberFormat="1" applyFont="1" applyFill="1" applyBorder="1" applyAlignment="1">
      <alignment wrapText="1"/>
    </xf>
    <xf numFmtId="0" fontId="83" fillId="4" borderId="3" xfId="0" applyFont="1" applyFill="1" applyBorder="1" applyAlignment="1">
      <alignment wrapText="1"/>
    </xf>
    <xf numFmtId="2" fontId="5" fillId="4" borderId="5" xfId="0" applyNumberFormat="1" applyFont="1" applyFill="1" applyBorder="1" applyAlignment="1">
      <alignment wrapText="1"/>
    </xf>
    <xf numFmtId="0" fontId="1" fillId="4" borderId="5" xfId="0" applyFont="1" applyFill="1" applyBorder="1" applyAlignment="1">
      <alignment wrapText="1"/>
    </xf>
    <xf numFmtId="2" fontId="5" fillId="21" borderId="3" xfId="0" applyNumberFormat="1" applyFont="1" applyFill="1" applyBorder="1" applyAlignment="1">
      <alignment wrapText="1"/>
    </xf>
    <xf numFmtId="0" fontId="18" fillId="21" borderId="3" xfId="0" applyFont="1" applyFill="1" applyBorder="1" applyAlignment="1">
      <alignment wrapText="1"/>
    </xf>
  </cellXfs>
  <cellStyles count="4">
    <cellStyle name="Euro" xfId="1"/>
    <cellStyle name="Hipervínculo" xfId="2" builtinId="8"/>
    <cellStyle name="Normal" xfId="0" builtinId="0"/>
    <cellStyle name="Porcentaje" xfId="3" builtinId="5"/>
  </cellStyles>
  <dxfs count="0"/>
  <tableStyles count="0" defaultTableStyle="TableStyleMedium9" defaultPivotStyle="PivotStyleLight16"/>
  <colors>
    <mruColors>
      <color rgb="FFFFFF99"/>
      <color rgb="FFFFFFCC"/>
      <color rgb="FFCCFF99"/>
      <color rgb="FF007635"/>
      <color rgb="FF008E40"/>
      <color rgb="FF0054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2.png"/><Relationship Id="rId18" Type="http://schemas.openxmlformats.org/officeDocument/2006/relationships/image" Target="../media/image17.png"/><Relationship Id="rId26" Type="http://schemas.openxmlformats.org/officeDocument/2006/relationships/image" Target="../media/image25.png"/><Relationship Id="rId39" Type="http://schemas.openxmlformats.org/officeDocument/2006/relationships/image" Target="../media/image38.png"/><Relationship Id="rId21" Type="http://schemas.openxmlformats.org/officeDocument/2006/relationships/image" Target="../media/image20.png"/><Relationship Id="rId34" Type="http://schemas.openxmlformats.org/officeDocument/2006/relationships/image" Target="../media/image33.png"/><Relationship Id="rId42" Type="http://schemas.openxmlformats.org/officeDocument/2006/relationships/image" Target="../media/image41.png"/><Relationship Id="rId47" Type="http://schemas.openxmlformats.org/officeDocument/2006/relationships/image" Target="../media/image46.png"/><Relationship Id="rId50" Type="http://schemas.openxmlformats.org/officeDocument/2006/relationships/image" Target="../media/image49.png"/><Relationship Id="rId55" Type="http://schemas.openxmlformats.org/officeDocument/2006/relationships/image" Target="../media/image54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6" Type="http://schemas.openxmlformats.org/officeDocument/2006/relationships/image" Target="../media/image15.png"/><Relationship Id="rId29" Type="http://schemas.openxmlformats.org/officeDocument/2006/relationships/image" Target="../media/image28.png"/><Relationship Id="rId11" Type="http://schemas.openxmlformats.org/officeDocument/2006/relationships/image" Target="../media/image10.png"/><Relationship Id="rId24" Type="http://schemas.openxmlformats.org/officeDocument/2006/relationships/image" Target="../media/image23.png"/><Relationship Id="rId32" Type="http://schemas.openxmlformats.org/officeDocument/2006/relationships/image" Target="../media/image31.png"/><Relationship Id="rId37" Type="http://schemas.openxmlformats.org/officeDocument/2006/relationships/image" Target="../media/image36.png"/><Relationship Id="rId40" Type="http://schemas.openxmlformats.org/officeDocument/2006/relationships/image" Target="../media/image39.png"/><Relationship Id="rId45" Type="http://schemas.openxmlformats.org/officeDocument/2006/relationships/image" Target="../media/image44.png"/><Relationship Id="rId53" Type="http://schemas.openxmlformats.org/officeDocument/2006/relationships/image" Target="../media/image52.png"/><Relationship Id="rId58" Type="http://schemas.openxmlformats.org/officeDocument/2006/relationships/image" Target="../media/image57.png"/><Relationship Id="rId5" Type="http://schemas.openxmlformats.org/officeDocument/2006/relationships/image" Target="../media/image5.jpeg"/><Relationship Id="rId19" Type="http://schemas.openxmlformats.org/officeDocument/2006/relationships/image" Target="../media/image18.png"/><Relationship Id="rId4" Type="http://schemas.openxmlformats.org/officeDocument/2006/relationships/image" Target="../media/image4.png"/><Relationship Id="rId9" Type="http://schemas.openxmlformats.org/officeDocument/2006/relationships/hyperlink" Target="http://www.jivi.com.ar/home.asp" TargetMode="External"/><Relationship Id="rId14" Type="http://schemas.openxmlformats.org/officeDocument/2006/relationships/image" Target="../media/image13.png"/><Relationship Id="rId22" Type="http://schemas.openxmlformats.org/officeDocument/2006/relationships/image" Target="../media/image21.png"/><Relationship Id="rId27" Type="http://schemas.openxmlformats.org/officeDocument/2006/relationships/image" Target="../media/image26.png"/><Relationship Id="rId30" Type="http://schemas.openxmlformats.org/officeDocument/2006/relationships/image" Target="../media/image29.png"/><Relationship Id="rId35" Type="http://schemas.openxmlformats.org/officeDocument/2006/relationships/image" Target="../media/image34.png"/><Relationship Id="rId43" Type="http://schemas.openxmlformats.org/officeDocument/2006/relationships/image" Target="../media/image42.png"/><Relationship Id="rId48" Type="http://schemas.openxmlformats.org/officeDocument/2006/relationships/image" Target="../media/image47.png"/><Relationship Id="rId56" Type="http://schemas.openxmlformats.org/officeDocument/2006/relationships/image" Target="../media/image55.png"/><Relationship Id="rId8" Type="http://schemas.openxmlformats.org/officeDocument/2006/relationships/image" Target="../media/image8.jpeg"/><Relationship Id="rId51" Type="http://schemas.openxmlformats.org/officeDocument/2006/relationships/image" Target="../media/image50.png"/><Relationship Id="rId3" Type="http://schemas.openxmlformats.org/officeDocument/2006/relationships/image" Target="../media/image3.jpeg"/><Relationship Id="rId12" Type="http://schemas.openxmlformats.org/officeDocument/2006/relationships/image" Target="../media/image11.png"/><Relationship Id="rId17" Type="http://schemas.openxmlformats.org/officeDocument/2006/relationships/image" Target="../media/image16.png"/><Relationship Id="rId25" Type="http://schemas.openxmlformats.org/officeDocument/2006/relationships/image" Target="../media/image24.png"/><Relationship Id="rId33" Type="http://schemas.openxmlformats.org/officeDocument/2006/relationships/image" Target="../media/image32.png"/><Relationship Id="rId38" Type="http://schemas.openxmlformats.org/officeDocument/2006/relationships/image" Target="../media/image37.png"/><Relationship Id="rId46" Type="http://schemas.openxmlformats.org/officeDocument/2006/relationships/image" Target="../media/image45.png"/><Relationship Id="rId20" Type="http://schemas.openxmlformats.org/officeDocument/2006/relationships/image" Target="../media/image19.png"/><Relationship Id="rId41" Type="http://schemas.openxmlformats.org/officeDocument/2006/relationships/image" Target="../media/image40.png"/><Relationship Id="rId54" Type="http://schemas.openxmlformats.org/officeDocument/2006/relationships/image" Target="../media/image53.pn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5" Type="http://schemas.openxmlformats.org/officeDocument/2006/relationships/image" Target="../media/image14.png"/><Relationship Id="rId23" Type="http://schemas.openxmlformats.org/officeDocument/2006/relationships/image" Target="../media/image22.png"/><Relationship Id="rId28" Type="http://schemas.openxmlformats.org/officeDocument/2006/relationships/image" Target="../media/image27.png"/><Relationship Id="rId36" Type="http://schemas.openxmlformats.org/officeDocument/2006/relationships/image" Target="../media/image35.png"/><Relationship Id="rId49" Type="http://schemas.openxmlformats.org/officeDocument/2006/relationships/image" Target="../media/image48.png"/><Relationship Id="rId57" Type="http://schemas.openxmlformats.org/officeDocument/2006/relationships/image" Target="../media/image56.png"/><Relationship Id="rId10" Type="http://schemas.openxmlformats.org/officeDocument/2006/relationships/image" Target="../media/image9.png"/><Relationship Id="rId31" Type="http://schemas.openxmlformats.org/officeDocument/2006/relationships/image" Target="../media/image30.png"/><Relationship Id="rId44" Type="http://schemas.openxmlformats.org/officeDocument/2006/relationships/image" Target="../media/image43.png"/><Relationship Id="rId52" Type="http://schemas.openxmlformats.org/officeDocument/2006/relationships/image" Target="../media/image5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786</xdr:row>
      <xdr:rowOff>28575</xdr:rowOff>
    </xdr:from>
    <xdr:to>
      <xdr:col>1</xdr:col>
      <xdr:colOff>295275</xdr:colOff>
      <xdr:row>786</xdr:row>
      <xdr:rowOff>161925</xdr:rowOff>
    </xdr:to>
    <xdr:pic>
      <xdr:nvPicPr>
        <xdr:cNvPr id="274608" name="Picture 991" descr="100">
          <a:extLst>
            <a:ext uri="{FF2B5EF4-FFF2-40B4-BE49-F238E27FC236}">
              <a16:creationId xmlns:a16="http://schemas.microsoft.com/office/drawing/2014/main" id="{98EC0E31-0DB0-4E85-9616-F03844435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123291600"/>
          <a:ext cx="2000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103</xdr:row>
      <xdr:rowOff>19050</xdr:rowOff>
    </xdr:from>
    <xdr:to>
      <xdr:col>0</xdr:col>
      <xdr:colOff>295275</xdr:colOff>
      <xdr:row>103</xdr:row>
      <xdr:rowOff>142875</xdr:rowOff>
    </xdr:to>
    <xdr:pic>
      <xdr:nvPicPr>
        <xdr:cNvPr id="274616" name="Picture 1012" descr="100">
          <a:extLst>
            <a:ext uri="{FF2B5EF4-FFF2-40B4-BE49-F238E27FC236}">
              <a16:creationId xmlns:a16="http://schemas.microsoft.com/office/drawing/2014/main" id="{316D6F31-0731-473B-B30F-5ECF604E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20316825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85726</xdr:colOff>
      <xdr:row>784</xdr:row>
      <xdr:rowOff>28576</xdr:rowOff>
    </xdr:from>
    <xdr:to>
      <xdr:col>1</xdr:col>
      <xdr:colOff>173958</xdr:colOff>
      <xdr:row>784</xdr:row>
      <xdr:rowOff>180976</xdr:rowOff>
    </xdr:to>
    <xdr:pic>
      <xdr:nvPicPr>
        <xdr:cNvPr id="274619" name="Picture 826" descr="pesos">
          <a:extLst>
            <a:ext uri="{FF2B5EF4-FFF2-40B4-BE49-F238E27FC236}">
              <a16:creationId xmlns:a16="http://schemas.microsoft.com/office/drawing/2014/main" id="{A0DCA90C-255D-4CAD-B0D7-D2FE35775D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8626" y="120910351"/>
          <a:ext cx="88232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29FDABAC-772F-4467-AB5C-0546480A5E85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3" name="Text Box 6">
          <a:extLst>
            <a:ext uri="{FF2B5EF4-FFF2-40B4-BE49-F238E27FC236}">
              <a16:creationId xmlns:a16="http://schemas.microsoft.com/office/drawing/2014/main" id="{FD3BE4C5-E8A9-4A11-A5D3-E7634C26396F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C02D90C1-0AA6-46CF-8BF7-C06D8838A382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DD2B9736-D220-4579-B578-63C0566A33B9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6" name="Text Box 6">
          <a:extLst>
            <a:ext uri="{FF2B5EF4-FFF2-40B4-BE49-F238E27FC236}">
              <a16:creationId xmlns:a16="http://schemas.microsoft.com/office/drawing/2014/main" id="{BC7AA8ED-57DB-4451-B324-0A5E6C775AF2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0</xdr:colOff>
      <xdr:row>54</xdr:row>
      <xdr:rowOff>0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0706055-6226-4FD8-B354-EFD44421B761}"/>
            </a:ext>
          </a:extLst>
        </xdr:cNvPr>
        <xdr:cNvSpPr txBox="1">
          <a:spLocks noChangeArrowheads="1"/>
        </xdr:cNvSpPr>
      </xdr:nvSpPr>
      <xdr:spPr bwMode="auto">
        <a:xfrm>
          <a:off x="2428875" y="8648700"/>
          <a:ext cx="0" cy="0"/>
        </a:xfrm>
        <a:prstGeom prst="rect">
          <a:avLst/>
        </a:prstGeom>
        <a:solidFill>
          <a:srgbClr val="00000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  <a:p>
          <a:pPr algn="ctr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Verdana"/>
            </a:rPr>
            <a:t>DISCONTINUADO</a:t>
          </a:r>
        </a:p>
      </xdr:txBody>
    </xdr:sp>
    <xdr:clientData/>
  </xdr:twoCellAnchor>
  <xdr:twoCellAnchor editAs="oneCell">
    <xdr:from>
      <xdr:col>24</xdr:col>
      <xdr:colOff>0</xdr:colOff>
      <xdr:row>0</xdr:row>
      <xdr:rowOff>28575</xdr:rowOff>
    </xdr:from>
    <xdr:to>
      <xdr:col>24</xdr:col>
      <xdr:colOff>219075</xdr:colOff>
      <xdr:row>1</xdr:row>
      <xdr:rowOff>38100</xdr:rowOff>
    </xdr:to>
    <xdr:pic>
      <xdr:nvPicPr>
        <xdr:cNvPr id="274655" name="329 Imagen" descr="flechita-verde.png">
          <a:extLst>
            <a:ext uri="{FF2B5EF4-FFF2-40B4-BE49-F238E27FC236}">
              <a16:creationId xmlns:a16="http://schemas.microsoft.com/office/drawing/2014/main" id="{2C4A5E53-2999-4917-8D83-0DCED67D1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86725" y="285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37</xdr:col>
      <xdr:colOff>466725</xdr:colOff>
      <xdr:row>126</xdr:row>
      <xdr:rowOff>0</xdr:rowOff>
    </xdr:from>
    <xdr:to>
      <xdr:col>38</xdr:col>
      <xdr:colOff>371475</xdr:colOff>
      <xdr:row>129</xdr:row>
      <xdr:rowOff>0</xdr:rowOff>
    </xdr:to>
    <xdr:sp macro="" textlink="">
      <xdr:nvSpPr>
        <xdr:cNvPr id="274658" name="Text Box 593666">
          <a:extLst>
            <a:ext uri="{FF2B5EF4-FFF2-40B4-BE49-F238E27FC236}">
              <a16:creationId xmlns:a16="http://schemas.microsoft.com/office/drawing/2014/main" id="{8685D1C6-B6BD-41E6-8669-8C09271A56BA}"/>
            </a:ext>
          </a:extLst>
        </xdr:cNvPr>
        <xdr:cNvSpPr txBox="1">
          <a:spLocks noChangeArrowheads="1"/>
        </xdr:cNvSpPr>
      </xdr:nvSpPr>
      <xdr:spPr bwMode="auto">
        <a:xfrm>
          <a:off x="14087475" y="23040975"/>
          <a:ext cx="666750" cy="9144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0</xdr:col>
      <xdr:colOff>95250</xdr:colOff>
      <xdr:row>65</xdr:row>
      <xdr:rowOff>19050</xdr:rowOff>
    </xdr:from>
    <xdr:to>
      <xdr:col>0</xdr:col>
      <xdr:colOff>295275</xdr:colOff>
      <xdr:row>65</xdr:row>
      <xdr:rowOff>142875</xdr:rowOff>
    </xdr:to>
    <xdr:pic>
      <xdr:nvPicPr>
        <xdr:cNvPr id="274665" name="Picture 1006" descr="100">
          <a:extLst>
            <a:ext uri="{FF2B5EF4-FFF2-40B4-BE49-F238E27FC236}">
              <a16:creationId xmlns:a16="http://schemas.microsoft.com/office/drawing/2014/main" id="{F3E195D8-D2A6-466B-A1F5-CF5010ECDD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3458825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84</xdr:row>
      <xdr:rowOff>28575</xdr:rowOff>
    </xdr:from>
    <xdr:to>
      <xdr:col>1</xdr:col>
      <xdr:colOff>9525</xdr:colOff>
      <xdr:row>84</xdr:row>
      <xdr:rowOff>142875</xdr:rowOff>
    </xdr:to>
    <xdr:pic>
      <xdr:nvPicPr>
        <xdr:cNvPr id="274666" name="205 Imagen" descr="premium.jpg">
          <a:extLst>
            <a:ext uri="{FF2B5EF4-FFF2-40B4-BE49-F238E27FC236}">
              <a16:creationId xmlns:a16="http://schemas.microsoft.com/office/drawing/2014/main" id="{3AC1E528-8588-4F61-ACBF-4D87A038F3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3639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85</xdr:row>
      <xdr:rowOff>28575</xdr:rowOff>
    </xdr:from>
    <xdr:to>
      <xdr:col>1</xdr:col>
      <xdr:colOff>9525</xdr:colOff>
      <xdr:row>85</xdr:row>
      <xdr:rowOff>142875</xdr:rowOff>
    </xdr:to>
    <xdr:pic>
      <xdr:nvPicPr>
        <xdr:cNvPr id="274667" name="206 Imagen" descr="premium.jpg">
          <a:extLst>
            <a:ext uri="{FF2B5EF4-FFF2-40B4-BE49-F238E27FC236}">
              <a16:creationId xmlns:a16="http://schemas.microsoft.com/office/drawing/2014/main" id="{BAB6762A-76E0-45B9-8504-EA71F4FBF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5163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86</xdr:row>
      <xdr:rowOff>28575</xdr:rowOff>
    </xdr:from>
    <xdr:to>
      <xdr:col>1</xdr:col>
      <xdr:colOff>9525</xdr:colOff>
      <xdr:row>86</xdr:row>
      <xdr:rowOff>142875</xdr:rowOff>
    </xdr:to>
    <xdr:pic>
      <xdr:nvPicPr>
        <xdr:cNvPr id="274668" name="207 Imagen" descr="premium.jpg">
          <a:extLst>
            <a:ext uri="{FF2B5EF4-FFF2-40B4-BE49-F238E27FC236}">
              <a16:creationId xmlns:a16="http://schemas.microsoft.com/office/drawing/2014/main" id="{5D572C1B-8C02-4C83-842A-E0B57180CE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6687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80</xdr:row>
      <xdr:rowOff>28575</xdr:rowOff>
    </xdr:from>
    <xdr:to>
      <xdr:col>1</xdr:col>
      <xdr:colOff>9525</xdr:colOff>
      <xdr:row>80</xdr:row>
      <xdr:rowOff>142875</xdr:rowOff>
    </xdr:to>
    <xdr:pic>
      <xdr:nvPicPr>
        <xdr:cNvPr id="274678" name="201 Imagen" descr="premium.jpg">
          <a:extLst>
            <a:ext uri="{FF2B5EF4-FFF2-40B4-BE49-F238E27FC236}">
              <a16:creationId xmlns:a16="http://schemas.microsoft.com/office/drawing/2014/main" id="{568F369B-E9BF-43CE-828B-09407B8F30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57543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81</xdr:row>
      <xdr:rowOff>28575</xdr:rowOff>
    </xdr:from>
    <xdr:to>
      <xdr:col>1</xdr:col>
      <xdr:colOff>9525</xdr:colOff>
      <xdr:row>81</xdr:row>
      <xdr:rowOff>142875</xdr:rowOff>
    </xdr:to>
    <xdr:pic>
      <xdr:nvPicPr>
        <xdr:cNvPr id="274679" name="202 Imagen" descr="premium.jpg">
          <a:extLst>
            <a:ext uri="{FF2B5EF4-FFF2-40B4-BE49-F238E27FC236}">
              <a16:creationId xmlns:a16="http://schemas.microsoft.com/office/drawing/2014/main" id="{2851FA39-9B35-4818-893E-77D2C0A81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59067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28575</xdr:colOff>
      <xdr:row>774</xdr:row>
      <xdr:rowOff>76200</xdr:rowOff>
    </xdr:from>
    <xdr:to>
      <xdr:col>8</xdr:col>
      <xdr:colOff>353861</xdr:colOff>
      <xdr:row>780</xdr:row>
      <xdr:rowOff>85725</xdr:rowOff>
    </xdr:to>
    <xdr:pic>
      <xdr:nvPicPr>
        <xdr:cNvPr id="274694" name="Picture 1118" descr="Llaveros_de_Goma_Eva">
          <a:extLst>
            <a:ext uri="{FF2B5EF4-FFF2-40B4-BE49-F238E27FC236}">
              <a16:creationId xmlns:a16="http://schemas.microsoft.com/office/drawing/2014/main" id="{4E32BDB5-59DE-4E7E-A452-B84DAC8B99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4925" y="120329325"/>
          <a:ext cx="2724150" cy="981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95250</xdr:colOff>
      <xdr:row>66</xdr:row>
      <xdr:rowOff>28575</xdr:rowOff>
    </xdr:from>
    <xdr:to>
      <xdr:col>0</xdr:col>
      <xdr:colOff>295275</xdr:colOff>
      <xdr:row>67</xdr:row>
      <xdr:rowOff>0</xdr:rowOff>
    </xdr:to>
    <xdr:pic>
      <xdr:nvPicPr>
        <xdr:cNvPr id="274695" name="Picture 1006" descr="100">
          <a:extLst>
            <a:ext uri="{FF2B5EF4-FFF2-40B4-BE49-F238E27FC236}">
              <a16:creationId xmlns:a16="http://schemas.microsoft.com/office/drawing/2014/main" id="{37F5099D-075A-4065-9ACA-CBC1E7155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3620750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95250</xdr:colOff>
      <xdr:row>788</xdr:row>
      <xdr:rowOff>38100</xdr:rowOff>
    </xdr:from>
    <xdr:to>
      <xdr:col>1</xdr:col>
      <xdr:colOff>295275</xdr:colOff>
      <xdr:row>788</xdr:row>
      <xdr:rowOff>161925</xdr:rowOff>
    </xdr:to>
    <xdr:pic>
      <xdr:nvPicPr>
        <xdr:cNvPr id="274698" name="315 Imagen" descr="500.jpg">
          <a:extLst>
            <a:ext uri="{FF2B5EF4-FFF2-40B4-BE49-F238E27FC236}">
              <a16:creationId xmlns:a16="http://schemas.microsoft.com/office/drawing/2014/main" id="{9598342F-399C-4BE9-9BCC-2B0780A20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123701175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37</xdr:col>
      <xdr:colOff>466725</xdr:colOff>
      <xdr:row>121</xdr:row>
      <xdr:rowOff>0</xdr:rowOff>
    </xdr:from>
    <xdr:to>
      <xdr:col>38</xdr:col>
      <xdr:colOff>371475</xdr:colOff>
      <xdr:row>155</xdr:row>
      <xdr:rowOff>9525</xdr:rowOff>
    </xdr:to>
    <xdr:sp macro="" textlink="">
      <xdr:nvSpPr>
        <xdr:cNvPr id="274703" name="Text Box 593666">
          <a:extLst>
            <a:ext uri="{FF2B5EF4-FFF2-40B4-BE49-F238E27FC236}">
              <a16:creationId xmlns:a16="http://schemas.microsoft.com/office/drawing/2014/main" id="{D882B232-FA37-449D-9245-9821A6CEE213}"/>
            </a:ext>
          </a:extLst>
        </xdr:cNvPr>
        <xdr:cNvSpPr txBox="1">
          <a:spLocks noChangeArrowheads="1"/>
        </xdr:cNvSpPr>
      </xdr:nvSpPr>
      <xdr:spPr bwMode="auto">
        <a:xfrm>
          <a:off x="14087475" y="22126575"/>
          <a:ext cx="666750" cy="18383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1</xdr:col>
      <xdr:colOff>95250</xdr:colOff>
      <xdr:row>787</xdr:row>
      <xdr:rowOff>38100</xdr:rowOff>
    </xdr:from>
    <xdr:to>
      <xdr:col>1</xdr:col>
      <xdr:colOff>295275</xdr:colOff>
      <xdr:row>787</xdr:row>
      <xdr:rowOff>161925</xdr:rowOff>
    </xdr:to>
    <xdr:pic>
      <xdr:nvPicPr>
        <xdr:cNvPr id="274709" name="301 Imagen" descr="200.jpg">
          <a:extLst>
            <a:ext uri="{FF2B5EF4-FFF2-40B4-BE49-F238E27FC236}">
              <a16:creationId xmlns:a16="http://schemas.microsoft.com/office/drawing/2014/main" id="{8DE91D76-0BA3-4273-8C00-8C9D0C97E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123501150"/>
          <a:ext cx="2000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82</xdr:row>
      <xdr:rowOff>28575</xdr:rowOff>
    </xdr:from>
    <xdr:to>
      <xdr:col>1</xdr:col>
      <xdr:colOff>9525</xdr:colOff>
      <xdr:row>82</xdr:row>
      <xdr:rowOff>142875</xdr:rowOff>
    </xdr:to>
    <xdr:pic>
      <xdr:nvPicPr>
        <xdr:cNvPr id="274712" name="203 Imagen" descr="premium.jpg">
          <a:extLst>
            <a:ext uri="{FF2B5EF4-FFF2-40B4-BE49-F238E27FC236}">
              <a16:creationId xmlns:a16="http://schemas.microsoft.com/office/drawing/2014/main" id="{F28E0277-A90A-4D98-BBAA-2EAD59AF9C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0591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9525</xdr:colOff>
      <xdr:row>83</xdr:row>
      <xdr:rowOff>28575</xdr:rowOff>
    </xdr:from>
    <xdr:to>
      <xdr:col>1</xdr:col>
      <xdr:colOff>9525</xdr:colOff>
      <xdr:row>83</xdr:row>
      <xdr:rowOff>142875</xdr:rowOff>
    </xdr:to>
    <xdr:pic>
      <xdr:nvPicPr>
        <xdr:cNvPr id="274713" name="204 Imagen" descr="premium.jpg">
          <a:extLst>
            <a:ext uri="{FF2B5EF4-FFF2-40B4-BE49-F238E27FC236}">
              <a16:creationId xmlns:a16="http://schemas.microsoft.com/office/drawing/2014/main" id="{A33D7DD3-A65F-4EAA-A9F6-9BFF162DE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621155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690</xdr:row>
      <xdr:rowOff>19050</xdr:rowOff>
    </xdr:from>
    <xdr:to>
      <xdr:col>1</xdr:col>
      <xdr:colOff>0</xdr:colOff>
      <xdr:row>690</xdr:row>
      <xdr:rowOff>133350</xdr:rowOff>
    </xdr:to>
    <xdr:pic>
      <xdr:nvPicPr>
        <xdr:cNvPr id="274723" name="229 Imagen" descr="premium.jpg">
          <a:extLst>
            <a:ext uri="{FF2B5EF4-FFF2-40B4-BE49-F238E27FC236}">
              <a16:creationId xmlns:a16="http://schemas.microsoft.com/office/drawing/2014/main" id="{ACE96F9E-045A-4349-BB44-B3ECCA310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56557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691</xdr:row>
      <xdr:rowOff>19050</xdr:rowOff>
    </xdr:from>
    <xdr:to>
      <xdr:col>1</xdr:col>
      <xdr:colOff>0</xdr:colOff>
      <xdr:row>691</xdr:row>
      <xdr:rowOff>133350</xdr:rowOff>
    </xdr:to>
    <xdr:pic>
      <xdr:nvPicPr>
        <xdr:cNvPr id="274724" name="229 Imagen" descr="premium.jpg">
          <a:extLst>
            <a:ext uri="{FF2B5EF4-FFF2-40B4-BE49-F238E27FC236}">
              <a16:creationId xmlns:a16="http://schemas.microsoft.com/office/drawing/2014/main" id="{ACCFED9B-9202-4921-8497-CE51BA7E4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727500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692</xdr:row>
      <xdr:rowOff>19050</xdr:rowOff>
    </xdr:from>
    <xdr:to>
      <xdr:col>1</xdr:col>
      <xdr:colOff>0</xdr:colOff>
      <xdr:row>692</xdr:row>
      <xdr:rowOff>133350</xdr:rowOff>
    </xdr:to>
    <xdr:pic>
      <xdr:nvPicPr>
        <xdr:cNvPr id="274725" name="229 Imagen" descr="premium.jpg">
          <a:extLst>
            <a:ext uri="{FF2B5EF4-FFF2-40B4-BE49-F238E27FC236}">
              <a16:creationId xmlns:a16="http://schemas.microsoft.com/office/drawing/2014/main" id="{E27E26A0-C260-433F-8468-6D5B2B9FA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5889425"/>
          <a:ext cx="342900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2</xdr:row>
      <xdr:rowOff>28575</xdr:rowOff>
    </xdr:from>
    <xdr:to>
      <xdr:col>3</xdr:col>
      <xdr:colOff>361950</xdr:colOff>
      <xdr:row>4</xdr:row>
      <xdr:rowOff>247650</xdr:rowOff>
    </xdr:to>
    <xdr:pic>
      <xdr:nvPicPr>
        <xdr:cNvPr id="274730" name="Imagen 6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F83B4C9-635C-4C44-9CD0-DC15F16D17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419100"/>
          <a:ext cx="20478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28575</xdr:colOff>
      <xdr:row>4</xdr:row>
      <xdr:rowOff>57150</xdr:rowOff>
    </xdr:from>
    <xdr:to>
      <xdr:col>29</xdr:col>
      <xdr:colOff>190500</xdr:colOff>
      <xdr:row>6</xdr:row>
      <xdr:rowOff>133350</xdr:rowOff>
    </xdr:to>
    <xdr:pic>
      <xdr:nvPicPr>
        <xdr:cNvPr id="274731" name="228 Imagen" descr="mp_banner-4.png">
          <a:extLst>
            <a:ext uri="{FF2B5EF4-FFF2-40B4-BE49-F238E27FC236}">
              <a16:creationId xmlns:a16="http://schemas.microsoft.com/office/drawing/2014/main" id="{3C84DA17-CC43-48EE-9EE4-737454A21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923925"/>
          <a:ext cx="32385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373</xdr:row>
      <xdr:rowOff>28575</xdr:rowOff>
    </xdr:from>
    <xdr:to>
      <xdr:col>1</xdr:col>
      <xdr:colOff>0</xdr:colOff>
      <xdr:row>373</xdr:row>
      <xdr:rowOff>133350</xdr:rowOff>
    </xdr:to>
    <xdr:pic>
      <xdr:nvPicPr>
        <xdr:cNvPr id="274746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9227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231</xdr:row>
      <xdr:rowOff>28575</xdr:rowOff>
    </xdr:from>
    <xdr:to>
      <xdr:col>1</xdr:col>
      <xdr:colOff>0</xdr:colOff>
      <xdr:row>231</xdr:row>
      <xdr:rowOff>133350</xdr:rowOff>
    </xdr:to>
    <xdr:pic>
      <xdr:nvPicPr>
        <xdr:cNvPr id="274758" name="235 Imagen" descr="oferta icono.png">
          <a:extLst>
            <a:ext uri="{FF2B5EF4-FFF2-40B4-BE49-F238E27FC236}">
              <a16:creationId xmlns:a16="http://schemas.microsoft.com/office/drawing/2014/main" id="{9E3CA306-CFC8-4AA4-8FCC-5F7C665F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2243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481</xdr:row>
      <xdr:rowOff>28575</xdr:rowOff>
    </xdr:from>
    <xdr:to>
      <xdr:col>1</xdr:col>
      <xdr:colOff>0</xdr:colOff>
      <xdr:row>481</xdr:row>
      <xdr:rowOff>133350</xdr:rowOff>
    </xdr:to>
    <xdr:pic>
      <xdr:nvPicPr>
        <xdr:cNvPr id="274764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86003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480</xdr:row>
      <xdr:rowOff>19050</xdr:rowOff>
    </xdr:from>
    <xdr:to>
      <xdr:col>24</xdr:col>
      <xdr:colOff>47625</xdr:colOff>
      <xdr:row>480</xdr:row>
      <xdr:rowOff>142875</xdr:rowOff>
    </xdr:to>
    <xdr:pic>
      <xdr:nvPicPr>
        <xdr:cNvPr id="274795" name="288 Imagen" descr="seri icono.png">
          <a:extLst>
            <a:ext uri="{FF2B5EF4-FFF2-40B4-BE49-F238E27FC236}">
              <a16:creationId xmlns:a16="http://schemas.microsoft.com/office/drawing/2014/main" id="{03689539-8229-4EDD-82CE-31D96211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856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472</xdr:row>
      <xdr:rowOff>19050</xdr:rowOff>
    </xdr:from>
    <xdr:to>
      <xdr:col>24</xdr:col>
      <xdr:colOff>47625</xdr:colOff>
      <xdr:row>472</xdr:row>
      <xdr:rowOff>142875</xdr:rowOff>
    </xdr:to>
    <xdr:pic>
      <xdr:nvPicPr>
        <xdr:cNvPr id="274796" name="290 Imagen" descr="seri icono.png">
          <a:extLst>
            <a:ext uri="{FF2B5EF4-FFF2-40B4-BE49-F238E27FC236}">
              <a16:creationId xmlns:a16="http://schemas.microsoft.com/office/drawing/2014/main" id="{3BDCA750-F4C3-4DFF-B062-4107FB5635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7889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469</xdr:row>
      <xdr:rowOff>19050</xdr:rowOff>
    </xdr:from>
    <xdr:to>
      <xdr:col>24</xdr:col>
      <xdr:colOff>47625</xdr:colOff>
      <xdr:row>469</xdr:row>
      <xdr:rowOff>142875</xdr:rowOff>
    </xdr:to>
    <xdr:pic>
      <xdr:nvPicPr>
        <xdr:cNvPr id="274797" name="291 Imagen" descr="dome icono.png">
          <a:extLst>
            <a:ext uri="{FF2B5EF4-FFF2-40B4-BE49-F238E27FC236}">
              <a16:creationId xmlns:a16="http://schemas.microsoft.com/office/drawing/2014/main" id="{ABB8E52F-69F5-4349-9895-85ADD7800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78438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468</xdr:row>
      <xdr:rowOff>19050</xdr:rowOff>
    </xdr:from>
    <xdr:to>
      <xdr:col>24</xdr:col>
      <xdr:colOff>47625</xdr:colOff>
      <xdr:row>468</xdr:row>
      <xdr:rowOff>142875</xdr:rowOff>
    </xdr:to>
    <xdr:pic>
      <xdr:nvPicPr>
        <xdr:cNvPr id="274799" name="293 Imagen" descr="dome icono.png">
          <a:extLst>
            <a:ext uri="{FF2B5EF4-FFF2-40B4-BE49-F238E27FC236}">
              <a16:creationId xmlns:a16="http://schemas.microsoft.com/office/drawing/2014/main" id="{B1101479-DA06-412D-95BB-FBE43670E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266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436</xdr:row>
      <xdr:rowOff>19050</xdr:rowOff>
    </xdr:from>
    <xdr:to>
      <xdr:col>24</xdr:col>
      <xdr:colOff>47625</xdr:colOff>
      <xdr:row>436</xdr:row>
      <xdr:rowOff>142875</xdr:rowOff>
    </xdr:to>
    <xdr:pic>
      <xdr:nvPicPr>
        <xdr:cNvPr id="274809" name="303 Imagen" descr="laser icono.png">
          <a:extLst>
            <a:ext uri="{FF2B5EF4-FFF2-40B4-BE49-F238E27FC236}">
              <a16:creationId xmlns:a16="http://schemas.microsoft.com/office/drawing/2014/main" id="{DE98B125-2DDD-4973-B53A-367F941487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6751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505</xdr:row>
      <xdr:rowOff>19050</xdr:rowOff>
    </xdr:from>
    <xdr:to>
      <xdr:col>24</xdr:col>
      <xdr:colOff>47625</xdr:colOff>
      <xdr:row>505</xdr:row>
      <xdr:rowOff>142875</xdr:rowOff>
    </xdr:to>
    <xdr:pic>
      <xdr:nvPicPr>
        <xdr:cNvPr id="274824" name="326 Imagen" descr="dome icono.png">
          <a:extLst>
            <a:ext uri="{FF2B5EF4-FFF2-40B4-BE49-F238E27FC236}">
              <a16:creationId xmlns:a16="http://schemas.microsoft.com/office/drawing/2014/main" id="{7F96D350-78BE-4CDA-A964-05EE5E83C9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733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507</xdr:row>
      <xdr:rowOff>19050</xdr:rowOff>
    </xdr:from>
    <xdr:to>
      <xdr:col>24</xdr:col>
      <xdr:colOff>47625</xdr:colOff>
      <xdr:row>507</xdr:row>
      <xdr:rowOff>144555</xdr:rowOff>
    </xdr:to>
    <xdr:pic>
      <xdr:nvPicPr>
        <xdr:cNvPr id="274825" name="329 Imagen" descr="dome icono.png">
          <a:extLst>
            <a:ext uri="{FF2B5EF4-FFF2-40B4-BE49-F238E27FC236}">
              <a16:creationId xmlns:a16="http://schemas.microsoft.com/office/drawing/2014/main" id="{42C86699-D147-4984-B480-07726383A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0378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508</xdr:row>
      <xdr:rowOff>19050</xdr:rowOff>
    </xdr:from>
    <xdr:to>
      <xdr:col>24</xdr:col>
      <xdr:colOff>47625</xdr:colOff>
      <xdr:row>508</xdr:row>
      <xdr:rowOff>142875</xdr:rowOff>
    </xdr:to>
    <xdr:pic>
      <xdr:nvPicPr>
        <xdr:cNvPr id="274826" name="330 Imagen" descr="dome icono.png">
          <a:extLst>
            <a:ext uri="{FF2B5EF4-FFF2-40B4-BE49-F238E27FC236}">
              <a16:creationId xmlns:a16="http://schemas.microsoft.com/office/drawing/2014/main" id="{2E713EC7-F693-43F5-9758-B23BA771A9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190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509</xdr:row>
      <xdr:rowOff>19050</xdr:rowOff>
    </xdr:from>
    <xdr:to>
      <xdr:col>24</xdr:col>
      <xdr:colOff>47625</xdr:colOff>
      <xdr:row>509</xdr:row>
      <xdr:rowOff>142875</xdr:rowOff>
    </xdr:to>
    <xdr:pic>
      <xdr:nvPicPr>
        <xdr:cNvPr id="274827" name="333 Imagen" descr="dome icono.png">
          <a:extLst>
            <a:ext uri="{FF2B5EF4-FFF2-40B4-BE49-F238E27FC236}">
              <a16:creationId xmlns:a16="http://schemas.microsoft.com/office/drawing/2014/main" id="{DB0775BA-5171-452B-960F-9588F8E876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342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510</xdr:row>
      <xdr:rowOff>19050</xdr:rowOff>
    </xdr:from>
    <xdr:to>
      <xdr:col>24</xdr:col>
      <xdr:colOff>47625</xdr:colOff>
      <xdr:row>510</xdr:row>
      <xdr:rowOff>142875</xdr:rowOff>
    </xdr:to>
    <xdr:pic>
      <xdr:nvPicPr>
        <xdr:cNvPr id="274828" name="334 Imagen" descr="dome icono.png">
          <a:extLst>
            <a:ext uri="{FF2B5EF4-FFF2-40B4-BE49-F238E27FC236}">
              <a16:creationId xmlns:a16="http://schemas.microsoft.com/office/drawing/2014/main" id="{A6B2D975-30A6-4129-B2EF-DB74CA63C3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495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506</xdr:row>
      <xdr:rowOff>19050</xdr:rowOff>
    </xdr:from>
    <xdr:to>
      <xdr:col>24</xdr:col>
      <xdr:colOff>47625</xdr:colOff>
      <xdr:row>506</xdr:row>
      <xdr:rowOff>142875</xdr:rowOff>
    </xdr:to>
    <xdr:pic>
      <xdr:nvPicPr>
        <xdr:cNvPr id="274829" name="335 Imagen" descr="dome icono.png">
          <a:extLst>
            <a:ext uri="{FF2B5EF4-FFF2-40B4-BE49-F238E27FC236}">
              <a16:creationId xmlns:a16="http://schemas.microsoft.com/office/drawing/2014/main" id="{4B848387-5EA0-412D-AE40-09B13BE963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3885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408</xdr:row>
      <xdr:rowOff>19050</xdr:rowOff>
    </xdr:from>
    <xdr:to>
      <xdr:col>24</xdr:col>
      <xdr:colOff>47625</xdr:colOff>
      <xdr:row>408</xdr:row>
      <xdr:rowOff>142875</xdr:rowOff>
    </xdr:to>
    <xdr:pic>
      <xdr:nvPicPr>
        <xdr:cNvPr id="274856" name="363 Imagen" descr="laser icono.png">
          <a:extLst>
            <a:ext uri="{FF2B5EF4-FFF2-40B4-BE49-F238E27FC236}">
              <a16:creationId xmlns:a16="http://schemas.microsoft.com/office/drawing/2014/main" id="{EE666AD8-84E5-4585-A8CF-9DB2085757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872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537</xdr:row>
      <xdr:rowOff>19050</xdr:rowOff>
    </xdr:from>
    <xdr:to>
      <xdr:col>24</xdr:col>
      <xdr:colOff>47625</xdr:colOff>
      <xdr:row>537</xdr:row>
      <xdr:rowOff>142875</xdr:rowOff>
    </xdr:to>
    <xdr:pic>
      <xdr:nvPicPr>
        <xdr:cNvPr id="274880" name="390 Imagen" descr="sublimacion icono.png">
          <a:extLst>
            <a:ext uri="{FF2B5EF4-FFF2-40B4-BE49-F238E27FC236}">
              <a16:creationId xmlns:a16="http://schemas.microsoft.com/office/drawing/2014/main" id="{0007AD53-79CC-4D6B-A02D-466FF367CA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87163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669</xdr:row>
      <xdr:rowOff>19050</xdr:rowOff>
    </xdr:from>
    <xdr:to>
      <xdr:col>24</xdr:col>
      <xdr:colOff>47625</xdr:colOff>
      <xdr:row>669</xdr:row>
      <xdr:rowOff>142875</xdr:rowOff>
    </xdr:to>
    <xdr:pic>
      <xdr:nvPicPr>
        <xdr:cNvPr id="274916" name="428 Imagen" descr="sublimacion icono.png">
          <a:extLst>
            <a:ext uri="{FF2B5EF4-FFF2-40B4-BE49-F238E27FC236}">
              <a16:creationId xmlns:a16="http://schemas.microsoft.com/office/drawing/2014/main" id="{4C7C92FD-FC97-48E3-992F-25E5F4EBF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79157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670</xdr:row>
      <xdr:rowOff>19050</xdr:rowOff>
    </xdr:from>
    <xdr:to>
      <xdr:col>24</xdr:col>
      <xdr:colOff>47625</xdr:colOff>
      <xdr:row>670</xdr:row>
      <xdr:rowOff>142875</xdr:rowOff>
    </xdr:to>
    <xdr:pic>
      <xdr:nvPicPr>
        <xdr:cNvPr id="274917" name="429 Imagen" descr="sublimacion icono.png">
          <a:extLst>
            <a:ext uri="{FF2B5EF4-FFF2-40B4-BE49-F238E27FC236}">
              <a16:creationId xmlns:a16="http://schemas.microsoft.com/office/drawing/2014/main" id="{6CF316BA-1A7F-4150-9180-0700F459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80681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678</xdr:row>
      <xdr:rowOff>19050</xdr:rowOff>
    </xdr:from>
    <xdr:to>
      <xdr:col>24</xdr:col>
      <xdr:colOff>47625</xdr:colOff>
      <xdr:row>678</xdr:row>
      <xdr:rowOff>142875</xdr:rowOff>
    </xdr:to>
    <xdr:pic>
      <xdr:nvPicPr>
        <xdr:cNvPr id="274940" name="453 Imagen" descr="sublimacion icono.png">
          <a:extLst>
            <a:ext uri="{FF2B5EF4-FFF2-40B4-BE49-F238E27FC236}">
              <a16:creationId xmlns:a16="http://schemas.microsoft.com/office/drawing/2014/main" id="{36BC524F-6013-42AB-8516-3E71E83AF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2821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679</xdr:row>
      <xdr:rowOff>19050</xdr:rowOff>
    </xdr:from>
    <xdr:to>
      <xdr:col>24</xdr:col>
      <xdr:colOff>47625</xdr:colOff>
      <xdr:row>679</xdr:row>
      <xdr:rowOff>142875</xdr:rowOff>
    </xdr:to>
    <xdr:pic>
      <xdr:nvPicPr>
        <xdr:cNvPr id="274942" name="455 Imagen" descr="sublimacion icono.png">
          <a:extLst>
            <a:ext uri="{FF2B5EF4-FFF2-40B4-BE49-F238E27FC236}">
              <a16:creationId xmlns:a16="http://schemas.microsoft.com/office/drawing/2014/main" id="{7CCCF7FD-A007-46C0-8861-61099D5075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3125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712</xdr:row>
      <xdr:rowOff>19050</xdr:rowOff>
    </xdr:from>
    <xdr:to>
      <xdr:col>24</xdr:col>
      <xdr:colOff>47625</xdr:colOff>
      <xdr:row>712</xdr:row>
      <xdr:rowOff>142875</xdr:rowOff>
    </xdr:to>
    <xdr:pic>
      <xdr:nvPicPr>
        <xdr:cNvPr id="275076" name="603 Imagen" descr="laser icono.png">
          <a:extLst>
            <a:ext uri="{FF2B5EF4-FFF2-40B4-BE49-F238E27FC236}">
              <a16:creationId xmlns:a16="http://schemas.microsoft.com/office/drawing/2014/main" id="{90359F57-78FD-4944-99AD-2D577F530B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597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713</xdr:row>
      <xdr:rowOff>19050</xdr:rowOff>
    </xdr:from>
    <xdr:to>
      <xdr:col>24</xdr:col>
      <xdr:colOff>47625</xdr:colOff>
      <xdr:row>713</xdr:row>
      <xdr:rowOff>142875</xdr:rowOff>
    </xdr:to>
    <xdr:pic>
      <xdr:nvPicPr>
        <xdr:cNvPr id="275077" name="604 Imagen" descr="laser icono.png">
          <a:extLst>
            <a:ext uri="{FF2B5EF4-FFF2-40B4-BE49-F238E27FC236}">
              <a16:creationId xmlns:a16="http://schemas.microsoft.com/office/drawing/2014/main" id="{4D2958C7-62FD-4076-A2A7-AD9673FF9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130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714</xdr:row>
      <xdr:rowOff>19050</xdr:rowOff>
    </xdr:from>
    <xdr:to>
      <xdr:col>24</xdr:col>
      <xdr:colOff>47625</xdr:colOff>
      <xdr:row>714</xdr:row>
      <xdr:rowOff>142875</xdr:rowOff>
    </xdr:to>
    <xdr:pic>
      <xdr:nvPicPr>
        <xdr:cNvPr id="275078" name="605 Imagen" descr="laser icono.png">
          <a:extLst>
            <a:ext uri="{FF2B5EF4-FFF2-40B4-BE49-F238E27FC236}">
              <a16:creationId xmlns:a16="http://schemas.microsoft.com/office/drawing/2014/main" id="{78254C7B-4885-4B15-966D-DA5058661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2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715</xdr:row>
      <xdr:rowOff>19050</xdr:rowOff>
    </xdr:from>
    <xdr:to>
      <xdr:col>24</xdr:col>
      <xdr:colOff>47625</xdr:colOff>
      <xdr:row>715</xdr:row>
      <xdr:rowOff>142875</xdr:rowOff>
    </xdr:to>
    <xdr:pic>
      <xdr:nvPicPr>
        <xdr:cNvPr id="275079" name="606 Imagen" descr="laser icono.png">
          <a:extLst>
            <a:ext uri="{FF2B5EF4-FFF2-40B4-BE49-F238E27FC236}">
              <a16:creationId xmlns:a16="http://schemas.microsoft.com/office/drawing/2014/main" id="{5C88BFC3-153A-4974-9A89-B463D8D8EC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43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716</xdr:row>
      <xdr:rowOff>19050</xdr:rowOff>
    </xdr:from>
    <xdr:to>
      <xdr:col>24</xdr:col>
      <xdr:colOff>47625</xdr:colOff>
      <xdr:row>716</xdr:row>
      <xdr:rowOff>142875</xdr:rowOff>
    </xdr:to>
    <xdr:pic>
      <xdr:nvPicPr>
        <xdr:cNvPr id="275080" name="607 Imagen" descr="laser icono.png">
          <a:extLst>
            <a:ext uri="{FF2B5EF4-FFF2-40B4-BE49-F238E27FC236}">
              <a16:creationId xmlns:a16="http://schemas.microsoft.com/office/drawing/2014/main" id="{058828AF-BCFF-42D4-9D53-73FBA48BB9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58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722</xdr:row>
      <xdr:rowOff>19050</xdr:rowOff>
    </xdr:from>
    <xdr:to>
      <xdr:col>24</xdr:col>
      <xdr:colOff>47625</xdr:colOff>
      <xdr:row>722</xdr:row>
      <xdr:rowOff>142875</xdr:rowOff>
    </xdr:to>
    <xdr:pic>
      <xdr:nvPicPr>
        <xdr:cNvPr id="275081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5674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704</xdr:row>
      <xdr:rowOff>19050</xdr:rowOff>
    </xdr:from>
    <xdr:to>
      <xdr:col>24</xdr:col>
      <xdr:colOff>47625</xdr:colOff>
      <xdr:row>704</xdr:row>
      <xdr:rowOff>144555</xdr:rowOff>
    </xdr:to>
    <xdr:pic>
      <xdr:nvPicPr>
        <xdr:cNvPr id="275085" name="612 Imagen" descr="laser un lado icono.png">
          <a:extLst>
            <a:ext uri="{FF2B5EF4-FFF2-40B4-BE49-F238E27FC236}">
              <a16:creationId xmlns:a16="http://schemas.microsoft.com/office/drawing/2014/main" id="{A139070A-D4AF-4623-BD37-C29EBB95F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2816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705</xdr:row>
      <xdr:rowOff>19050</xdr:rowOff>
    </xdr:from>
    <xdr:to>
      <xdr:col>24</xdr:col>
      <xdr:colOff>47625</xdr:colOff>
      <xdr:row>705</xdr:row>
      <xdr:rowOff>142875</xdr:rowOff>
    </xdr:to>
    <xdr:pic>
      <xdr:nvPicPr>
        <xdr:cNvPr id="275086" name="613 Imagen" descr="laser un lado icono.png">
          <a:extLst>
            <a:ext uri="{FF2B5EF4-FFF2-40B4-BE49-F238E27FC236}">
              <a16:creationId xmlns:a16="http://schemas.microsoft.com/office/drawing/2014/main" id="{359BE694-F425-4F94-8F5F-748040DF7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434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706</xdr:row>
      <xdr:rowOff>19050</xdr:rowOff>
    </xdr:from>
    <xdr:to>
      <xdr:col>24</xdr:col>
      <xdr:colOff>47625</xdr:colOff>
      <xdr:row>706</xdr:row>
      <xdr:rowOff>142875</xdr:rowOff>
    </xdr:to>
    <xdr:pic>
      <xdr:nvPicPr>
        <xdr:cNvPr id="275087" name="614 Imagen" descr="laser un lado icono.png">
          <a:extLst>
            <a:ext uri="{FF2B5EF4-FFF2-40B4-BE49-F238E27FC236}">
              <a16:creationId xmlns:a16="http://schemas.microsoft.com/office/drawing/2014/main" id="{7739F6A5-E58C-42C2-86E9-9EB75A47F3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586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707</xdr:row>
      <xdr:rowOff>19050</xdr:rowOff>
    </xdr:from>
    <xdr:to>
      <xdr:col>24</xdr:col>
      <xdr:colOff>47625</xdr:colOff>
      <xdr:row>707</xdr:row>
      <xdr:rowOff>142875</xdr:rowOff>
    </xdr:to>
    <xdr:pic>
      <xdr:nvPicPr>
        <xdr:cNvPr id="275088" name="615 Imagen" descr="laser un lado icono.png">
          <a:extLst>
            <a:ext uri="{FF2B5EF4-FFF2-40B4-BE49-F238E27FC236}">
              <a16:creationId xmlns:a16="http://schemas.microsoft.com/office/drawing/2014/main" id="{15F705C0-980F-4777-8EF5-3BBCE397DA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738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700</xdr:row>
      <xdr:rowOff>19050</xdr:rowOff>
    </xdr:from>
    <xdr:to>
      <xdr:col>24</xdr:col>
      <xdr:colOff>47625</xdr:colOff>
      <xdr:row>700</xdr:row>
      <xdr:rowOff>142875</xdr:rowOff>
    </xdr:to>
    <xdr:pic>
      <xdr:nvPicPr>
        <xdr:cNvPr id="275091" name="618 Imagen" descr="laser icono.png">
          <a:extLst>
            <a:ext uri="{FF2B5EF4-FFF2-40B4-BE49-F238E27FC236}">
              <a16:creationId xmlns:a16="http://schemas.microsoft.com/office/drawing/2014/main" id="{6236EB1F-2F3B-4DA3-98BE-B917123D71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672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699</xdr:row>
      <xdr:rowOff>19050</xdr:rowOff>
    </xdr:from>
    <xdr:to>
      <xdr:col>24</xdr:col>
      <xdr:colOff>47625</xdr:colOff>
      <xdr:row>699</xdr:row>
      <xdr:rowOff>142875</xdr:rowOff>
    </xdr:to>
    <xdr:pic>
      <xdr:nvPicPr>
        <xdr:cNvPr id="275092" name="619 Imagen" descr="laser icono.png">
          <a:extLst>
            <a:ext uri="{FF2B5EF4-FFF2-40B4-BE49-F238E27FC236}">
              <a16:creationId xmlns:a16="http://schemas.microsoft.com/office/drawing/2014/main" id="{49257B3C-36DC-4F8D-B6A6-CDFC96A73F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519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697</xdr:row>
      <xdr:rowOff>19050</xdr:rowOff>
    </xdr:from>
    <xdr:to>
      <xdr:col>24</xdr:col>
      <xdr:colOff>47625</xdr:colOff>
      <xdr:row>697</xdr:row>
      <xdr:rowOff>142875</xdr:rowOff>
    </xdr:to>
    <xdr:pic>
      <xdr:nvPicPr>
        <xdr:cNvPr id="275093" name="620 Imagen" descr="laser icono.png">
          <a:extLst>
            <a:ext uri="{FF2B5EF4-FFF2-40B4-BE49-F238E27FC236}">
              <a16:creationId xmlns:a16="http://schemas.microsoft.com/office/drawing/2014/main" id="{45FD4C15-BDDF-4841-9AB5-7CD787B13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214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696</xdr:row>
      <xdr:rowOff>19050</xdr:rowOff>
    </xdr:from>
    <xdr:to>
      <xdr:col>24</xdr:col>
      <xdr:colOff>47625</xdr:colOff>
      <xdr:row>696</xdr:row>
      <xdr:rowOff>142875</xdr:rowOff>
    </xdr:to>
    <xdr:pic>
      <xdr:nvPicPr>
        <xdr:cNvPr id="275094" name="621 Imagen" descr="laser icono.png">
          <a:extLst>
            <a:ext uri="{FF2B5EF4-FFF2-40B4-BE49-F238E27FC236}">
              <a16:creationId xmlns:a16="http://schemas.microsoft.com/office/drawing/2014/main" id="{2C98F66E-42E5-4C4D-8018-EE026F6EC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062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695</xdr:row>
      <xdr:rowOff>19050</xdr:rowOff>
    </xdr:from>
    <xdr:to>
      <xdr:col>24</xdr:col>
      <xdr:colOff>47625</xdr:colOff>
      <xdr:row>695</xdr:row>
      <xdr:rowOff>142875</xdr:rowOff>
    </xdr:to>
    <xdr:pic>
      <xdr:nvPicPr>
        <xdr:cNvPr id="275095" name="622 Imagen" descr="laser icono.png">
          <a:extLst>
            <a:ext uri="{FF2B5EF4-FFF2-40B4-BE49-F238E27FC236}">
              <a16:creationId xmlns:a16="http://schemas.microsoft.com/office/drawing/2014/main" id="{E9DCD936-D695-4ED6-8F91-2F5E6477B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910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694</xdr:row>
      <xdr:rowOff>19050</xdr:rowOff>
    </xdr:from>
    <xdr:to>
      <xdr:col>24</xdr:col>
      <xdr:colOff>47625</xdr:colOff>
      <xdr:row>694</xdr:row>
      <xdr:rowOff>142875</xdr:rowOff>
    </xdr:to>
    <xdr:pic>
      <xdr:nvPicPr>
        <xdr:cNvPr id="275101" name="628 Imagen" descr="laser icono.png">
          <a:extLst>
            <a:ext uri="{FF2B5EF4-FFF2-40B4-BE49-F238E27FC236}">
              <a16:creationId xmlns:a16="http://schemas.microsoft.com/office/drawing/2014/main" id="{DAB49FFA-C700-4011-9BE5-F0FCA133F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7863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284</xdr:row>
      <xdr:rowOff>19050</xdr:rowOff>
    </xdr:from>
    <xdr:to>
      <xdr:col>24</xdr:col>
      <xdr:colOff>47625</xdr:colOff>
      <xdr:row>284</xdr:row>
      <xdr:rowOff>144555</xdr:rowOff>
    </xdr:to>
    <xdr:pic>
      <xdr:nvPicPr>
        <xdr:cNvPr id="275110" name="637 Imagen" descr="tampo icono.png">
          <a:extLst>
            <a:ext uri="{FF2B5EF4-FFF2-40B4-BE49-F238E27FC236}">
              <a16:creationId xmlns:a16="http://schemas.microsoft.com/office/drawing/2014/main" id="{FFEAE608-2502-480A-97A7-7D85B68E5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457295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286</xdr:row>
      <xdr:rowOff>19050</xdr:rowOff>
    </xdr:from>
    <xdr:to>
      <xdr:col>26</xdr:col>
      <xdr:colOff>9524</xdr:colOff>
      <xdr:row>286</xdr:row>
      <xdr:rowOff>142875</xdr:rowOff>
    </xdr:to>
    <xdr:pic>
      <xdr:nvPicPr>
        <xdr:cNvPr id="275120" name="654 Imagen" descr="CON CALENDARIO ICONO.png">
          <a:extLst>
            <a:ext uri="{FF2B5EF4-FFF2-40B4-BE49-F238E27FC236}">
              <a16:creationId xmlns:a16="http://schemas.microsoft.com/office/drawing/2014/main" id="{D2F6B91D-C3BE-47B0-BD2F-D7C383BBD5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46186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244</xdr:row>
      <xdr:rowOff>19050</xdr:rowOff>
    </xdr:from>
    <xdr:to>
      <xdr:col>24</xdr:col>
      <xdr:colOff>47625</xdr:colOff>
      <xdr:row>244</xdr:row>
      <xdr:rowOff>142875</xdr:rowOff>
    </xdr:to>
    <xdr:pic>
      <xdr:nvPicPr>
        <xdr:cNvPr id="275158" name="702 Imagen" descr="laser fibra icono.png">
          <a:extLst>
            <a:ext uri="{FF2B5EF4-FFF2-40B4-BE49-F238E27FC236}">
              <a16:creationId xmlns:a16="http://schemas.microsoft.com/office/drawing/2014/main" id="{A84E498A-D1D2-406F-9CCF-947161A9D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976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234</xdr:row>
      <xdr:rowOff>19050</xdr:rowOff>
    </xdr:from>
    <xdr:to>
      <xdr:col>24</xdr:col>
      <xdr:colOff>47625</xdr:colOff>
      <xdr:row>234</xdr:row>
      <xdr:rowOff>144555</xdr:rowOff>
    </xdr:to>
    <xdr:pic>
      <xdr:nvPicPr>
        <xdr:cNvPr id="275162" name="706 Imagen" descr="seri icono.png">
          <a:extLst>
            <a:ext uri="{FF2B5EF4-FFF2-40B4-BE49-F238E27FC236}">
              <a16:creationId xmlns:a16="http://schemas.microsoft.com/office/drawing/2014/main" id="{02C04E86-38B2-4D45-9CC7-86DA274F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7576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233</xdr:row>
      <xdr:rowOff>19050</xdr:rowOff>
    </xdr:from>
    <xdr:to>
      <xdr:col>24</xdr:col>
      <xdr:colOff>47625</xdr:colOff>
      <xdr:row>233</xdr:row>
      <xdr:rowOff>142875</xdr:rowOff>
    </xdr:to>
    <xdr:pic>
      <xdr:nvPicPr>
        <xdr:cNvPr id="275165" name="709 Imagen" descr="tampo icono.png">
          <a:extLst>
            <a:ext uri="{FF2B5EF4-FFF2-40B4-BE49-F238E27FC236}">
              <a16:creationId xmlns:a16="http://schemas.microsoft.com/office/drawing/2014/main" id="{337D71CC-0B92-418D-9CF3-B7ACB14E4A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605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231</xdr:row>
      <xdr:rowOff>19050</xdr:rowOff>
    </xdr:from>
    <xdr:to>
      <xdr:col>24</xdr:col>
      <xdr:colOff>47625</xdr:colOff>
      <xdr:row>231</xdr:row>
      <xdr:rowOff>142875</xdr:rowOff>
    </xdr:to>
    <xdr:pic>
      <xdr:nvPicPr>
        <xdr:cNvPr id="275181" name="734 Imagen" descr="SERI UN LADO ICONO.png">
          <a:extLst>
            <a:ext uri="{FF2B5EF4-FFF2-40B4-BE49-F238E27FC236}">
              <a16:creationId xmlns:a16="http://schemas.microsoft.com/office/drawing/2014/main" id="{4AA2EF4B-6568-4D4F-8229-43FC94042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1148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222</xdr:row>
      <xdr:rowOff>19050</xdr:rowOff>
    </xdr:from>
    <xdr:to>
      <xdr:col>24</xdr:col>
      <xdr:colOff>47625</xdr:colOff>
      <xdr:row>222</xdr:row>
      <xdr:rowOff>142875</xdr:rowOff>
    </xdr:to>
    <xdr:pic>
      <xdr:nvPicPr>
        <xdr:cNvPr id="275197" name="754 Imagen" descr="seri icono.png">
          <a:extLst>
            <a:ext uri="{FF2B5EF4-FFF2-40B4-BE49-F238E27FC236}">
              <a16:creationId xmlns:a16="http://schemas.microsoft.com/office/drawing/2014/main" id="{E7BD849F-C43A-4214-B60F-94F6C439A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6566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224</xdr:row>
      <xdr:rowOff>19050</xdr:rowOff>
    </xdr:from>
    <xdr:to>
      <xdr:col>24</xdr:col>
      <xdr:colOff>47625</xdr:colOff>
      <xdr:row>224</xdr:row>
      <xdr:rowOff>142875</xdr:rowOff>
    </xdr:to>
    <xdr:pic>
      <xdr:nvPicPr>
        <xdr:cNvPr id="275198" name="755 Imagen" descr="seri icono.png">
          <a:extLst>
            <a:ext uri="{FF2B5EF4-FFF2-40B4-BE49-F238E27FC236}">
              <a16:creationId xmlns:a16="http://schemas.microsoft.com/office/drawing/2014/main" id="{6F01BA60-336D-4566-99D4-4BE1A3E52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6718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218</xdr:row>
      <xdr:rowOff>19050</xdr:rowOff>
    </xdr:from>
    <xdr:to>
      <xdr:col>24</xdr:col>
      <xdr:colOff>47625</xdr:colOff>
      <xdr:row>218</xdr:row>
      <xdr:rowOff>142875</xdr:rowOff>
    </xdr:to>
    <xdr:pic>
      <xdr:nvPicPr>
        <xdr:cNvPr id="275207" name="764 Imagen" descr="seri icono.png">
          <a:extLst>
            <a:ext uri="{FF2B5EF4-FFF2-40B4-BE49-F238E27FC236}">
              <a16:creationId xmlns:a16="http://schemas.microsoft.com/office/drawing/2014/main" id="{9F03D5B2-AEA3-42C2-9915-27D07A53F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661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217</xdr:row>
      <xdr:rowOff>19050</xdr:rowOff>
    </xdr:from>
    <xdr:to>
      <xdr:col>24</xdr:col>
      <xdr:colOff>47625</xdr:colOff>
      <xdr:row>217</xdr:row>
      <xdr:rowOff>142875</xdr:rowOff>
    </xdr:to>
    <xdr:pic>
      <xdr:nvPicPr>
        <xdr:cNvPr id="275208" name="765 Imagen" descr="seri icono.png">
          <a:extLst>
            <a:ext uri="{FF2B5EF4-FFF2-40B4-BE49-F238E27FC236}">
              <a16:creationId xmlns:a16="http://schemas.microsoft.com/office/drawing/2014/main" id="{8988DF02-C87F-4315-BE6C-E457735D2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508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196</xdr:row>
      <xdr:rowOff>19050</xdr:rowOff>
    </xdr:from>
    <xdr:to>
      <xdr:col>24</xdr:col>
      <xdr:colOff>47625</xdr:colOff>
      <xdr:row>196</xdr:row>
      <xdr:rowOff>142875</xdr:rowOff>
    </xdr:to>
    <xdr:pic>
      <xdr:nvPicPr>
        <xdr:cNvPr id="275227" name="785 Imagen" descr="laser icono.png">
          <a:extLst>
            <a:ext uri="{FF2B5EF4-FFF2-40B4-BE49-F238E27FC236}">
              <a16:creationId xmlns:a16="http://schemas.microsoft.com/office/drawing/2014/main" id="{5A1933A6-AD38-4DDD-AC59-E1FEB0641B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2880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196</xdr:row>
      <xdr:rowOff>19050</xdr:rowOff>
    </xdr:from>
    <xdr:to>
      <xdr:col>26</xdr:col>
      <xdr:colOff>9524</xdr:colOff>
      <xdr:row>196</xdr:row>
      <xdr:rowOff>142875</xdr:rowOff>
    </xdr:to>
    <xdr:pic>
      <xdr:nvPicPr>
        <xdr:cNvPr id="275228" name="786 Imagen" descr="hasta 16 icono.png">
          <a:extLst>
            <a:ext uri="{FF2B5EF4-FFF2-40B4-BE49-F238E27FC236}">
              <a16:creationId xmlns:a16="http://schemas.microsoft.com/office/drawing/2014/main" id="{C7DA5D71-6A9E-47E3-8039-AB1076C05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28155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189</xdr:row>
      <xdr:rowOff>19050</xdr:rowOff>
    </xdr:from>
    <xdr:to>
      <xdr:col>24</xdr:col>
      <xdr:colOff>47625</xdr:colOff>
      <xdr:row>189</xdr:row>
      <xdr:rowOff>142875</xdr:rowOff>
    </xdr:to>
    <xdr:pic>
      <xdr:nvPicPr>
        <xdr:cNvPr id="275237" name="797 Imagen" descr="tampo icono.png">
          <a:extLst>
            <a:ext uri="{FF2B5EF4-FFF2-40B4-BE49-F238E27FC236}">
              <a16:creationId xmlns:a16="http://schemas.microsoft.com/office/drawing/2014/main" id="{29EB3621-30D2-4756-8EDD-C176722614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1194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186</xdr:row>
      <xdr:rowOff>19050</xdr:rowOff>
    </xdr:from>
    <xdr:to>
      <xdr:col>24</xdr:col>
      <xdr:colOff>47625</xdr:colOff>
      <xdr:row>186</xdr:row>
      <xdr:rowOff>142875</xdr:rowOff>
    </xdr:to>
    <xdr:pic>
      <xdr:nvPicPr>
        <xdr:cNvPr id="275240" name="800 Imagen" descr="laser fibra icono.png">
          <a:extLst>
            <a:ext uri="{FF2B5EF4-FFF2-40B4-BE49-F238E27FC236}">
              <a16:creationId xmlns:a16="http://schemas.microsoft.com/office/drawing/2014/main" id="{0C26C14E-6138-4998-9C48-BA277F11F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0737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170</xdr:row>
      <xdr:rowOff>19050</xdr:rowOff>
    </xdr:from>
    <xdr:to>
      <xdr:col>24</xdr:col>
      <xdr:colOff>47625</xdr:colOff>
      <xdr:row>170</xdr:row>
      <xdr:rowOff>142875</xdr:rowOff>
    </xdr:to>
    <xdr:pic>
      <xdr:nvPicPr>
        <xdr:cNvPr id="275247" name="807 Imagen" descr="laser fibra icono.png">
          <a:extLst>
            <a:ext uri="{FF2B5EF4-FFF2-40B4-BE49-F238E27FC236}">
              <a16:creationId xmlns:a16="http://schemas.microsoft.com/office/drawing/2014/main" id="{F302071C-F7CB-4969-BF84-3CE568E664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82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162</xdr:row>
      <xdr:rowOff>19050</xdr:rowOff>
    </xdr:from>
    <xdr:to>
      <xdr:col>24</xdr:col>
      <xdr:colOff>47625</xdr:colOff>
      <xdr:row>162</xdr:row>
      <xdr:rowOff>142875</xdr:rowOff>
    </xdr:to>
    <xdr:pic>
      <xdr:nvPicPr>
        <xdr:cNvPr id="275248" name="811 Imagen" descr="laser color icono.png">
          <a:extLst>
            <a:ext uri="{FF2B5EF4-FFF2-40B4-BE49-F238E27FC236}">
              <a16:creationId xmlns:a16="http://schemas.microsoft.com/office/drawing/2014/main" id="{91DF9F17-F6A9-4DA7-B40B-3F128F1A07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8755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162</xdr:row>
      <xdr:rowOff>19050</xdr:rowOff>
    </xdr:from>
    <xdr:to>
      <xdr:col>26</xdr:col>
      <xdr:colOff>9524</xdr:colOff>
      <xdr:row>162</xdr:row>
      <xdr:rowOff>142875</xdr:rowOff>
    </xdr:to>
    <xdr:pic>
      <xdr:nvPicPr>
        <xdr:cNvPr id="275249" name="812 Imagen" descr="offset icono.png">
          <a:extLst>
            <a:ext uri="{FF2B5EF4-FFF2-40B4-BE49-F238E27FC236}">
              <a16:creationId xmlns:a16="http://schemas.microsoft.com/office/drawing/2014/main" id="{3950E88B-1F91-4A7D-AE59-F5FB81ED3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87559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163</xdr:row>
      <xdr:rowOff>19050</xdr:rowOff>
    </xdr:from>
    <xdr:to>
      <xdr:col>24</xdr:col>
      <xdr:colOff>47625</xdr:colOff>
      <xdr:row>163</xdr:row>
      <xdr:rowOff>142875</xdr:rowOff>
    </xdr:to>
    <xdr:pic>
      <xdr:nvPicPr>
        <xdr:cNvPr id="275250" name="813 Imagen" descr="laser color icono.png">
          <a:extLst>
            <a:ext uri="{FF2B5EF4-FFF2-40B4-BE49-F238E27FC236}">
              <a16:creationId xmlns:a16="http://schemas.microsoft.com/office/drawing/2014/main" id="{DD597B2D-222E-4DB3-9D0D-5208109BA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8908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163</xdr:row>
      <xdr:rowOff>19050</xdr:rowOff>
    </xdr:from>
    <xdr:to>
      <xdr:col>26</xdr:col>
      <xdr:colOff>9524</xdr:colOff>
      <xdr:row>163</xdr:row>
      <xdr:rowOff>142875</xdr:rowOff>
    </xdr:to>
    <xdr:pic>
      <xdr:nvPicPr>
        <xdr:cNvPr id="275251" name="814 Imagen" descr="offset icono.png">
          <a:extLst>
            <a:ext uri="{FF2B5EF4-FFF2-40B4-BE49-F238E27FC236}">
              <a16:creationId xmlns:a16="http://schemas.microsoft.com/office/drawing/2014/main" id="{B262CDDA-ADBB-446F-A210-F842E748A7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89083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164</xdr:row>
      <xdr:rowOff>19050</xdr:rowOff>
    </xdr:from>
    <xdr:to>
      <xdr:col>24</xdr:col>
      <xdr:colOff>47625</xdr:colOff>
      <xdr:row>164</xdr:row>
      <xdr:rowOff>142875</xdr:rowOff>
    </xdr:to>
    <xdr:pic>
      <xdr:nvPicPr>
        <xdr:cNvPr id="275252" name="815 Imagen" descr="laser color icono.png">
          <a:extLst>
            <a:ext uri="{FF2B5EF4-FFF2-40B4-BE49-F238E27FC236}">
              <a16:creationId xmlns:a16="http://schemas.microsoft.com/office/drawing/2014/main" id="{2070BF63-C3DC-44E6-B4C8-5CEDFD87B0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060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164</xdr:row>
      <xdr:rowOff>19050</xdr:rowOff>
    </xdr:from>
    <xdr:to>
      <xdr:col>26</xdr:col>
      <xdr:colOff>9524</xdr:colOff>
      <xdr:row>164</xdr:row>
      <xdr:rowOff>142875</xdr:rowOff>
    </xdr:to>
    <xdr:pic>
      <xdr:nvPicPr>
        <xdr:cNvPr id="275253" name="816 Imagen" descr="offset icono.png">
          <a:extLst>
            <a:ext uri="{FF2B5EF4-FFF2-40B4-BE49-F238E27FC236}">
              <a16:creationId xmlns:a16="http://schemas.microsoft.com/office/drawing/2014/main" id="{6EA362F0-8D64-435C-86AC-A60D37D11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90607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165</xdr:row>
      <xdr:rowOff>19050</xdr:rowOff>
    </xdr:from>
    <xdr:to>
      <xdr:col>24</xdr:col>
      <xdr:colOff>47625</xdr:colOff>
      <xdr:row>165</xdr:row>
      <xdr:rowOff>142875</xdr:rowOff>
    </xdr:to>
    <xdr:pic>
      <xdr:nvPicPr>
        <xdr:cNvPr id="275254" name="817 Imagen" descr="laser color icono.png">
          <a:extLst>
            <a:ext uri="{FF2B5EF4-FFF2-40B4-BE49-F238E27FC236}">
              <a16:creationId xmlns:a16="http://schemas.microsoft.com/office/drawing/2014/main" id="{D260EAF6-4625-484A-8F69-662E95355A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21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165</xdr:row>
      <xdr:rowOff>19050</xdr:rowOff>
    </xdr:from>
    <xdr:to>
      <xdr:col>26</xdr:col>
      <xdr:colOff>9524</xdr:colOff>
      <xdr:row>165</xdr:row>
      <xdr:rowOff>142875</xdr:rowOff>
    </xdr:to>
    <xdr:pic>
      <xdr:nvPicPr>
        <xdr:cNvPr id="275255" name="818 Imagen" descr="offset icono.png">
          <a:extLst>
            <a:ext uri="{FF2B5EF4-FFF2-40B4-BE49-F238E27FC236}">
              <a16:creationId xmlns:a16="http://schemas.microsoft.com/office/drawing/2014/main" id="{56F2BB5F-B75D-44E7-92A0-1A155E109C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92131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166</xdr:row>
      <xdr:rowOff>19050</xdr:rowOff>
    </xdr:from>
    <xdr:to>
      <xdr:col>24</xdr:col>
      <xdr:colOff>47625</xdr:colOff>
      <xdr:row>166</xdr:row>
      <xdr:rowOff>142875</xdr:rowOff>
    </xdr:to>
    <xdr:pic>
      <xdr:nvPicPr>
        <xdr:cNvPr id="275256" name="819 Imagen" descr="laser color icono.png">
          <a:extLst>
            <a:ext uri="{FF2B5EF4-FFF2-40B4-BE49-F238E27FC236}">
              <a16:creationId xmlns:a16="http://schemas.microsoft.com/office/drawing/2014/main" id="{2E9A30EA-C9EE-410B-8DA9-5E372F33C6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936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166</xdr:row>
      <xdr:rowOff>19050</xdr:rowOff>
    </xdr:from>
    <xdr:to>
      <xdr:col>26</xdr:col>
      <xdr:colOff>9524</xdr:colOff>
      <xdr:row>166</xdr:row>
      <xdr:rowOff>142875</xdr:rowOff>
    </xdr:to>
    <xdr:pic>
      <xdr:nvPicPr>
        <xdr:cNvPr id="275257" name="820 Imagen" descr="offset icono.png">
          <a:extLst>
            <a:ext uri="{FF2B5EF4-FFF2-40B4-BE49-F238E27FC236}">
              <a16:creationId xmlns:a16="http://schemas.microsoft.com/office/drawing/2014/main" id="{1AEFE974-9524-487F-943D-FFCE66F08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93655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163</xdr:row>
      <xdr:rowOff>19050</xdr:rowOff>
    </xdr:from>
    <xdr:to>
      <xdr:col>9</xdr:col>
      <xdr:colOff>9526</xdr:colOff>
      <xdr:row>163</xdr:row>
      <xdr:rowOff>142875</xdr:rowOff>
    </xdr:to>
    <xdr:pic>
      <xdr:nvPicPr>
        <xdr:cNvPr id="275262" name="825 Imagen" descr="CONSULTAR ICONO.png">
          <a:extLst>
            <a:ext uri="{FF2B5EF4-FFF2-40B4-BE49-F238E27FC236}">
              <a16:creationId xmlns:a16="http://schemas.microsoft.com/office/drawing/2014/main" id="{5543434B-8549-4E44-8AAB-AB2922A57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33648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164</xdr:row>
      <xdr:rowOff>19050</xdr:rowOff>
    </xdr:from>
    <xdr:to>
      <xdr:col>9</xdr:col>
      <xdr:colOff>9526</xdr:colOff>
      <xdr:row>164</xdr:row>
      <xdr:rowOff>142875</xdr:rowOff>
    </xdr:to>
    <xdr:pic>
      <xdr:nvPicPr>
        <xdr:cNvPr id="275263" name="826 Imagen" descr="CONSULTAR ICONO.png">
          <a:extLst>
            <a:ext uri="{FF2B5EF4-FFF2-40B4-BE49-F238E27FC236}">
              <a16:creationId xmlns:a16="http://schemas.microsoft.com/office/drawing/2014/main" id="{83397A88-4E11-47C6-AFA3-D57797A01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35172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166</xdr:row>
      <xdr:rowOff>19050</xdr:rowOff>
    </xdr:from>
    <xdr:to>
      <xdr:col>9</xdr:col>
      <xdr:colOff>9526</xdr:colOff>
      <xdr:row>166</xdr:row>
      <xdr:rowOff>142875</xdr:rowOff>
    </xdr:to>
    <xdr:pic>
      <xdr:nvPicPr>
        <xdr:cNvPr id="275265" name="828 Imagen" descr="CONSULTAR ICONO.png">
          <a:extLst>
            <a:ext uri="{FF2B5EF4-FFF2-40B4-BE49-F238E27FC236}">
              <a16:creationId xmlns:a16="http://schemas.microsoft.com/office/drawing/2014/main" id="{7B8ECFAF-C2C7-436B-9BCE-51E420A1AD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586037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154</xdr:row>
      <xdr:rowOff>19050</xdr:rowOff>
    </xdr:from>
    <xdr:to>
      <xdr:col>24</xdr:col>
      <xdr:colOff>47625</xdr:colOff>
      <xdr:row>154</xdr:row>
      <xdr:rowOff>142875</xdr:rowOff>
    </xdr:to>
    <xdr:pic>
      <xdr:nvPicPr>
        <xdr:cNvPr id="275268" name="835 Imagen" descr="laser fibra icono.png">
          <a:extLst>
            <a:ext uri="{FF2B5EF4-FFF2-40B4-BE49-F238E27FC236}">
              <a16:creationId xmlns:a16="http://schemas.microsoft.com/office/drawing/2014/main" id="{D2AD4819-374C-4587-8991-34EFDF126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689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140</xdr:row>
      <xdr:rowOff>19050</xdr:rowOff>
    </xdr:from>
    <xdr:to>
      <xdr:col>24</xdr:col>
      <xdr:colOff>47625</xdr:colOff>
      <xdr:row>140</xdr:row>
      <xdr:rowOff>142875</xdr:rowOff>
    </xdr:to>
    <xdr:pic>
      <xdr:nvPicPr>
        <xdr:cNvPr id="275270" name="837 Imagen" descr="laser icono.png">
          <a:extLst>
            <a:ext uri="{FF2B5EF4-FFF2-40B4-BE49-F238E27FC236}">
              <a16:creationId xmlns:a16="http://schemas.microsoft.com/office/drawing/2014/main" id="{43C5F0CA-8A65-4418-BFC5-4107FA5EC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70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141</xdr:row>
      <xdr:rowOff>19050</xdr:rowOff>
    </xdr:from>
    <xdr:to>
      <xdr:col>24</xdr:col>
      <xdr:colOff>47625</xdr:colOff>
      <xdr:row>141</xdr:row>
      <xdr:rowOff>142875</xdr:rowOff>
    </xdr:to>
    <xdr:pic>
      <xdr:nvPicPr>
        <xdr:cNvPr id="275271" name="838 Imagen" descr="laser icono.png">
          <a:extLst>
            <a:ext uri="{FF2B5EF4-FFF2-40B4-BE49-F238E27FC236}">
              <a16:creationId xmlns:a16="http://schemas.microsoft.com/office/drawing/2014/main" id="{BF381C3A-6AE4-441C-A5F7-F958C60A5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860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142</xdr:row>
      <xdr:rowOff>19050</xdr:rowOff>
    </xdr:from>
    <xdr:to>
      <xdr:col>24</xdr:col>
      <xdr:colOff>47625</xdr:colOff>
      <xdr:row>142</xdr:row>
      <xdr:rowOff>142875</xdr:rowOff>
    </xdr:to>
    <xdr:pic>
      <xdr:nvPicPr>
        <xdr:cNvPr id="275272" name="839 Imagen" descr="laser icono.png">
          <a:extLst>
            <a:ext uri="{FF2B5EF4-FFF2-40B4-BE49-F238E27FC236}">
              <a16:creationId xmlns:a16="http://schemas.microsoft.com/office/drawing/2014/main" id="{7244F48E-CCF5-45A7-8874-FEDE5C008A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01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144</xdr:row>
      <xdr:rowOff>19050</xdr:rowOff>
    </xdr:from>
    <xdr:to>
      <xdr:col>24</xdr:col>
      <xdr:colOff>47625</xdr:colOff>
      <xdr:row>144</xdr:row>
      <xdr:rowOff>142875</xdr:rowOff>
    </xdr:to>
    <xdr:pic>
      <xdr:nvPicPr>
        <xdr:cNvPr id="275274" name="841 Imagen" descr="dome icono.png">
          <a:extLst>
            <a:ext uri="{FF2B5EF4-FFF2-40B4-BE49-F238E27FC236}">
              <a16:creationId xmlns:a16="http://schemas.microsoft.com/office/drawing/2014/main" id="{8B4A8EF8-E404-4AD5-8580-12C8E12F4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317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145</xdr:row>
      <xdr:rowOff>19050</xdr:rowOff>
    </xdr:from>
    <xdr:to>
      <xdr:col>24</xdr:col>
      <xdr:colOff>47625</xdr:colOff>
      <xdr:row>145</xdr:row>
      <xdr:rowOff>142875</xdr:rowOff>
    </xdr:to>
    <xdr:pic>
      <xdr:nvPicPr>
        <xdr:cNvPr id="275275" name="842 Imagen" descr="dome icono.png">
          <a:extLst>
            <a:ext uri="{FF2B5EF4-FFF2-40B4-BE49-F238E27FC236}">
              <a16:creationId xmlns:a16="http://schemas.microsoft.com/office/drawing/2014/main" id="{8E5DE0E7-FAC3-428E-A7AB-26AC353ED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469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146</xdr:row>
      <xdr:rowOff>19050</xdr:rowOff>
    </xdr:from>
    <xdr:to>
      <xdr:col>24</xdr:col>
      <xdr:colOff>47625</xdr:colOff>
      <xdr:row>146</xdr:row>
      <xdr:rowOff>142875</xdr:rowOff>
    </xdr:to>
    <xdr:pic>
      <xdr:nvPicPr>
        <xdr:cNvPr id="275276" name="844 Imagen" descr="SIN DOBLAR ICONO.png">
          <a:extLst>
            <a:ext uri="{FF2B5EF4-FFF2-40B4-BE49-F238E27FC236}">
              <a16:creationId xmlns:a16="http://schemas.microsoft.com/office/drawing/2014/main" id="{1FCA35C1-8F6B-4F0F-B530-C54D952386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2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146</xdr:row>
      <xdr:rowOff>19050</xdr:rowOff>
    </xdr:from>
    <xdr:to>
      <xdr:col>26</xdr:col>
      <xdr:colOff>9524</xdr:colOff>
      <xdr:row>146</xdr:row>
      <xdr:rowOff>142875</xdr:rowOff>
    </xdr:to>
    <xdr:pic>
      <xdr:nvPicPr>
        <xdr:cNvPr id="275277" name="845 Imagen" descr="SIN CALENDARIO ICONO.png">
          <a:extLst>
            <a:ext uri="{FF2B5EF4-FFF2-40B4-BE49-F238E27FC236}">
              <a16:creationId xmlns:a16="http://schemas.microsoft.com/office/drawing/2014/main" id="{29144789-A92E-464E-963D-1C73AE0515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66223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146</xdr:row>
      <xdr:rowOff>19050</xdr:rowOff>
    </xdr:from>
    <xdr:to>
      <xdr:col>26</xdr:col>
      <xdr:colOff>447675</xdr:colOff>
      <xdr:row>146</xdr:row>
      <xdr:rowOff>142875</xdr:rowOff>
    </xdr:to>
    <xdr:pic>
      <xdr:nvPicPr>
        <xdr:cNvPr id="275278" name="846 Imagen" descr="sin logo icono.png">
          <a:extLst>
            <a:ext uri="{FF2B5EF4-FFF2-40B4-BE49-F238E27FC236}">
              <a16:creationId xmlns:a16="http://schemas.microsoft.com/office/drawing/2014/main" id="{DB82FAD3-16B9-483A-A54A-62F9447B2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66223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147</xdr:row>
      <xdr:rowOff>19050</xdr:rowOff>
    </xdr:from>
    <xdr:to>
      <xdr:col>24</xdr:col>
      <xdr:colOff>47625</xdr:colOff>
      <xdr:row>147</xdr:row>
      <xdr:rowOff>142875</xdr:rowOff>
    </xdr:to>
    <xdr:pic>
      <xdr:nvPicPr>
        <xdr:cNvPr id="275279" name="847 Imagen" descr="SIN DOBLAR ICONO.png">
          <a:extLst>
            <a:ext uri="{FF2B5EF4-FFF2-40B4-BE49-F238E27FC236}">
              <a16:creationId xmlns:a16="http://schemas.microsoft.com/office/drawing/2014/main" id="{9D944AEC-677A-44BF-B312-4512BA838F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77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147</xdr:row>
      <xdr:rowOff>19050</xdr:rowOff>
    </xdr:from>
    <xdr:to>
      <xdr:col>26</xdr:col>
      <xdr:colOff>447675</xdr:colOff>
      <xdr:row>147</xdr:row>
      <xdr:rowOff>142875</xdr:rowOff>
    </xdr:to>
    <xdr:pic>
      <xdr:nvPicPr>
        <xdr:cNvPr id="275280" name="848 Imagen" descr="sin logo icono.png">
          <a:extLst>
            <a:ext uri="{FF2B5EF4-FFF2-40B4-BE49-F238E27FC236}">
              <a16:creationId xmlns:a16="http://schemas.microsoft.com/office/drawing/2014/main" id="{E14DA748-939A-49E5-B86D-BCD10CDD21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67747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147</xdr:row>
      <xdr:rowOff>19050</xdr:rowOff>
    </xdr:from>
    <xdr:to>
      <xdr:col>26</xdr:col>
      <xdr:colOff>9524</xdr:colOff>
      <xdr:row>147</xdr:row>
      <xdr:rowOff>142875</xdr:rowOff>
    </xdr:to>
    <xdr:pic>
      <xdr:nvPicPr>
        <xdr:cNvPr id="275281" name="849 Imagen" descr="CON CALENDARIO ICONO.png">
          <a:extLst>
            <a:ext uri="{FF2B5EF4-FFF2-40B4-BE49-F238E27FC236}">
              <a16:creationId xmlns:a16="http://schemas.microsoft.com/office/drawing/2014/main" id="{EBE06ED2-05DD-44AC-A6E7-15E13352FA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67747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148</xdr:row>
      <xdr:rowOff>19050</xdr:rowOff>
    </xdr:from>
    <xdr:to>
      <xdr:col>24</xdr:col>
      <xdr:colOff>47625</xdr:colOff>
      <xdr:row>148</xdr:row>
      <xdr:rowOff>142875</xdr:rowOff>
    </xdr:to>
    <xdr:pic>
      <xdr:nvPicPr>
        <xdr:cNvPr id="275282" name="850 Imagen" descr="DOBLADA ICONO.png">
          <a:extLst>
            <a:ext uri="{FF2B5EF4-FFF2-40B4-BE49-F238E27FC236}">
              <a16:creationId xmlns:a16="http://schemas.microsoft.com/office/drawing/2014/main" id="{34571477-C502-4C78-9347-432F3991B6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927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148</xdr:row>
      <xdr:rowOff>19050</xdr:rowOff>
    </xdr:from>
    <xdr:to>
      <xdr:col>26</xdr:col>
      <xdr:colOff>9524</xdr:colOff>
      <xdr:row>148</xdr:row>
      <xdr:rowOff>142875</xdr:rowOff>
    </xdr:to>
    <xdr:pic>
      <xdr:nvPicPr>
        <xdr:cNvPr id="275283" name="851 Imagen" descr="CON CALENDARIO ICONO.png">
          <a:extLst>
            <a:ext uri="{FF2B5EF4-FFF2-40B4-BE49-F238E27FC236}">
              <a16:creationId xmlns:a16="http://schemas.microsoft.com/office/drawing/2014/main" id="{1BF018DF-71FA-4B29-B068-AB51F56F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69271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148</xdr:row>
      <xdr:rowOff>19050</xdr:rowOff>
    </xdr:from>
    <xdr:to>
      <xdr:col>26</xdr:col>
      <xdr:colOff>447675</xdr:colOff>
      <xdr:row>148</xdr:row>
      <xdr:rowOff>142875</xdr:rowOff>
    </xdr:to>
    <xdr:pic>
      <xdr:nvPicPr>
        <xdr:cNvPr id="275284" name="852 Imagen" descr="CON LOGO ICONO.png">
          <a:extLst>
            <a:ext uri="{FF2B5EF4-FFF2-40B4-BE49-F238E27FC236}">
              <a16:creationId xmlns:a16="http://schemas.microsoft.com/office/drawing/2014/main" id="{98F0AFA9-2A39-401E-B7AE-D8D2E2A57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69271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151</xdr:row>
      <xdr:rowOff>19050</xdr:rowOff>
    </xdr:from>
    <xdr:to>
      <xdr:col>24</xdr:col>
      <xdr:colOff>47625</xdr:colOff>
      <xdr:row>151</xdr:row>
      <xdr:rowOff>142875</xdr:rowOff>
    </xdr:to>
    <xdr:pic>
      <xdr:nvPicPr>
        <xdr:cNvPr id="275285" name="853 Imagen" descr="SIN DOBLAR ICONO.png">
          <a:extLst>
            <a:ext uri="{FF2B5EF4-FFF2-40B4-BE49-F238E27FC236}">
              <a16:creationId xmlns:a16="http://schemas.microsoft.com/office/drawing/2014/main" id="{DA90AB68-45D6-470D-8354-B415E2E57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231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151</xdr:row>
      <xdr:rowOff>19050</xdr:rowOff>
    </xdr:from>
    <xdr:to>
      <xdr:col>26</xdr:col>
      <xdr:colOff>447675</xdr:colOff>
      <xdr:row>151</xdr:row>
      <xdr:rowOff>142875</xdr:rowOff>
    </xdr:to>
    <xdr:pic>
      <xdr:nvPicPr>
        <xdr:cNvPr id="275286" name="855 Imagen" descr="sin logo icono.png">
          <a:extLst>
            <a:ext uri="{FF2B5EF4-FFF2-40B4-BE49-F238E27FC236}">
              <a16:creationId xmlns:a16="http://schemas.microsoft.com/office/drawing/2014/main" id="{D4B0C480-D36F-44F1-A9B2-092835BDE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72319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150</xdr:row>
      <xdr:rowOff>19050</xdr:rowOff>
    </xdr:from>
    <xdr:to>
      <xdr:col>24</xdr:col>
      <xdr:colOff>47625</xdr:colOff>
      <xdr:row>150</xdr:row>
      <xdr:rowOff>142875</xdr:rowOff>
    </xdr:to>
    <xdr:pic>
      <xdr:nvPicPr>
        <xdr:cNvPr id="275287" name="856 Imagen" descr="SIN DOBLAR ICONO.png">
          <a:extLst>
            <a:ext uri="{FF2B5EF4-FFF2-40B4-BE49-F238E27FC236}">
              <a16:creationId xmlns:a16="http://schemas.microsoft.com/office/drawing/2014/main" id="{A65DC5C5-C75C-4EE3-9146-9D7388D427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079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150</xdr:row>
      <xdr:rowOff>19050</xdr:rowOff>
    </xdr:from>
    <xdr:to>
      <xdr:col>26</xdr:col>
      <xdr:colOff>9524</xdr:colOff>
      <xdr:row>150</xdr:row>
      <xdr:rowOff>142875</xdr:rowOff>
    </xdr:to>
    <xdr:pic>
      <xdr:nvPicPr>
        <xdr:cNvPr id="275288" name="857 Imagen" descr="SIN CALENDARIO ICONO.png">
          <a:extLst>
            <a:ext uri="{FF2B5EF4-FFF2-40B4-BE49-F238E27FC236}">
              <a16:creationId xmlns:a16="http://schemas.microsoft.com/office/drawing/2014/main" id="{8637FDB9-4B16-49B6-B490-3A46AFB21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70795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150</xdr:row>
      <xdr:rowOff>19050</xdr:rowOff>
    </xdr:from>
    <xdr:to>
      <xdr:col>26</xdr:col>
      <xdr:colOff>447675</xdr:colOff>
      <xdr:row>150</xdr:row>
      <xdr:rowOff>142875</xdr:rowOff>
    </xdr:to>
    <xdr:pic>
      <xdr:nvPicPr>
        <xdr:cNvPr id="275289" name="858 Imagen" descr="sin logo icono.png">
          <a:extLst>
            <a:ext uri="{FF2B5EF4-FFF2-40B4-BE49-F238E27FC236}">
              <a16:creationId xmlns:a16="http://schemas.microsoft.com/office/drawing/2014/main" id="{E7176C45-EE5A-43C1-8680-CDB78CAE2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70795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151</xdr:row>
      <xdr:rowOff>19050</xdr:rowOff>
    </xdr:from>
    <xdr:to>
      <xdr:col>26</xdr:col>
      <xdr:colOff>9524</xdr:colOff>
      <xdr:row>151</xdr:row>
      <xdr:rowOff>142875</xdr:rowOff>
    </xdr:to>
    <xdr:pic>
      <xdr:nvPicPr>
        <xdr:cNvPr id="275290" name="860 Imagen" descr="CON CALENDARIO ICONO.png">
          <a:extLst>
            <a:ext uri="{FF2B5EF4-FFF2-40B4-BE49-F238E27FC236}">
              <a16:creationId xmlns:a16="http://schemas.microsoft.com/office/drawing/2014/main" id="{F25B512E-B419-48F9-8CA1-2B1B824D0C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72319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152</xdr:row>
      <xdr:rowOff>19050</xdr:rowOff>
    </xdr:from>
    <xdr:to>
      <xdr:col>24</xdr:col>
      <xdr:colOff>47625</xdr:colOff>
      <xdr:row>152</xdr:row>
      <xdr:rowOff>142875</xdr:rowOff>
    </xdr:to>
    <xdr:pic>
      <xdr:nvPicPr>
        <xdr:cNvPr id="275291" name="861 Imagen" descr="DOBLADA ICONO.png">
          <a:extLst>
            <a:ext uri="{FF2B5EF4-FFF2-40B4-BE49-F238E27FC236}">
              <a16:creationId xmlns:a16="http://schemas.microsoft.com/office/drawing/2014/main" id="{EC9004EB-5C04-4529-AD71-83142F78F3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7384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152</xdr:row>
      <xdr:rowOff>19050</xdr:rowOff>
    </xdr:from>
    <xdr:to>
      <xdr:col>26</xdr:col>
      <xdr:colOff>9524</xdr:colOff>
      <xdr:row>152</xdr:row>
      <xdr:rowOff>142875</xdr:rowOff>
    </xdr:to>
    <xdr:pic>
      <xdr:nvPicPr>
        <xdr:cNvPr id="275292" name="862 Imagen" descr="CON CALENDARIO ICONO.png">
          <a:extLst>
            <a:ext uri="{FF2B5EF4-FFF2-40B4-BE49-F238E27FC236}">
              <a16:creationId xmlns:a16="http://schemas.microsoft.com/office/drawing/2014/main" id="{971C153B-422B-453D-A1B1-D449386C5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273843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152</xdr:row>
      <xdr:rowOff>19050</xdr:rowOff>
    </xdr:from>
    <xdr:to>
      <xdr:col>26</xdr:col>
      <xdr:colOff>447675</xdr:colOff>
      <xdr:row>152</xdr:row>
      <xdr:rowOff>142875</xdr:rowOff>
    </xdr:to>
    <xdr:pic>
      <xdr:nvPicPr>
        <xdr:cNvPr id="275293" name="863 Imagen" descr="CON LOGO ICONO.png">
          <a:extLst>
            <a:ext uri="{FF2B5EF4-FFF2-40B4-BE49-F238E27FC236}">
              <a16:creationId xmlns:a16="http://schemas.microsoft.com/office/drawing/2014/main" id="{08C26FE2-DEDF-40BE-8371-62A3BF959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72550" y="273843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139</xdr:row>
      <xdr:rowOff>19050</xdr:rowOff>
    </xdr:from>
    <xdr:to>
      <xdr:col>24</xdr:col>
      <xdr:colOff>47625</xdr:colOff>
      <xdr:row>139</xdr:row>
      <xdr:rowOff>142875</xdr:rowOff>
    </xdr:to>
    <xdr:pic>
      <xdr:nvPicPr>
        <xdr:cNvPr id="275297" name="868 Imagen" descr="laser icono.png">
          <a:extLst>
            <a:ext uri="{FF2B5EF4-FFF2-40B4-BE49-F238E27FC236}">
              <a16:creationId xmlns:a16="http://schemas.microsoft.com/office/drawing/2014/main" id="{759FA6C0-BDF3-466E-9797-169BC3F5A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540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126</xdr:row>
      <xdr:rowOff>19050</xdr:rowOff>
    </xdr:from>
    <xdr:to>
      <xdr:col>24</xdr:col>
      <xdr:colOff>47625</xdr:colOff>
      <xdr:row>126</xdr:row>
      <xdr:rowOff>142875</xdr:rowOff>
    </xdr:to>
    <xdr:pic>
      <xdr:nvPicPr>
        <xdr:cNvPr id="275299" name="870 Imagen" descr="sublimacion icono.png">
          <a:extLst>
            <a:ext uri="{FF2B5EF4-FFF2-40B4-BE49-F238E27FC236}">
              <a16:creationId xmlns:a16="http://schemas.microsoft.com/office/drawing/2014/main" id="{183A7BD5-5CF2-4B38-A387-78A16A726C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06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127</xdr:row>
      <xdr:rowOff>19050</xdr:rowOff>
    </xdr:from>
    <xdr:to>
      <xdr:col>24</xdr:col>
      <xdr:colOff>47625</xdr:colOff>
      <xdr:row>127</xdr:row>
      <xdr:rowOff>142875</xdr:rowOff>
    </xdr:to>
    <xdr:pic>
      <xdr:nvPicPr>
        <xdr:cNvPr id="275300" name="871 Imagen" descr="sublimacion icono.png">
          <a:extLst>
            <a:ext uri="{FF2B5EF4-FFF2-40B4-BE49-F238E27FC236}">
              <a16:creationId xmlns:a16="http://schemas.microsoft.com/office/drawing/2014/main" id="{E1CDFEDE-B413-4350-8ADB-8032CBDE1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212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128</xdr:row>
      <xdr:rowOff>19050</xdr:rowOff>
    </xdr:from>
    <xdr:to>
      <xdr:col>24</xdr:col>
      <xdr:colOff>47625</xdr:colOff>
      <xdr:row>128</xdr:row>
      <xdr:rowOff>142875</xdr:rowOff>
    </xdr:to>
    <xdr:pic>
      <xdr:nvPicPr>
        <xdr:cNvPr id="275301" name="872 Imagen" descr="sublimacion icono.png">
          <a:extLst>
            <a:ext uri="{FF2B5EF4-FFF2-40B4-BE49-F238E27FC236}">
              <a16:creationId xmlns:a16="http://schemas.microsoft.com/office/drawing/2014/main" id="{1700A12B-4AB9-4FBB-B4E2-9EB014A27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336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104</xdr:row>
      <xdr:rowOff>19050</xdr:rowOff>
    </xdr:from>
    <xdr:to>
      <xdr:col>24</xdr:col>
      <xdr:colOff>47625</xdr:colOff>
      <xdr:row>104</xdr:row>
      <xdr:rowOff>142875</xdr:rowOff>
    </xdr:to>
    <xdr:pic>
      <xdr:nvPicPr>
        <xdr:cNvPr id="275310" name="897 Imagen" descr="sublimacion icono.png">
          <a:extLst>
            <a:ext uri="{FF2B5EF4-FFF2-40B4-BE49-F238E27FC236}">
              <a16:creationId xmlns:a16="http://schemas.microsoft.com/office/drawing/2014/main" id="{F2BDBCC1-1A6F-4B67-BC2D-C1E9B62357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46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105</xdr:row>
      <xdr:rowOff>19050</xdr:rowOff>
    </xdr:from>
    <xdr:to>
      <xdr:col>24</xdr:col>
      <xdr:colOff>47625</xdr:colOff>
      <xdr:row>105</xdr:row>
      <xdr:rowOff>142875</xdr:rowOff>
    </xdr:to>
    <xdr:pic>
      <xdr:nvPicPr>
        <xdr:cNvPr id="275311" name="898 Imagen" descr="sublimacion icono.png">
          <a:extLst>
            <a:ext uri="{FF2B5EF4-FFF2-40B4-BE49-F238E27FC236}">
              <a16:creationId xmlns:a16="http://schemas.microsoft.com/office/drawing/2014/main" id="{C9EC3C44-9217-4BF4-897E-BC5E638D77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62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106</xdr:row>
      <xdr:rowOff>19050</xdr:rowOff>
    </xdr:from>
    <xdr:to>
      <xdr:col>24</xdr:col>
      <xdr:colOff>47625</xdr:colOff>
      <xdr:row>106</xdr:row>
      <xdr:rowOff>142875</xdr:rowOff>
    </xdr:to>
    <xdr:pic>
      <xdr:nvPicPr>
        <xdr:cNvPr id="275312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077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104</xdr:row>
      <xdr:rowOff>19050</xdr:rowOff>
    </xdr:from>
    <xdr:to>
      <xdr:col>25</xdr:col>
      <xdr:colOff>380999</xdr:colOff>
      <xdr:row>104</xdr:row>
      <xdr:rowOff>142875</xdr:rowOff>
    </xdr:to>
    <xdr:pic>
      <xdr:nvPicPr>
        <xdr:cNvPr id="275313" name="901 Imagen" descr="FULL PRINT ICONO.png">
          <a:extLst>
            <a:ext uri="{FF2B5EF4-FFF2-40B4-BE49-F238E27FC236}">
              <a16:creationId xmlns:a16="http://schemas.microsoft.com/office/drawing/2014/main" id="{5DA43212-97CB-4A8A-B0CC-EC710367B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81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107</xdr:row>
      <xdr:rowOff>19050</xdr:rowOff>
    </xdr:from>
    <xdr:to>
      <xdr:col>24</xdr:col>
      <xdr:colOff>47625</xdr:colOff>
      <xdr:row>107</xdr:row>
      <xdr:rowOff>142875</xdr:rowOff>
    </xdr:to>
    <xdr:pic>
      <xdr:nvPicPr>
        <xdr:cNvPr id="275314" name="902 Imagen" descr="sublimacion icono.png">
          <a:extLst>
            <a:ext uri="{FF2B5EF4-FFF2-40B4-BE49-F238E27FC236}">
              <a16:creationId xmlns:a16="http://schemas.microsoft.com/office/drawing/2014/main" id="{1D758E69-862A-4825-A3FB-6BB15F9729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864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106</xdr:row>
      <xdr:rowOff>19050</xdr:rowOff>
    </xdr:from>
    <xdr:to>
      <xdr:col>25</xdr:col>
      <xdr:colOff>380999</xdr:colOff>
      <xdr:row>106</xdr:row>
      <xdr:rowOff>142875</xdr:rowOff>
    </xdr:to>
    <xdr:pic>
      <xdr:nvPicPr>
        <xdr:cNvPr id="275315" name="903 Imagen" descr="FULL PRINT ICONO.png">
          <a:extLst>
            <a:ext uri="{FF2B5EF4-FFF2-40B4-BE49-F238E27FC236}">
              <a16:creationId xmlns:a16="http://schemas.microsoft.com/office/drawing/2014/main" id="{98E801DF-0E4E-44F0-8E33-01E1ACC6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1848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121</xdr:row>
      <xdr:rowOff>19050</xdr:rowOff>
    </xdr:from>
    <xdr:to>
      <xdr:col>24</xdr:col>
      <xdr:colOff>47625</xdr:colOff>
      <xdr:row>121</xdr:row>
      <xdr:rowOff>142875</xdr:rowOff>
    </xdr:to>
    <xdr:pic>
      <xdr:nvPicPr>
        <xdr:cNvPr id="275316" name="904 Imagen" descr="sublimacion icono.png">
          <a:extLst>
            <a:ext uri="{FF2B5EF4-FFF2-40B4-BE49-F238E27FC236}">
              <a16:creationId xmlns:a16="http://schemas.microsoft.com/office/drawing/2014/main" id="{8ABBBC65-9BDC-479F-9D6A-9AE342C98C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14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126</xdr:row>
      <xdr:rowOff>19050</xdr:rowOff>
    </xdr:from>
    <xdr:to>
      <xdr:col>26</xdr:col>
      <xdr:colOff>9524</xdr:colOff>
      <xdr:row>126</xdr:row>
      <xdr:rowOff>142875</xdr:rowOff>
    </xdr:to>
    <xdr:pic>
      <xdr:nvPicPr>
        <xdr:cNvPr id="275317" name="905 Imagen" descr="FULL PRINT ICONO.png">
          <a:extLst>
            <a:ext uri="{FF2B5EF4-FFF2-40B4-BE49-F238E27FC236}">
              <a16:creationId xmlns:a16="http://schemas.microsoft.com/office/drawing/2014/main" id="{DAF65142-F4C5-4C1D-9503-B37BC7F8DF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2168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122</xdr:row>
      <xdr:rowOff>19050</xdr:rowOff>
    </xdr:from>
    <xdr:to>
      <xdr:col>24</xdr:col>
      <xdr:colOff>47625</xdr:colOff>
      <xdr:row>122</xdr:row>
      <xdr:rowOff>142875</xdr:rowOff>
    </xdr:to>
    <xdr:pic>
      <xdr:nvPicPr>
        <xdr:cNvPr id="275318" name="906 Imagen" descr="sublimacion icono.png">
          <a:extLst>
            <a:ext uri="{FF2B5EF4-FFF2-40B4-BE49-F238E27FC236}">
              <a16:creationId xmlns:a16="http://schemas.microsoft.com/office/drawing/2014/main" id="{C07C4828-91EA-468D-A735-1DCBD37F61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29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127</xdr:row>
      <xdr:rowOff>19050</xdr:rowOff>
    </xdr:from>
    <xdr:to>
      <xdr:col>26</xdr:col>
      <xdr:colOff>9524</xdr:colOff>
      <xdr:row>127</xdr:row>
      <xdr:rowOff>142875</xdr:rowOff>
    </xdr:to>
    <xdr:pic>
      <xdr:nvPicPr>
        <xdr:cNvPr id="275319" name="907 Imagen" descr="FULL PRINT ICONO.png">
          <a:extLst>
            <a:ext uri="{FF2B5EF4-FFF2-40B4-BE49-F238E27FC236}">
              <a16:creationId xmlns:a16="http://schemas.microsoft.com/office/drawing/2014/main" id="{29F14C08-E688-4CBF-84B2-6DEED2D7A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21840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123</xdr:row>
      <xdr:rowOff>19050</xdr:rowOff>
    </xdr:from>
    <xdr:to>
      <xdr:col>24</xdr:col>
      <xdr:colOff>47625</xdr:colOff>
      <xdr:row>123</xdr:row>
      <xdr:rowOff>142875</xdr:rowOff>
    </xdr:to>
    <xdr:pic>
      <xdr:nvPicPr>
        <xdr:cNvPr id="275320" name="908 Imagen" descr="sublimacion icono.png">
          <a:extLst>
            <a:ext uri="{FF2B5EF4-FFF2-40B4-BE49-F238E27FC236}">
              <a16:creationId xmlns:a16="http://schemas.microsoft.com/office/drawing/2014/main" id="{581B4560-5234-4583-9549-4B5B1FCDC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245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128</xdr:row>
      <xdr:rowOff>19050</xdr:rowOff>
    </xdr:from>
    <xdr:to>
      <xdr:col>26</xdr:col>
      <xdr:colOff>9524</xdr:colOff>
      <xdr:row>128</xdr:row>
      <xdr:rowOff>142875</xdr:rowOff>
    </xdr:to>
    <xdr:pic>
      <xdr:nvPicPr>
        <xdr:cNvPr id="275321" name="909 Imagen" descr="FULL PRINT ICONO.png">
          <a:extLst>
            <a:ext uri="{FF2B5EF4-FFF2-40B4-BE49-F238E27FC236}">
              <a16:creationId xmlns:a16="http://schemas.microsoft.com/office/drawing/2014/main" id="{4FAFE7D2-32CF-451E-95AF-33288D67F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2199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66</xdr:row>
      <xdr:rowOff>19050</xdr:rowOff>
    </xdr:from>
    <xdr:to>
      <xdr:col>24</xdr:col>
      <xdr:colOff>47625</xdr:colOff>
      <xdr:row>66</xdr:row>
      <xdr:rowOff>142875</xdr:rowOff>
    </xdr:to>
    <xdr:pic>
      <xdr:nvPicPr>
        <xdr:cNvPr id="275332" name="920 Imagen" descr="seri icono.png">
          <a:extLst>
            <a:ext uri="{FF2B5EF4-FFF2-40B4-BE49-F238E27FC236}">
              <a16:creationId xmlns:a16="http://schemas.microsoft.com/office/drawing/2014/main" id="{FD0A2DBE-8D36-4866-A973-A1D769357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611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65</xdr:row>
      <xdr:rowOff>19050</xdr:rowOff>
    </xdr:from>
    <xdr:to>
      <xdr:col>24</xdr:col>
      <xdr:colOff>47625</xdr:colOff>
      <xdr:row>65</xdr:row>
      <xdr:rowOff>142875</xdr:rowOff>
    </xdr:to>
    <xdr:pic>
      <xdr:nvPicPr>
        <xdr:cNvPr id="275333" name="921 Imagen" descr="seri icono.png">
          <a:extLst>
            <a:ext uri="{FF2B5EF4-FFF2-40B4-BE49-F238E27FC236}">
              <a16:creationId xmlns:a16="http://schemas.microsoft.com/office/drawing/2014/main" id="{0904175C-5173-425F-8C3A-41799355A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458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58</xdr:row>
      <xdr:rowOff>19050</xdr:rowOff>
    </xdr:from>
    <xdr:to>
      <xdr:col>24</xdr:col>
      <xdr:colOff>47625</xdr:colOff>
      <xdr:row>58</xdr:row>
      <xdr:rowOff>142875</xdr:rowOff>
    </xdr:to>
    <xdr:pic>
      <xdr:nvPicPr>
        <xdr:cNvPr id="275335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15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58</xdr:row>
      <xdr:rowOff>19050</xdr:rowOff>
    </xdr:from>
    <xdr:to>
      <xdr:col>24</xdr:col>
      <xdr:colOff>47625</xdr:colOff>
      <xdr:row>58</xdr:row>
      <xdr:rowOff>142875</xdr:rowOff>
    </xdr:to>
    <xdr:pic>
      <xdr:nvPicPr>
        <xdr:cNvPr id="275336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15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100</xdr:row>
      <xdr:rowOff>19050</xdr:rowOff>
    </xdr:from>
    <xdr:to>
      <xdr:col>24</xdr:col>
      <xdr:colOff>47625</xdr:colOff>
      <xdr:row>100</xdr:row>
      <xdr:rowOff>142875</xdr:rowOff>
    </xdr:to>
    <xdr:pic>
      <xdr:nvPicPr>
        <xdr:cNvPr id="275346" name="935 Imagen" descr="tampo icono.png">
          <a:extLst>
            <a:ext uri="{FF2B5EF4-FFF2-40B4-BE49-F238E27FC236}">
              <a16:creationId xmlns:a16="http://schemas.microsoft.com/office/drawing/2014/main" id="{181954A4-0545-4633-8E1E-88423C6048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925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100</xdr:row>
      <xdr:rowOff>19050</xdr:rowOff>
    </xdr:from>
    <xdr:to>
      <xdr:col>26</xdr:col>
      <xdr:colOff>9524</xdr:colOff>
      <xdr:row>100</xdr:row>
      <xdr:rowOff>142875</xdr:rowOff>
    </xdr:to>
    <xdr:pic>
      <xdr:nvPicPr>
        <xdr:cNvPr id="275348" name="937 Imagen" descr="SIN PILAS ICONO.png">
          <a:extLst>
            <a:ext uri="{FF2B5EF4-FFF2-40B4-BE49-F238E27FC236}">
              <a16:creationId xmlns:a16="http://schemas.microsoft.com/office/drawing/2014/main" id="{79F36769-107B-45C8-9FC3-89BA095DE9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1925002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96</xdr:row>
      <xdr:rowOff>19050</xdr:rowOff>
    </xdr:from>
    <xdr:to>
      <xdr:col>24</xdr:col>
      <xdr:colOff>47625</xdr:colOff>
      <xdr:row>96</xdr:row>
      <xdr:rowOff>142875</xdr:rowOff>
    </xdr:to>
    <xdr:pic>
      <xdr:nvPicPr>
        <xdr:cNvPr id="275355" name="944 Imagen" descr="tampo icono.png">
          <a:extLst>
            <a:ext uri="{FF2B5EF4-FFF2-40B4-BE49-F238E27FC236}">
              <a16:creationId xmlns:a16="http://schemas.microsoft.com/office/drawing/2014/main" id="{567425C7-F779-4534-B6D2-04994C249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81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90</xdr:row>
      <xdr:rowOff>19050</xdr:rowOff>
    </xdr:from>
    <xdr:to>
      <xdr:col>24</xdr:col>
      <xdr:colOff>47625</xdr:colOff>
      <xdr:row>90</xdr:row>
      <xdr:rowOff>142875</xdr:rowOff>
    </xdr:to>
    <xdr:pic>
      <xdr:nvPicPr>
        <xdr:cNvPr id="275358" name="947 Imagen" descr="HOT STAMPING ICONO.png">
          <a:extLst>
            <a:ext uri="{FF2B5EF4-FFF2-40B4-BE49-F238E27FC236}">
              <a16:creationId xmlns:a16="http://schemas.microsoft.com/office/drawing/2014/main" id="{004D813F-8651-4CB0-84B7-1393E7663C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268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89</xdr:row>
      <xdr:rowOff>19050</xdr:rowOff>
    </xdr:from>
    <xdr:to>
      <xdr:col>24</xdr:col>
      <xdr:colOff>47625</xdr:colOff>
      <xdr:row>89</xdr:row>
      <xdr:rowOff>142875</xdr:rowOff>
    </xdr:to>
    <xdr:pic>
      <xdr:nvPicPr>
        <xdr:cNvPr id="275359" name="948 Imagen" descr="HOT STAMPING ICONO.png">
          <a:extLst>
            <a:ext uri="{FF2B5EF4-FFF2-40B4-BE49-F238E27FC236}">
              <a16:creationId xmlns:a16="http://schemas.microsoft.com/office/drawing/2014/main" id="{5E2E46DF-C64E-4ABF-A4FA-321D6FAE4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11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84</xdr:row>
      <xdr:rowOff>19050</xdr:rowOff>
    </xdr:from>
    <xdr:to>
      <xdr:col>24</xdr:col>
      <xdr:colOff>47625</xdr:colOff>
      <xdr:row>84</xdr:row>
      <xdr:rowOff>142875</xdr:rowOff>
    </xdr:to>
    <xdr:pic>
      <xdr:nvPicPr>
        <xdr:cNvPr id="275361" name="950 Imagen" descr="HOT STAMPING ICONO.png">
          <a:extLst>
            <a:ext uri="{FF2B5EF4-FFF2-40B4-BE49-F238E27FC236}">
              <a16:creationId xmlns:a16="http://schemas.microsoft.com/office/drawing/2014/main" id="{0D79BB4D-55EA-44B3-9B27-F026996B1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35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85</xdr:row>
      <xdr:rowOff>19050</xdr:rowOff>
    </xdr:from>
    <xdr:to>
      <xdr:col>24</xdr:col>
      <xdr:colOff>47625</xdr:colOff>
      <xdr:row>85</xdr:row>
      <xdr:rowOff>142875</xdr:rowOff>
    </xdr:to>
    <xdr:pic>
      <xdr:nvPicPr>
        <xdr:cNvPr id="275362" name="951 Imagen" descr="HOT STAMPING ICONO.png">
          <a:extLst>
            <a:ext uri="{FF2B5EF4-FFF2-40B4-BE49-F238E27FC236}">
              <a16:creationId xmlns:a16="http://schemas.microsoft.com/office/drawing/2014/main" id="{8C5D2F31-2715-4331-B4AD-B9D9A9CB2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6506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80</xdr:row>
      <xdr:rowOff>19050</xdr:rowOff>
    </xdr:from>
    <xdr:to>
      <xdr:col>24</xdr:col>
      <xdr:colOff>47625</xdr:colOff>
      <xdr:row>80</xdr:row>
      <xdr:rowOff>142875</xdr:rowOff>
    </xdr:to>
    <xdr:pic>
      <xdr:nvPicPr>
        <xdr:cNvPr id="275363" name="952 Imagen" descr="HOT STAMPING ICONO.png">
          <a:extLst>
            <a:ext uri="{FF2B5EF4-FFF2-40B4-BE49-F238E27FC236}">
              <a16:creationId xmlns:a16="http://schemas.microsoft.com/office/drawing/2014/main" id="{237F76AF-55D6-4024-97D1-C5380511A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74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81</xdr:row>
      <xdr:rowOff>19050</xdr:rowOff>
    </xdr:from>
    <xdr:to>
      <xdr:col>24</xdr:col>
      <xdr:colOff>47625</xdr:colOff>
      <xdr:row>81</xdr:row>
      <xdr:rowOff>142875</xdr:rowOff>
    </xdr:to>
    <xdr:pic>
      <xdr:nvPicPr>
        <xdr:cNvPr id="275364" name="953 Imagen" descr="HOT STAMPING ICONO.png">
          <a:extLst>
            <a:ext uri="{FF2B5EF4-FFF2-40B4-BE49-F238E27FC236}">
              <a16:creationId xmlns:a16="http://schemas.microsoft.com/office/drawing/2014/main" id="{24D7FB96-6F5B-40C0-8FCF-648055022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897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86</xdr:row>
      <xdr:rowOff>19050</xdr:rowOff>
    </xdr:from>
    <xdr:to>
      <xdr:col>25</xdr:col>
      <xdr:colOff>314324</xdr:colOff>
      <xdr:row>86</xdr:row>
      <xdr:rowOff>142875</xdr:rowOff>
    </xdr:to>
    <xdr:pic>
      <xdr:nvPicPr>
        <xdr:cNvPr id="275365" name="954 Imagen" descr="costura icono.png">
          <a:extLst>
            <a:ext uri="{FF2B5EF4-FFF2-40B4-BE49-F238E27FC236}">
              <a16:creationId xmlns:a16="http://schemas.microsoft.com/office/drawing/2014/main" id="{F5AB6C2E-F7D2-4E66-B61E-F2377BC240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6592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82</xdr:row>
      <xdr:rowOff>19050</xdr:rowOff>
    </xdr:from>
    <xdr:to>
      <xdr:col>25</xdr:col>
      <xdr:colOff>314324</xdr:colOff>
      <xdr:row>82</xdr:row>
      <xdr:rowOff>142875</xdr:rowOff>
    </xdr:to>
    <xdr:pic>
      <xdr:nvPicPr>
        <xdr:cNvPr id="275366" name="955 Imagen" descr="costura icono.png">
          <a:extLst>
            <a:ext uri="{FF2B5EF4-FFF2-40B4-BE49-F238E27FC236}">
              <a16:creationId xmlns:a16="http://schemas.microsoft.com/office/drawing/2014/main" id="{E378437A-ADE1-4067-A5FC-43CBEC913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0496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83</xdr:row>
      <xdr:rowOff>19050</xdr:rowOff>
    </xdr:from>
    <xdr:to>
      <xdr:col>25</xdr:col>
      <xdr:colOff>314324</xdr:colOff>
      <xdr:row>83</xdr:row>
      <xdr:rowOff>142875</xdr:rowOff>
    </xdr:to>
    <xdr:pic>
      <xdr:nvPicPr>
        <xdr:cNvPr id="275367" name="956 Imagen" descr="costura icono.png">
          <a:extLst>
            <a:ext uri="{FF2B5EF4-FFF2-40B4-BE49-F238E27FC236}">
              <a16:creationId xmlns:a16="http://schemas.microsoft.com/office/drawing/2014/main" id="{F67E16FB-02D5-40E3-A57B-E83604C097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2020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87</xdr:row>
      <xdr:rowOff>19050</xdr:rowOff>
    </xdr:from>
    <xdr:to>
      <xdr:col>25</xdr:col>
      <xdr:colOff>314324</xdr:colOff>
      <xdr:row>87</xdr:row>
      <xdr:rowOff>142875</xdr:rowOff>
    </xdr:to>
    <xdr:pic>
      <xdr:nvPicPr>
        <xdr:cNvPr id="275368" name="957 Imagen" descr="MATRIZ ICONO.png">
          <a:extLst>
            <a:ext uri="{FF2B5EF4-FFF2-40B4-BE49-F238E27FC236}">
              <a16:creationId xmlns:a16="http://schemas.microsoft.com/office/drawing/2014/main" id="{0D1B5E88-9EC5-4776-9B38-1C5EA66CD9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811625"/>
          <a:ext cx="1571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485775</xdr:colOff>
      <xdr:row>70</xdr:row>
      <xdr:rowOff>19050</xdr:rowOff>
    </xdr:from>
    <xdr:to>
      <xdr:col>25</xdr:col>
      <xdr:colOff>323849</xdr:colOff>
      <xdr:row>70</xdr:row>
      <xdr:rowOff>142875</xdr:rowOff>
    </xdr:to>
    <xdr:pic>
      <xdr:nvPicPr>
        <xdr:cNvPr id="275375" name="970 Imagen" descr="25x10 icono.png">
          <a:extLst>
            <a:ext uri="{FF2B5EF4-FFF2-40B4-BE49-F238E27FC236}">
              <a16:creationId xmlns:a16="http://schemas.microsoft.com/office/drawing/2014/main" id="{A10F28EB-5922-43E7-81B7-B75EC36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128492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485775</xdr:colOff>
      <xdr:row>71</xdr:row>
      <xdr:rowOff>19050</xdr:rowOff>
    </xdr:from>
    <xdr:to>
      <xdr:col>25</xdr:col>
      <xdr:colOff>323849</xdr:colOff>
      <xdr:row>71</xdr:row>
      <xdr:rowOff>142875</xdr:rowOff>
    </xdr:to>
    <xdr:pic>
      <xdr:nvPicPr>
        <xdr:cNvPr id="275376" name="973 Imagen" descr="20x15 icono.png">
          <a:extLst>
            <a:ext uri="{FF2B5EF4-FFF2-40B4-BE49-F238E27FC236}">
              <a16:creationId xmlns:a16="http://schemas.microsoft.com/office/drawing/2014/main" id="{C8126CB2-95FF-4EB0-9BF2-CAB2317CC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130016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609600</xdr:colOff>
      <xdr:row>71</xdr:row>
      <xdr:rowOff>19050</xdr:rowOff>
    </xdr:from>
    <xdr:to>
      <xdr:col>24</xdr:col>
      <xdr:colOff>114300</xdr:colOff>
      <xdr:row>71</xdr:row>
      <xdr:rowOff>142875</xdr:rowOff>
    </xdr:to>
    <xdr:pic>
      <xdr:nvPicPr>
        <xdr:cNvPr id="275378" name="976 Imagen" descr="25 diam icono.png">
          <a:extLst>
            <a:ext uri="{FF2B5EF4-FFF2-40B4-BE49-F238E27FC236}">
              <a16:creationId xmlns:a16="http://schemas.microsoft.com/office/drawing/2014/main" id="{9E131C1A-0EF3-4B29-BC05-EDCA2E39C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001625"/>
          <a:ext cx="2857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71</xdr:row>
      <xdr:rowOff>19050</xdr:rowOff>
    </xdr:from>
    <xdr:to>
      <xdr:col>5</xdr:col>
      <xdr:colOff>194</xdr:colOff>
      <xdr:row>71</xdr:row>
      <xdr:rowOff>142875</xdr:rowOff>
    </xdr:to>
    <xdr:pic>
      <xdr:nvPicPr>
        <xdr:cNvPr id="275380" name="979 Imagen" descr="niquelado icono.png">
          <a:extLst>
            <a:ext uri="{FF2B5EF4-FFF2-40B4-BE49-F238E27FC236}">
              <a16:creationId xmlns:a16="http://schemas.microsoft.com/office/drawing/2014/main" id="{6D0E65DD-D581-46C5-8303-8C6D7CFA4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46780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53</xdr:row>
      <xdr:rowOff>19050</xdr:rowOff>
    </xdr:from>
    <xdr:to>
      <xdr:col>24</xdr:col>
      <xdr:colOff>47625</xdr:colOff>
      <xdr:row>53</xdr:row>
      <xdr:rowOff>142875</xdr:rowOff>
    </xdr:to>
    <xdr:pic>
      <xdr:nvPicPr>
        <xdr:cNvPr id="275382" name="991 Imagen" descr="seri icono.png">
          <a:extLst>
            <a:ext uri="{FF2B5EF4-FFF2-40B4-BE49-F238E27FC236}">
              <a16:creationId xmlns:a16="http://schemas.microsoft.com/office/drawing/2014/main" id="{BB169766-10C7-424B-B0F0-6B6F47BB75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36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54</xdr:row>
      <xdr:rowOff>19050</xdr:rowOff>
    </xdr:from>
    <xdr:to>
      <xdr:col>24</xdr:col>
      <xdr:colOff>47625</xdr:colOff>
      <xdr:row>54</xdr:row>
      <xdr:rowOff>142875</xdr:rowOff>
    </xdr:to>
    <xdr:pic>
      <xdr:nvPicPr>
        <xdr:cNvPr id="275383" name="992 Imagen" descr="seri icono.png">
          <a:extLst>
            <a:ext uri="{FF2B5EF4-FFF2-40B4-BE49-F238E27FC236}">
              <a16:creationId xmlns:a16="http://schemas.microsoft.com/office/drawing/2014/main" id="{BEFADC53-0DD7-4A47-8877-F0AAF8672A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51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55</xdr:row>
      <xdr:rowOff>19050</xdr:rowOff>
    </xdr:from>
    <xdr:to>
      <xdr:col>24</xdr:col>
      <xdr:colOff>47625</xdr:colOff>
      <xdr:row>55</xdr:row>
      <xdr:rowOff>142875</xdr:rowOff>
    </xdr:to>
    <xdr:pic>
      <xdr:nvPicPr>
        <xdr:cNvPr id="275384" name="993 Imagen" descr="seri icono.png">
          <a:extLst>
            <a:ext uri="{FF2B5EF4-FFF2-40B4-BE49-F238E27FC236}">
              <a16:creationId xmlns:a16="http://schemas.microsoft.com/office/drawing/2014/main" id="{54E78404-9ABA-4C2A-9C02-8286D2218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668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51</xdr:row>
      <xdr:rowOff>19050</xdr:rowOff>
    </xdr:from>
    <xdr:to>
      <xdr:col>24</xdr:col>
      <xdr:colOff>47625</xdr:colOff>
      <xdr:row>51</xdr:row>
      <xdr:rowOff>142875</xdr:rowOff>
    </xdr:to>
    <xdr:pic>
      <xdr:nvPicPr>
        <xdr:cNvPr id="275399" name="1013 Imagen" descr="dome icono.png">
          <a:extLst>
            <a:ext uri="{FF2B5EF4-FFF2-40B4-BE49-F238E27FC236}">
              <a16:creationId xmlns:a16="http://schemas.microsoft.com/office/drawing/2014/main" id="{4B8DCCEF-7CD9-4FB3-A9EA-B1BCD35D75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</xdr:row>
      <xdr:rowOff>19050</xdr:rowOff>
    </xdr:from>
    <xdr:to>
      <xdr:col>24</xdr:col>
      <xdr:colOff>47625</xdr:colOff>
      <xdr:row>50</xdr:row>
      <xdr:rowOff>142875</xdr:rowOff>
    </xdr:to>
    <xdr:pic>
      <xdr:nvPicPr>
        <xdr:cNvPr id="275401" name="1015 Imagen" descr="laser color icono.png">
          <a:extLst>
            <a:ext uri="{FF2B5EF4-FFF2-40B4-BE49-F238E27FC236}">
              <a16:creationId xmlns:a16="http://schemas.microsoft.com/office/drawing/2014/main" id="{7A986B69-6A6B-40E3-8FD6-FB324CF4D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9448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</xdr:row>
      <xdr:rowOff>19050</xdr:rowOff>
    </xdr:from>
    <xdr:to>
      <xdr:col>24</xdr:col>
      <xdr:colOff>419100</xdr:colOff>
      <xdr:row>35</xdr:row>
      <xdr:rowOff>142875</xdr:rowOff>
    </xdr:to>
    <xdr:pic>
      <xdr:nvPicPr>
        <xdr:cNvPr id="275404" name="1018 Imagen" descr="DOME UN LADO.png">
          <a:extLst>
            <a:ext uri="{FF2B5EF4-FFF2-40B4-BE49-F238E27FC236}">
              <a16:creationId xmlns:a16="http://schemas.microsoft.com/office/drawing/2014/main" id="{C9D6A842-718A-4FDB-94E6-62E8D94F0D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6200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</xdr:row>
      <xdr:rowOff>19050</xdr:rowOff>
    </xdr:from>
    <xdr:to>
      <xdr:col>24</xdr:col>
      <xdr:colOff>419100</xdr:colOff>
      <xdr:row>36</xdr:row>
      <xdr:rowOff>142875</xdr:rowOff>
    </xdr:to>
    <xdr:pic>
      <xdr:nvPicPr>
        <xdr:cNvPr id="275405" name="1019 Imagen" descr="DOME UN LADO.png">
          <a:extLst>
            <a:ext uri="{FF2B5EF4-FFF2-40B4-BE49-F238E27FC236}">
              <a16:creationId xmlns:a16="http://schemas.microsoft.com/office/drawing/2014/main" id="{2B2A6C7D-CDFE-46D9-BC93-61EB76E6C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7724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</xdr:row>
      <xdr:rowOff>19050</xdr:rowOff>
    </xdr:from>
    <xdr:to>
      <xdr:col>24</xdr:col>
      <xdr:colOff>419100</xdr:colOff>
      <xdr:row>37</xdr:row>
      <xdr:rowOff>142875</xdr:rowOff>
    </xdr:to>
    <xdr:pic>
      <xdr:nvPicPr>
        <xdr:cNvPr id="275406" name="1020 Imagen" descr="DOME UN LADO.png">
          <a:extLst>
            <a:ext uri="{FF2B5EF4-FFF2-40B4-BE49-F238E27FC236}">
              <a16:creationId xmlns:a16="http://schemas.microsoft.com/office/drawing/2014/main" id="{20AFEC37-D3E9-4B30-9DD6-D555795C2F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9248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</xdr:row>
      <xdr:rowOff>19050</xdr:rowOff>
    </xdr:from>
    <xdr:to>
      <xdr:col>24</xdr:col>
      <xdr:colOff>419100</xdr:colOff>
      <xdr:row>38</xdr:row>
      <xdr:rowOff>142875</xdr:rowOff>
    </xdr:to>
    <xdr:pic>
      <xdr:nvPicPr>
        <xdr:cNvPr id="275407" name="1021 Imagen" descr="DOME UN LADO.png">
          <a:extLst>
            <a:ext uri="{FF2B5EF4-FFF2-40B4-BE49-F238E27FC236}">
              <a16:creationId xmlns:a16="http://schemas.microsoft.com/office/drawing/2014/main" id="{27DD1985-1645-4E31-9636-F3314CDD3B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0772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</xdr:row>
      <xdr:rowOff>19050</xdr:rowOff>
    </xdr:from>
    <xdr:to>
      <xdr:col>24</xdr:col>
      <xdr:colOff>419100</xdr:colOff>
      <xdr:row>41</xdr:row>
      <xdr:rowOff>142875</xdr:rowOff>
    </xdr:to>
    <xdr:pic>
      <xdr:nvPicPr>
        <xdr:cNvPr id="275408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229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</xdr:row>
      <xdr:rowOff>19050</xdr:rowOff>
    </xdr:from>
    <xdr:to>
      <xdr:col>24</xdr:col>
      <xdr:colOff>419100</xdr:colOff>
      <xdr:row>42</xdr:row>
      <xdr:rowOff>142875</xdr:rowOff>
    </xdr:to>
    <xdr:pic>
      <xdr:nvPicPr>
        <xdr:cNvPr id="275409" name="1023 Imagen" descr="DOME UN LADO.png">
          <a:extLst>
            <a:ext uri="{FF2B5EF4-FFF2-40B4-BE49-F238E27FC236}">
              <a16:creationId xmlns:a16="http://schemas.microsoft.com/office/drawing/2014/main" id="{58B92AC3-D4D3-4675-A1A1-F9F11F9E7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3820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</xdr:row>
      <xdr:rowOff>19050</xdr:rowOff>
    </xdr:from>
    <xdr:to>
      <xdr:col>24</xdr:col>
      <xdr:colOff>419100</xdr:colOff>
      <xdr:row>43</xdr:row>
      <xdr:rowOff>142875</xdr:rowOff>
    </xdr:to>
    <xdr:pic>
      <xdr:nvPicPr>
        <xdr:cNvPr id="275410" name="1024 Imagen" descr="DOME UN LADO.png">
          <a:extLst>
            <a:ext uri="{FF2B5EF4-FFF2-40B4-BE49-F238E27FC236}">
              <a16:creationId xmlns:a16="http://schemas.microsoft.com/office/drawing/2014/main" id="{591EBB52-BFCD-4E58-8967-95D4AD947F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5344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47</xdr:row>
      <xdr:rowOff>19050</xdr:rowOff>
    </xdr:from>
    <xdr:to>
      <xdr:col>24</xdr:col>
      <xdr:colOff>419100</xdr:colOff>
      <xdr:row>47</xdr:row>
      <xdr:rowOff>142875</xdr:rowOff>
    </xdr:to>
    <xdr:pic>
      <xdr:nvPicPr>
        <xdr:cNvPr id="275411" name="1025 Imagen" descr="DOME UN LADO.png">
          <a:extLst>
            <a:ext uri="{FF2B5EF4-FFF2-40B4-BE49-F238E27FC236}">
              <a16:creationId xmlns:a16="http://schemas.microsoft.com/office/drawing/2014/main" id="{2876C892-47DD-4308-973E-917C31A2AE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6868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48</xdr:row>
      <xdr:rowOff>19050</xdr:rowOff>
    </xdr:from>
    <xdr:to>
      <xdr:col>24</xdr:col>
      <xdr:colOff>419100</xdr:colOff>
      <xdr:row>48</xdr:row>
      <xdr:rowOff>142875</xdr:rowOff>
    </xdr:to>
    <xdr:pic>
      <xdr:nvPicPr>
        <xdr:cNvPr id="275412" name="1026 Imagen" descr="DOME UN LADO.png">
          <a:extLst>
            <a:ext uri="{FF2B5EF4-FFF2-40B4-BE49-F238E27FC236}">
              <a16:creationId xmlns:a16="http://schemas.microsoft.com/office/drawing/2014/main" id="{60AC6610-1DF7-42C3-963C-EF8AEF2473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8392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49</xdr:row>
      <xdr:rowOff>19050</xdr:rowOff>
    </xdr:from>
    <xdr:to>
      <xdr:col>24</xdr:col>
      <xdr:colOff>419100</xdr:colOff>
      <xdr:row>49</xdr:row>
      <xdr:rowOff>142875</xdr:rowOff>
    </xdr:to>
    <xdr:pic>
      <xdr:nvPicPr>
        <xdr:cNvPr id="275413" name="1027 Imagen" descr="DOME UN LADO.png">
          <a:extLst>
            <a:ext uri="{FF2B5EF4-FFF2-40B4-BE49-F238E27FC236}">
              <a16:creationId xmlns:a16="http://schemas.microsoft.com/office/drawing/2014/main" id="{368C3A36-0B7D-4B72-89D0-EA4D9811D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8991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</xdr:row>
      <xdr:rowOff>19050</xdr:rowOff>
    </xdr:from>
    <xdr:to>
      <xdr:col>24</xdr:col>
      <xdr:colOff>409575</xdr:colOff>
      <xdr:row>30</xdr:row>
      <xdr:rowOff>142875</xdr:rowOff>
    </xdr:to>
    <xdr:pic>
      <xdr:nvPicPr>
        <xdr:cNvPr id="275414" name="1031 Imagen" descr="dome 2 lados.png">
          <a:extLst>
            <a:ext uri="{FF2B5EF4-FFF2-40B4-BE49-F238E27FC236}">
              <a16:creationId xmlns:a16="http://schemas.microsoft.com/office/drawing/2014/main" id="{795310C8-A955-4092-A3B1-A73EE960AE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580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31</xdr:row>
      <xdr:rowOff>19050</xdr:rowOff>
    </xdr:from>
    <xdr:to>
      <xdr:col>24</xdr:col>
      <xdr:colOff>409575</xdr:colOff>
      <xdr:row>31</xdr:row>
      <xdr:rowOff>142875</xdr:rowOff>
    </xdr:to>
    <xdr:pic>
      <xdr:nvPicPr>
        <xdr:cNvPr id="275415" name="1032 Imagen" descr="dome 2 lados.png">
          <a:extLst>
            <a:ext uri="{FF2B5EF4-FFF2-40B4-BE49-F238E27FC236}">
              <a16:creationId xmlns:a16="http://schemas.microsoft.com/office/drawing/2014/main" id="{4505FEDB-9BAF-4F5A-8693-B444D4C0C6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0104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32</xdr:row>
      <xdr:rowOff>19050</xdr:rowOff>
    </xdr:from>
    <xdr:to>
      <xdr:col>24</xdr:col>
      <xdr:colOff>409575</xdr:colOff>
      <xdr:row>32</xdr:row>
      <xdr:rowOff>142875</xdr:rowOff>
    </xdr:to>
    <xdr:pic>
      <xdr:nvPicPr>
        <xdr:cNvPr id="275416" name="1033 Imagen" descr="dome 2 lados.png">
          <a:extLst>
            <a:ext uri="{FF2B5EF4-FFF2-40B4-BE49-F238E27FC236}">
              <a16:creationId xmlns:a16="http://schemas.microsoft.com/office/drawing/2014/main" id="{76549EA8-46A9-48A8-9EA7-F4277EA27D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1628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</xdr:row>
      <xdr:rowOff>19050</xdr:rowOff>
    </xdr:from>
    <xdr:to>
      <xdr:col>24</xdr:col>
      <xdr:colOff>409575</xdr:colOff>
      <xdr:row>33</xdr:row>
      <xdr:rowOff>142875</xdr:rowOff>
    </xdr:to>
    <xdr:pic>
      <xdr:nvPicPr>
        <xdr:cNvPr id="275417" name="1034 Imagen" descr="dome 2 lados.png">
          <a:extLst>
            <a:ext uri="{FF2B5EF4-FFF2-40B4-BE49-F238E27FC236}">
              <a16:creationId xmlns:a16="http://schemas.microsoft.com/office/drawing/2014/main" id="{969D3D47-7024-42C2-AA99-9EC7F3A11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3152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</xdr:row>
      <xdr:rowOff>19050</xdr:rowOff>
    </xdr:from>
    <xdr:to>
      <xdr:col>24</xdr:col>
      <xdr:colOff>409575</xdr:colOff>
      <xdr:row>34</xdr:row>
      <xdr:rowOff>142875</xdr:rowOff>
    </xdr:to>
    <xdr:pic>
      <xdr:nvPicPr>
        <xdr:cNvPr id="275418" name="1035 Imagen" descr="dome 2 lados.png">
          <a:extLst>
            <a:ext uri="{FF2B5EF4-FFF2-40B4-BE49-F238E27FC236}">
              <a16:creationId xmlns:a16="http://schemas.microsoft.com/office/drawing/2014/main" id="{48183232-F0B1-449C-A798-8CE96FDA5B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467600"/>
          <a:ext cx="11811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</xdr:row>
      <xdr:rowOff>19050</xdr:rowOff>
    </xdr:from>
    <xdr:to>
      <xdr:col>24</xdr:col>
      <xdr:colOff>47625</xdr:colOff>
      <xdr:row>27</xdr:row>
      <xdr:rowOff>142875</xdr:rowOff>
    </xdr:to>
    <xdr:pic>
      <xdr:nvPicPr>
        <xdr:cNvPr id="275419" name="1036 Imagen" descr="SERI ROT ICONO.png">
          <a:extLst>
            <a:ext uri="{FF2B5EF4-FFF2-40B4-BE49-F238E27FC236}">
              <a16:creationId xmlns:a16="http://schemas.microsoft.com/office/drawing/2014/main" id="{A977B7DE-D587-42AF-87F6-0EFF27E81D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096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25</xdr:row>
      <xdr:rowOff>19050</xdr:rowOff>
    </xdr:from>
    <xdr:to>
      <xdr:col>24</xdr:col>
      <xdr:colOff>47625</xdr:colOff>
      <xdr:row>25</xdr:row>
      <xdr:rowOff>142875</xdr:rowOff>
    </xdr:to>
    <xdr:pic>
      <xdr:nvPicPr>
        <xdr:cNvPr id="275421" name="1039 Imagen" descr="laser un lado icono.png">
          <a:extLst>
            <a:ext uri="{FF2B5EF4-FFF2-40B4-BE49-F238E27FC236}">
              <a16:creationId xmlns:a16="http://schemas.microsoft.com/office/drawing/2014/main" id="{AA650483-6F63-4344-AAE8-0255EA0C2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79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</xdr:row>
      <xdr:rowOff>19050</xdr:rowOff>
    </xdr:from>
    <xdr:to>
      <xdr:col>24</xdr:col>
      <xdr:colOff>47625</xdr:colOff>
      <xdr:row>20</xdr:row>
      <xdr:rowOff>142875</xdr:rowOff>
    </xdr:to>
    <xdr:pic>
      <xdr:nvPicPr>
        <xdr:cNvPr id="275423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72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</xdr:row>
      <xdr:rowOff>19050</xdr:rowOff>
    </xdr:from>
    <xdr:to>
      <xdr:col>24</xdr:col>
      <xdr:colOff>47625</xdr:colOff>
      <xdr:row>21</xdr:row>
      <xdr:rowOff>142875</xdr:rowOff>
    </xdr:to>
    <xdr:pic>
      <xdr:nvPicPr>
        <xdr:cNvPr id="275424" name="1044 Imagen" descr="laser un lado icono.png">
          <a:extLst>
            <a:ext uri="{FF2B5EF4-FFF2-40B4-BE49-F238E27FC236}">
              <a16:creationId xmlns:a16="http://schemas.microsoft.com/office/drawing/2014/main" id="{79A209BC-65C3-4E28-AF1A-289092CEB9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876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</xdr:row>
      <xdr:rowOff>19050</xdr:rowOff>
    </xdr:from>
    <xdr:to>
      <xdr:col>24</xdr:col>
      <xdr:colOff>47625</xdr:colOff>
      <xdr:row>19</xdr:row>
      <xdr:rowOff>142875</xdr:rowOff>
    </xdr:to>
    <xdr:pic>
      <xdr:nvPicPr>
        <xdr:cNvPr id="275426" name="1047 Imagen" descr="laser un lado icono.png">
          <a:extLst>
            <a:ext uri="{FF2B5EF4-FFF2-40B4-BE49-F238E27FC236}">
              <a16:creationId xmlns:a16="http://schemas.microsoft.com/office/drawing/2014/main" id="{63EEF21A-DA68-49C6-9F59-6CE9A040A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267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133350</xdr:colOff>
      <xdr:row>70</xdr:row>
      <xdr:rowOff>19049</xdr:rowOff>
    </xdr:from>
    <xdr:to>
      <xdr:col>24</xdr:col>
      <xdr:colOff>466725</xdr:colOff>
      <xdr:row>70</xdr:row>
      <xdr:rowOff>142874</xdr:rowOff>
    </xdr:to>
    <xdr:pic>
      <xdr:nvPicPr>
        <xdr:cNvPr id="275460" name="963 Imagen" descr="22x12 icono.png">
          <a:extLst>
            <a:ext uri="{FF2B5EF4-FFF2-40B4-BE49-F238E27FC236}">
              <a16:creationId xmlns:a16="http://schemas.microsoft.com/office/drawing/2014/main" id="{5F8471ED-4951-4B16-8DE4-4D3A7B9F63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2849224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73</xdr:row>
      <xdr:rowOff>19050</xdr:rowOff>
    </xdr:from>
    <xdr:to>
      <xdr:col>5</xdr:col>
      <xdr:colOff>194</xdr:colOff>
      <xdr:row>73</xdr:row>
      <xdr:rowOff>142875</xdr:rowOff>
    </xdr:to>
    <xdr:pic>
      <xdr:nvPicPr>
        <xdr:cNvPr id="275463" name="979 Imagen" descr="niquelado icono.png">
          <a:extLst>
            <a:ext uri="{FF2B5EF4-FFF2-40B4-BE49-F238E27FC236}">
              <a16:creationId xmlns:a16="http://schemas.microsoft.com/office/drawing/2014/main" id="{BD6439C3-F0D3-4E4B-9AF1-23169DEE6D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51352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74</xdr:row>
      <xdr:rowOff>19050</xdr:rowOff>
    </xdr:from>
    <xdr:to>
      <xdr:col>5</xdr:col>
      <xdr:colOff>194</xdr:colOff>
      <xdr:row>74</xdr:row>
      <xdr:rowOff>142875</xdr:rowOff>
    </xdr:to>
    <xdr:pic>
      <xdr:nvPicPr>
        <xdr:cNvPr id="275466" name="979 Imagen" descr="niquelado icono.png">
          <a:extLst>
            <a:ext uri="{FF2B5EF4-FFF2-40B4-BE49-F238E27FC236}">
              <a16:creationId xmlns:a16="http://schemas.microsoft.com/office/drawing/2014/main" id="{EA6E2E83-9FBE-423C-AF55-F9422AE0D5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52876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571500</xdr:colOff>
      <xdr:row>73</xdr:row>
      <xdr:rowOff>95250</xdr:rowOff>
    </xdr:from>
    <xdr:to>
      <xdr:col>24</xdr:col>
      <xdr:colOff>123825</xdr:colOff>
      <xdr:row>74</xdr:row>
      <xdr:rowOff>66675</xdr:rowOff>
    </xdr:to>
    <xdr:pic>
      <xdr:nvPicPr>
        <xdr:cNvPr id="275469" name="973 Imagen" descr="20x50.png">
          <a:extLst>
            <a:ext uri="{FF2B5EF4-FFF2-40B4-BE49-F238E27FC236}">
              <a16:creationId xmlns:a16="http://schemas.microsoft.com/office/drawing/2014/main" id="{32BE61D8-5A03-475A-9043-1E2E4DFAF6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77175" y="152114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142875</xdr:colOff>
      <xdr:row>73</xdr:row>
      <xdr:rowOff>95250</xdr:rowOff>
    </xdr:from>
    <xdr:to>
      <xdr:col>24</xdr:col>
      <xdr:colOff>466725</xdr:colOff>
      <xdr:row>74</xdr:row>
      <xdr:rowOff>66675</xdr:rowOff>
    </xdr:to>
    <xdr:pic>
      <xdr:nvPicPr>
        <xdr:cNvPr id="275470" name="974 Imagen" descr="20x55.png">
          <a:extLst>
            <a:ext uri="{FF2B5EF4-FFF2-40B4-BE49-F238E27FC236}">
              <a16:creationId xmlns:a16="http://schemas.microsoft.com/office/drawing/2014/main" id="{A45A455E-FEC7-4098-9A59-E5C4638072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5211425"/>
          <a:ext cx="3238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485775</xdr:colOff>
      <xdr:row>73</xdr:row>
      <xdr:rowOff>95250</xdr:rowOff>
    </xdr:from>
    <xdr:to>
      <xdr:col>25</xdr:col>
      <xdr:colOff>333374</xdr:colOff>
      <xdr:row>74</xdr:row>
      <xdr:rowOff>66675</xdr:rowOff>
    </xdr:to>
    <xdr:pic>
      <xdr:nvPicPr>
        <xdr:cNvPr id="275471" name="975 Imagen" descr="20x60.png">
          <a:extLst>
            <a:ext uri="{FF2B5EF4-FFF2-40B4-BE49-F238E27FC236}">
              <a16:creationId xmlns:a16="http://schemas.microsoft.com/office/drawing/2014/main" id="{9E2E7157-458D-4662-8D6A-C25B457376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0" y="15211425"/>
          <a:ext cx="3429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73</xdr:row>
      <xdr:rowOff>95250</xdr:rowOff>
    </xdr:from>
    <xdr:to>
      <xdr:col>23</xdr:col>
      <xdr:colOff>542925</xdr:colOff>
      <xdr:row>74</xdr:row>
      <xdr:rowOff>66675</xdr:rowOff>
    </xdr:to>
    <xdr:pic>
      <xdr:nvPicPr>
        <xdr:cNvPr id="275472" name="978 Imagen" descr="MEDIDAS ICONO.png">
          <a:extLst>
            <a:ext uri="{FF2B5EF4-FFF2-40B4-BE49-F238E27FC236}">
              <a16:creationId xmlns:a16="http://schemas.microsoft.com/office/drawing/2014/main" id="{5BB8511E-29B6-4844-B19D-550962438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52114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71</xdr:row>
      <xdr:rowOff>19050</xdr:rowOff>
    </xdr:from>
    <xdr:to>
      <xdr:col>23</xdr:col>
      <xdr:colOff>552450</xdr:colOff>
      <xdr:row>71</xdr:row>
      <xdr:rowOff>142875</xdr:rowOff>
    </xdr:to>
    <xdr:pic>
      <xdr:nvPicPr>
        <xdr:cNvPr id="275473" name="979 Imagen" descr="MEDIDAS ICONO.png">
          <a:extLst>
            <a:ext uri="{FF2B5EF4-FFF2-40B4-BE49-F238E27FC236}">
              <a16:creationId xmlns:a16="http://schemas.microsoft.com/office/drawing/2014/main" id="{5D4DDED2-345A-4B37-A289-018DAA9ED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30016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209550</xdr:colOff>
      <xdr:row>72</xdr:row>
      <xdr:rowOff>19050</xdr:rowOff>
    </xdr:from>
    <xdr:to>
      <xdr:col>5</xdr:col>
      <xdr:colOff>194</xdr:colOff>
      <xdr:row>72</xdr:row>
      <xdr:rowOff>142875</xdr:rowOff>
    </xdr:to>
    <xdr:pic>
      <xdr:nvPicPr>
        <xdr:cNvPr id="275476" name="979 Imagen" descr="niquelado icono.png">
          <a:extLst>
            <a:ext uri="{FF2B5EF4-FFF2-40B4-BE49-F238E27FC236}">
              <a16:creationId xmlns:a16="http://schemas.microsoft.com/office/drawing/2014/main" id="{3CF58078-02E7-40CA-BDC8-94CFA00EF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4830425"/>
          <a:ext cx="6191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500</xdr:row>
      <xdr:rowOff>19050</xdr:rowOff>
    </xdr:from>
    <xdr:to>
      <xdr:col>24</xdr:col>
      <xdr:colOff>47625</xdr:colOff>
      <xdr:row>500</xdr:row>
      <xdr:rowOff>142875</xdr:rowOff>
    </xdr:to>
    <xdr:pic>
      <xdr:nvPicPr>
        <xdr:cNvPr id="275481" name="323 Imagen" descr="dome icono.png">
          <a:extLst>
            <a:ext uri="{FF2B5EF4-FFF2-40B4-BE49-F238E27FC236}">
              <a16:creationId xmlns:a16="http://schemas.microsoft.com/office/drawing/2014/main" id="{6BB64E0C-8321-4C31-B3CE-3FE83C37E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889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501</xdr:row>
      <xdr:rowOff>19050</xdr:rowOff>
    </xdr:from>
    <xdr:to>
      <xdr:col>24</xdr:col>
      <xdr:colOff>47625</xdr:colOff>
      <xdr:row>501</xdr:row>
      <xdr:rowOff>142875</xdr:rowOff>
    </xdr:to>
    <xdr:pic>
      <xdr:nvPicPr>
        <xdr:cNvPr id="275482" name="323 Imagen" descr="dome icono.png">
          <a:extLst>
            <a:ext uri="{FF2B5EF4-FFF2-40B4-BE49-F238E27FC236}">
              <a16:creationId xmlns:a16="http://schemas.microsoft.com/office/drawing/2014/main" id="{3FDEF6A8-69D9-4F09-9E05-96E5E4716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904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67</xdr:row>
      <xdr:rowOff>19050</xdr:rowOff>
    </xdr:from>
    <xdr:to>
      <xdr:col>24</xdr:col>
      <xdr:colOff>47625</xdr:colOff>
      <xdr:row>67</xdr:row>
      <xdr:rowOff>142875</xdr:rowOff>
    </xdr:to>
    <xdr:pic>
      <xdr:nvPicPr>
        <xdr:cNvPr id="275484" name="919 Imagen" descr="seri icono.png">
          <a:extLst>
            <a:ext uri="{FF2B5EF4-FFF2-40B4-BE49-F238E27FC236}">
              <a16:creationId xmlns:a16="http://schemas.microsoft.com/office/drawing/2014/main" id="{92E36A5E-683C-4133-B6A1-C673B49D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916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68</xdr:row>
      <xdr:rowOff>19050</xdr:rowOff>
    </xdr:from>
    <xdr:to>
      <xdr:col>24</xdr:col>
      <xdr:colOff>47625</xdr:colOff>
      <xdr:row>68</xdr:row>
      <xdr:rowOff>142875</xdr:rowOff>
    </xdr:to>
    <xdr:pic>
      <xdr:nvPicPr>
        <xdr:cNvPr id="275486" name="919 Imagen" descr="seri icono.png">
          <a:extLst>
            <a:ext uri="{FF2B5EF4-FFF2-40B4-BE49-F238E27FC236}">
              <a16:creationId xmlns:a16="http://schemas.microsoft.com/office/drawing/2014/main" id="{CC3DD387-7689-4E66-AAA5-A460197B0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406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134</xdr:row>
      <xdr:rowOff>19050</xdr:rowOff>
    </xdr:from>
    <xdr:to>
      <xdr:col>24</xdr:col>
      <xdr:colOff>47625</xdr:colOff>
      <xdr:row>134</xdr:row>
      <xdr:rowOff>142875</xdr:rowOff>
    </xdr:to>
    <xdr:pic>
      <xdr:nvPicPr>
        <xdr:cNvPr id="275488" name="840 Imagen" descr="dome icono.png">
          <a:extLst>
            <a:ext uri="{FF2B5EF4-FFF2-40B4-BE49-F238E27FC236}">
              <a16:creationId xmlns:a16="http://schemas.microsoft.com/office/drawing/2014/main" id="{CBEFA250-9D4D-4CD2-9950-7DEE73C05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4945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131</xdr:row>
      <xdr:rowOff>19050</xdr:rowOff>
    </xdr:from>
    <xdr:to>
      <xdr:col>24</xdr:col>
      <xdr:colOff>47625</xdr:colOff>
      <xdr:row>131</xdr:row>
      <xdr:rowOff>142875</xdr:rowOff>
    </xdr:to>
    <xdr:pic>
      <xdr:nvPicPr>
        <xdr:cNvPr id="275515" name="871 Imagen" descr="sublimacion icono.png">
          <a:extLst>
            <a:ext uri="{FF2B5EF4-FFF2-40B4-BE49-F238E27FC236}">
              <a16:creationId xmlns:a16="http://schemas.microsoft.com/office/drawing/2014/main" id="{423B55F7-FD28-42E5-A579-6F781CD8E8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479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499</xdr:row>
      <xdr:rowOff>19050</xdr:rowOff>
    </xdr:from>
    <xdr:to>
      <xdr:col>24</xdr:col>
      <xdr:colOff>47625</xdr:colOff>
      <xdr:row>499</xdr:row>
      <xdr:rowOff>142875</xdr:rowOff>
    </xdr:to>
    <xdr:pic>
      <xdr:nvPicPr>
        <xdr:cNvPr id="275522" name="323 Imagen" descr="dome icono.png">
          <a:extLst>
            <a:ext uri="{FF2B5EF4-FFF2-40B4-BE49-F238E27FC236}">
              <a16:creationId xmlns:a16="http://schemas.microsoft.com/office/drawing/2014/main" id="{C8CE6A87-3930-44D3-A12F-DAA64911C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7874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672</xdr:row>
      <xdr:rowOff>19050</xdr:rowOff>
    </xdr:from>
    <xdr:to>
      <xdr:col>24</xdr:col>
      <xdr:colOff>47625</xdr:colOff>
      <xdr:row>672</xdr:row>
      <xdr:rowOff>142875</xdr:rowOff>
    </xdr:to>
    <xdr:pic>
      <xdr:nvPicPr>
        <xdr:cNvPr id="960" name="429 Imagen" descr="sublimacion icono.png">
          <a:extLst>
            <a:ext uri="{FF2B5EF4-FFF2-40B4-BE49-F238E27FC236}">
              <a16:creationId xmlns:a16="http://schemas.microsoft.com/office/drawing/2014/main" id="{6CF316BA-1A7F-4150-9180-0700F459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89277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24</xdr:col>
      <xdr:colOff>57150</xdr:colOff>
      <xdr:row>343</xdr:row>
      <xdr:rowOff>19050</xdr:rowOff>
    </xdr:from>
    <xdr:ext cx="438150" cy="123825"/>
    <xdr:pic>
      <xdr:nvPicPr>
        <xdr:cNvPr id="989" name="571 Imagen" descr="UN LADO ICONO.png">
          <a:extLst>
            <a:ext uri="{FF2B5EF4-FFF2-40B4-BE49-F238E27FC236}">
              <a16:creationId xmlns:a16="http://schemas.microsoft.com/office/drawing/2014/main" id="{822A2817-1BEA-4713-B476-6570D8812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537114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28</xdr:row>
      <xdr:rowOff>19050</xdr:rowOff>
    </xdr:from>
    <xdr:to>
      <xdr:col>24</xdr:col>
      <xdr:colOff>47625</xdr:colOff>
      <xdr:row>28</xdr:row>
      <xdr:rowOff>142875</xdr:rowOff>
    </xdr:to>
    <xdr:pic>
      <xdr:nvPicPr>
        <xdr:cNvPr id="987" name="1039 Imagen" descr="laser un lado icono.png">
          <a:extLst>
            <a:ext uri="{FF2B5EF4-FFF2-40B4-BE49-F238E27FC236}">
              <a16:creationId xmlns:a16="http://schemas.microsoft.com/office/drawing/2014/main" id="{D81B8030-98D5-4225-8049-FE4534948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5" y="655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143</xdr:row>
      <xdr:rowOff>19050</xdr:rowOff>
    </xdr:from>
    <xdr:to>
      <xdr:col>24</xdr:col>
      <xdr:colOff>47625</xdr:colOff>
      <xdr:row>143</xdr:row>
      <xdr:rowOff>142875</xdr:rowOff>
    </xdr:to>
    <xdr:pic>
      <xdr:nvPicPr>
        <xdr:cNvPr id="972" name="841 Imagen" descr="dome icono.png">
          <a:extLst>
            <a:ext uri="{FF2B5EF4-FFF2-40B4-BE49-F238E27FC236}">
              <a16:creationId xmlns:a16="http://schemas.microsoft.com/office/drawing/2014/main" id="{8B4A8EF8-E404-4AD5-8580-12C8E12F4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5" y="2601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226</xdr:row>
      <xdr:rowOff>19050</xdr:rowOff>
    </xdr:from>
    <xdr:to>
      <xdr:col>24</xdr:col>
      <xdr:colOff>47625</xdr:colOff>
      <xdr:row>226</xdr:row>
      <xdr:rowOff>142875</xdr:rowOff>
    </xdr:to>
    <xdr:pic>
      <xdr:nvPicPr>
        <xdr:cNvPr id="1014" name="755 Imagen" descr="seri icono.png">
          <a:extLst>
            <a:ext uri="{FF2B5EF4-FFF2-40B4-BE49-F238E27FC236}">
              <a16:creationId xmlns:a16="http://schemas.microsoft.com/office/drawing/2014/main" id="{6F01BA60-336D-4566-99D4-4BE1A3E524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8557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91</xdr:row>
      <xdr:rowOff>19050</xdr:rowOff>
    </xdr:from>
    <xdr:to>
      <xdr:col>24</xdr:col>
      <xdr:colOff>47625</xdr:colOff>
      <xdr:row>91</xdr:row>
      <xdr:rowOff>142875</xdr:rowOff>
    </xdr:to>
    <xdr:pic>
      <xdr:nvPicPr>
        <xdr:cNvPr id="1006" name="1048 Imagen" descr="laser un lado icono.png">
          <a:extLst>
            <a:ext uri="{FF2B5EF4-FFF2-40B4-BE49-F238E27FC236}">
              <a16:creationId xmlns:a16="http://schemas.microsoft.com/office/drawing/2014/main" id="{F7A43007-A731-4DCE-BE0A-3E6ADD4A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4220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93</xdr:row>
      <xdr:rowOff>19050</xdr:rowOff>
    </xdr:from>
    <xdr:to>
      <xdr:col>24</xdr:col>
      <xdr:colOff>47625</xdr:colOff>
      <xdr:row>93</xdr:row>
      <xdr:rowOff>142875</xdr:rowOff>
    </xdr:to>
    <xdr:pic>
      <xdr:nvPicPr>
        <xdr:cNvPr id="1018" name="1048 Imagen" descr="laser un lado icono.png">
          <a:extLst>
            <a:ext uri="{FF2B5EF4-FFF2-40B4-BE49-F238E27FC236}">
              <a16:creationId xmlns:a16="http://schemas.microsoft.com/office/drawing/2014/main" id="{F7A43007-A731-4DCE-BE0A-3E6ADD4A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573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94</xdr:row>
      <xdr:rowOff>19050</xdr:rowOff>
    </xdr:from>
    <xdr:to>
      <xdr:col>24</xdr:col>
      <xdr:colOff>47625</xdr:colOff>
      <xdr:row>94</xdr:row>
      <xdr:rowOff>142875</xdr:rowOff>
    </xdr:to>
    <xdr:pic>
      <xdr:nvPicPr>
        <xdr:cNvPr id="1019" name="945 Imagen" descr="seri icono.png">
          <a:extLst>
            <a:ext uri="{FF2B5EF4-FFF2-40B4-BE49-F238E27FC236}">
              <a16:creationId xmlns:a16="http://schemas.microsoft.com/office/drawing/2014/main" id="{9DAB2EBE-6C25-45A4-BBE1-B318A43F85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787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57</xdr:row>
      <xdr:rowOff>19050</xdr:rowOff>
    </xdr:from>
    <xdr:ext cx="819150" cy="123825"/>
    <xdr:pic>
      <xdr:nvPicPr>
        <xdr:cNvPr id="1023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30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57</xdr:row>
      <xdr:rowOff>19050</xdr:rowOff>
    </xdr:from>
    <xdr:ext cx="819150" cy="123825"/>
    <xdr:pic>
      <xdr:nvPicPr>
        <xdr:cNvPr id="1024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330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701</xdr:row>
      <xdr:rowOff>19050</xdr:rowOff>
    </xdr:from>
    <xdr:ext cx="819150" cy="123825"/>
    <xdr:pic>
      <xdr:nvPicPr>
        <xdr:cNvPr id="1049" name="622 Imagen" descr="laser icono.png">
          <a:extLst>
            <a:ext uri="{FF2B5EF4-FFF2-40B4-BE49-F238E27FC236}">
              <a16:creationId xmlns:a16="http://schemas.microsoft.com/office/drawing/2014/main" id="{E9DCD936-D695-4ED6-8F91-2F5E6477B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82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466</xdr:row>
      <xdr:rowOff>19050</xdr:rowOff>
    </xdr:from>
    <xdr:to>
      <xdr:col>24</xdr:col>
      <xdr:colOff>47625</xdr:colOff>
      <xdr:row>466</xdr:row>
      <xdr:rowOff>142875</xdr:rowOff>
    </xdr:to>
    <xdr:pic>
      <xdr:nvPicPr>
        <xdr:cNvPr id="1063" name="293 Imagen" descr="dome icono.png">
          <a:extLst>
            <a:ext uri="{FF2B5EF4-FFF2-40B4-BE49-F238E27FC236}">
              <a16:creationId xmlns:a16="http://schemas.microsoft.com/office/drawing/2014/main" id="{B1101479-DA06-412D-95BB-FBE43670EC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7889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673</xdr:row>
      <xdr:rowOff>20292</xdr:rowOff>
    </xdr:from>
    <xdr:ext cx="819150" cy="123825"/>
    <xdr:pic>
      <xdr:nvPicPr>
        <xdr:cNvPr id="984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596064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674</xdr:row>
      <xdr:rowOff>20292</xdr:rowOff>
    </xdr:from>
    <xdr:ext cx="819150" cy="123825"/>
    <xdr:pic>
      <xdr:nvPicPr>
        <xdr:cNvPr id="1032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6109727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213</xdr:row>
      <xdr:rowOff>19050</xdr:rowOff>
    </xdr:from>
    <xdr:to>
      <xdr:col>24</xdr:col>
      <xdr:colOff>47625</xdr:colOff>
      <xdr:row>213</xdr:row>
      <xdr:rowOff>142875</xdr:rowOff>
    </xdr:to>
    <xdr:pic>
      <xdr:nvPicPr>
        <xdr:cNvPr id="1081" name="771 Imagen" descr="seri icono.png">
          <a:extLst>
            <a:ext uri="{FF2B5EF4-FFF2-40B4-BE49-F238E27FC236}">
              <a16:creationId xmlns:a16="http://schemas.microsoft.com/office/drawing/2014/main" id="{DAD49756-2E19-4232-A8FB-B22DDDB6C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0899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216</xdr:row>
      <xdr:rowOff>19050</xdr:rowOff>
    </xdr:from>
    <xdr:to>
      <xdr:col>24</xdr:col>
      <xdr:colOff>47625</xdr:colOff>
      <xdr:row>216</xdr:row>
      <xdr:rowOff>142875</xdr:rowOff>
    </xdr:to>
    <xdr:pic>
      <xdr:nvPicPr>
        <xdr:cNvPr id="1082" name="765 Imagen" descr="seri icono.png">
          <a:extLst>
            <a:ext uri="{FF2B5EF4-FFF2-40B4-BE49-F238E27FC236}">
              <a16:creationId xmlns:a16="http://schemas.microsoft.com/office/drawing/2014/main" id="{8988DF02-C87F-4315-BE6C-E457735D2D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356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698</xdr:row>
      <xdr:rowOff>19050</xdr:rowOff>
    </xdr:from>
    <xdr:to>
      <xdr:col>24</xdr:col>
      <xdr:colOff>47625</xdr:colOff>
      <xdr:row>698</xdr:row>
      <xdr:rowOff>142875</xdr:rowOff>
    </xdr:to>
    <xdr:pic>
      <xdr:nvPicPr>
        <xdr:cNvPr id="1083" name="620 Imagen" descr="laser icono.png">
          <a:extLst>
            <a:ext uri="{FF2B5EF4-FFF2-40B4-BE49-F238E27FC236}">
              <a16:creationId xmlns:a16="http://schemas.microsoft.com/office/drawing/2014/main" id="{45FD4C15-BDDF-4841-9AB5-7CD787B13D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367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12</xdr:row>
      <xdr:rowOff>19050</xdr:rowOff>
    </xdr:from>
    <xdr:to>
      <xdr:col>24</xdr:col>
      <xdr:colOff>47625</xdr:colOff>
      <xdr:row>12</xdr:row>
      <xdr:rowOff>142875</xdr:rowOff>
    </xdr:to>
    <xdr:pic>
      <xdr:nvPicPr>
        <xdr:cNvPr id="1085" name="1057 Imagen" descr="laser fibra icono.png">
          <a:extLst>
            <a:ext uri="{FF2B5EF4-FFF2-40B4-BE49-F238E27FC236}">
              <a16:creationId xmlns:a16="http://schemas.microsoft.com/office/drawing/2014/main" id="{5DC52DFE-C891-4C06-AADA-8EBEDF030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2590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511</xdr:row>
      <xdr:rowOff>19050</xdr:rowOff>
    </xdr:from>
    <xdr:to>
      <xdr:col>24</xdr:col>
      <xdr:colOff>47625</xdr:colOff>
      <xdr:row>511</xdr:row>
      <xdr:rowOff>142875</xdr:rowOff>
    </xdr:to>
    <xdr:pic>
      <xdr:nvPicPr>
        <xdr:cNvPr id="1002" name="337 Imagen" descr="laser fibra icono.png">
          <a:extLst>
            <a:ext uri="{FF2B5EF4-FFF2-40B4-BE49-F238E27FC236}">
              <a16:creationId xmlns:a16="http://schemas.microsoft.com/office/drawing/2014/main" id="{8504D109-95E7-49E6-9F49-7E0269928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4647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377</xdr:row>
      <xdr:rowOff>28575</xdr:rowOff>
    </xdr:from>
    <xdr:to>
      <xdr:col>1</xdr:col>
      <xdr:colOff>0</xdr:colOff>
      <xdr:row>377</xdr:row>
      <xdr:rowOff>133350</xdr:rowOff>
    </xdr:to>
    <xdr:pic>
      <xdr:nvPicPr>
        <xdr:cNvPr id="1088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4655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513</xdr:row>
      <xdr:rowOff>19050</xdr:rowOff>
    </xdr:from>
    <xdr:ext cx="819150" cy="123825"/>
    <xdr:pic>
      <xdr:nvPicPr>
        <xdr:cNvPr id="1093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75409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664</xdr:row>
      <xdr:rowOff>19050</xdr:rowOff>
    </xdr:from>
    <xdr:to>
      <xdr:col>24</xdr:col>
      <xdr:colOff>47625</xdr:colOff>
      <xdr:row>664</xdr:row>
      <xdr:rowOff>142875</xdr:rowOff>
    </xdr:to>
    <xdr:pic>
      <xdr:nvPicPr>
        <xdr:cNvPr id="874" name="415 Imagen" descr="sublimacion icono.png">
          <a:extLst>
            <a:ext uri="{FF2B5EF4-FFF2-40B4-BE49-F238E27FC236}">
              <a16:creationId xmlns:a16="http://schemas.microsoft.com/office/drawing/2014/main" id="{D459F3CF-05E6-44A1-9789-E68EB58C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6848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667</xdr:row>
      <xdr:rowOff>19050</xdr:rowOff>
    </xdr:from>
    <xdr:to>
      <xdr:col>24</xdr:col>
      <xdr:colOff>47625</xdr:colOff>
      <xdr:row>667</xdr:row>
      <xdr:rowOff>142875</xdr:rowOff>
    </xdr:to>
    <xdr:pic>
      <xdr:nvPicPr>
        <xdr:cNvPr id="875" name="415 Imagen" descr="sublimacion icono.png">
          <a:extLst>
            <a:ext uri="{FF2B5EF4-FFF2-40B4-BE49-F238E27FC236}">
              <a16:creationId xmlns:a16="http://schemas.microsoft.com/office/drawing/2014/main" id="{D459F3CF-05E6-44A1-9789-E68EB58C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7001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57</xdr:row>
      <xdr:rowOff>28575</xdr:rowOff>
    </xdr:from>
    <xdr:to>
      <xdr:col>1</xdr:col>
      <xdr:colOff>0</xdr:colOff>
      <xdr:row>57</xdr:row>
      <xdr:rowOff>133350</xdr:rowOff>
    </xdr:to>
    <xdr:pic>
      <xdr:nvPicPr>
        <xdr:cNvPr id="863" name="239 Imagen" descr="oferta icono.png">
          <a:extLst>
            <a:ext uri="{FF2B5EF4-FFF2-40B4-BE49-F238E27FC236}">
              <a16:creationId xmlns:a16="http://schemas.microsoft.com/office/drawing/2014/main" id="{4DA6D193-30DF-4923-82A3-D9413A14B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01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240</xdr:row>
      <xdr:rowOff>19050</xdr:rowOff>
    </xdr:from>
    <xdr:to>
      <xdr:col>24</xdr:col>
      <xdr:colOff>47625</xdr:colOff>
      <xdr:row>240</xdr:row>
      <xdr:rowOff>144555</xdr:rowOff>
    </xdr:to>
    <xdr:pic>
      <xdr:nvPicPr>
        <xdr:cNvPr id="942" name="706 Imagen" descr="seri icono.png">
          <a:extLst>
            <a:ext uri="{FF2B5EF4-FFF2-40B4-BE49-F238E27FC236}">
              <a16:creationId xmlns:a16="http://schemas.microsoft.com/office/drawing/2014/main" id="{02C04E86-38B2-4D45-9CC7-86DA274F3A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02717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240</xdr:row>
      <xdr:rowOff>19050</xdr:rowOff>
    </xdr:from>
    <xdr:to>
      <xdr:col>26</xdr:col>
      <xdr:colOff>9524</xdr:colOff>
      <xdr:row>240</xdr:row>
      <xdr:rowOff>142875</xdr:rowOff>
    </xdr:to>
    <xdr:pic>
      <xdr:nvPicPr>
        <xdr:cNvPr id="946" name="710 Imagen" descr="tampo icono.png">
          <a:extLst>
            <a:ext uri="{FF2B5EF4-FFF2-40B4-BE49-F238E27FC236}">
              <a16:creationId xmlns:a16="http://schemas.microsoft.com/office/drawing/2014/main" id="{16734E87-DB15-4DE6-8EE4-0EB6054D11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3875" y="39052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336</xdr:row>
      <xdr:rowOff>19050</xdr:rowOff>
    </xdr:from>
    <xdr:to>
      <xdr:col>24</xdr:col>
      <xdr:colOff>47625</xdr:colOff>
      <xdr:row>336</xdr:row>
      <xdr:rowOff>142875</xdr:rowOff>
    </xdr:to>
    <xdr:pic>
      <xdr:nvPicPr>
        <xdr:cNvPr id="976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28256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337</xdr:row>
      <xdr:rowOff>19050</xdr:rowOff>
    </xdr:from>
    <xdr:ext cx="828675" cy="123825"/>
    <xdr:pic>
      <xdr:nvPicPr>
        <xdr:cNvPr id="1009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58715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576</xdr:row>
      <xdr:rowOff>19050</xdr:rowOff>
    </xdr:from>
    <xdr:to>
      <xdr:col>24</xdr:col>
      <xdr:colOff>48389</xdr:colOff>
      <xdr:row>576</xdr:row>
      <xdr:rowOff>140970</xdr:rowOff>
    </xdr:to>
    <xdr:pic>
      <xdr:nvPicPr>
        <xdr:cNvPr id="923" name="Imagen 922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2638900"/>
          <a:ext cx="819914" cy="121920"/>
        </a:xfrm>
        <a:prstGeom prst="rect">
          <a:avLst/>
        </a:prstGeom>
      </xdr:spPr>
    </xdr:pic>
    <xdr:clientData/>
  </xdr:twoCellAnchor>
  <xdr:twoCellAnchor editAs="oneCell">
    <xdr:from>
      <xdr:col>23</xdr:col>
      <xdr:colOff>9525</xdr:colOff>
      <xdr:row>571</xdr:row>
      <xdr:rowOff>19050</xdr:rowOff>
    </xdr:from>
    <xdr:to>
      <xdr:col>24</xdr:col>
      <xdr:colOff>48389</xdr:colOff>
      <xdr:row>571</xdr:row>
      <xdr:rowOff>140970</xdr:rowOff>
    </xdr:to>
    <xdr:pic>
      <xdr:nvPicPr>
        <xdr:cNvPr id="926" name="Imagen 925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876900"/>
          <a:ext cx="819914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569</xdr:row>
      <xdr:rowOff>19050</xdr:rowOff>
    </xdr:from>
    <xdr:ext cx="819914" cy="121920"/>
    <xdr:pic>
      <xdr:nvPicPr>
        <xdr:cNvPr id="977" name="Imagen 976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2181700"/>
          <a:ext cx="819914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580</xdr:row>
      <xdr:rowOff>19050</xdr:rowOff>
    </xdr:from>
    <xdr:ext cx="819914" cy="121920"/>
    <xdr:pic>
      <xdr:nvPicPr>
        <xdr:cNvPr id="1041" name="Imagen 1040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3705700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579</xdr:row>
      <xdr:rowOff>19050</xdr:rowOff>
    </xdr:from>
    <xdr:to>
      <xdr:col>24</xdr:col>
      <xdr:colOff>47625</xdr:colOff>
      <xdr:row>579</xdr:row>
      <xdr:rowOff>144555</xdr:rowOff>
    </xdr:to>
    <xdr:pic>
      <xdr:nvPicPr>
        <xdr:cNvPr id="1046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835533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307</xdr:row>
      <xdr:rowOff>19050</xdr:rowOff>
    </xdr:from>
    <xdr:ext cx="819150" cy="123825"/>
    <xdr:pic>
      <xdr:nvPicPr>
        <xdr:cNvPr id="849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634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278</xdr:row>
      <xdr:rowOff>19050</xdr:rowOff>
    </xdr:from>
    <xdr:ext cx="819150" cy="123825"/>
    <xdr:pic>
      <xdr:nvPicPr>
        <xdr:cNvPr id="838" name="664 Imagen" descr="seri icono.png">
          <a:extLst>
            <a:ext uri="{FF2B5EF4-FFF2-40B4-BE49-F238E27FC236}">
              <a16:creationId xmlns:a16="http://schemas.microsoft.com/office/drawing/2014/main" id="{D4B2D144-6D90-4D88-9950-82413AFE7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1948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338</xdr:row>
      <xdr:rowOff>19050</xdr:rowOff>
    </xdr:from>
    <xdr:ext cx="828675" cy="123825"/>
    <xdr:pic>
      <xdr:nvPicPr>
        <xdr:cNvPr id="934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73955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321</xdr:row>
      <xdr:rowOff>19050</xdr:rowOff>
    </xdr:from>
    <xdr:ext cx="828675" cy="123825"/>
    <xdr:pic>
      <xdr:nvPicPr>
        <xdr:cNvPr id="971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3964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439</xdr:row>
      <xdr:rowOff>19050</xdr:rowOff>
    </xdr:from>
    <xdr:to>
      <xdr:col>24</xdr:col>
      <xdr:colOff>47625</xdr:colOff>
      <xdr:row>439</xdr:row>
      <xdr:rowOff>142875</xdr:rowOff>
    </xdr:to>
    <xdr:pic>
      <xdr:nvPicPr>
        <xdr:cNvPr id="1055" name="306 Imagen" descr="laser icono.png">
          <a:extLst>
            <a:ext uri="{FF2B5EF4-FFF2-40B4-BE49-F238E27FC236}">
              <a16:creationId xmlns:a16="http://schemas.microsoft.com/office/drawing/2014/main" id="{154362FE-74D2-4FE9-BCA8-1BFDFA4EB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399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675</xdr:row>
      <xdr:rowOff>20292</xdr:rowOff>
    </xdr:from>
    <xdr:ext cx="819150" cy="123825"/>
    <xdr:pic>
      <xdr:nvPicPr>
        <xdr:cNvPr id="860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938" y="86258814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143</xdr:row>
      <xdr:rowOff>19050</xdr:rowOff>
    </xdr:from>
    <xdr:to>
      <xdr:col>10</xdr:col>
      <xdr:colOff>1</xdr:colOff>
      <xdr:row>143</xdr:row>
      <xdr:rowOff>142875</xdr:rowOff>
    </xdr:to>
    <xdr:pic>
      <xdr:nvPicPr>
        <xdr:cNvPr id="107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062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144</xdr:row>
      <xdr:rowOff>19050</xdr:rowOff>
    </xdr:from>
    <xdr:to>
      <xdr:col>10</xdr:col>
      <xdr:colOff>1</xdr:colOff>
      <xdr:row>144</xdr:row>
      <xdr:rowOff>142875</xdr:rowOff>
    </xdr:to>
    <xdr:pic>
      <xdr:nvPicPr>
        <xdr:cNvPr id="107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0774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145</xdr:row>
      <xdr:rowOff>19050</xdr:rowOff>
    </xdr:from>
    <xdr:to>
      <xdr:col>10</xdr:col>
      <xdr:colOff>1</xdr:colOff>
      <xdr:row>145</xdr:row>
      <xdr:rowOff>142875</xdr:rowOff>
    </xdr:to>
    <xdr:pic>
      <xdr:nvPicPr>
        <xdr:cNvPr id="107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077402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690</xdr:row>
      <xdr:rowOff>19050</xdr:rowOff>
    </xdr:from>
    <xdr:to>
      <xdr:col>10</xdr:col>
      <xdr:colOff>1</xdr:colOff>
      <xdr:row>690</xdr:row>
      <xdr:rowOff>142875</xdr:rowOff>
    </xdr:to>
    <xdr:pic>
      <xdr:nvPicPr>
        <xdr:cNvPr id="110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1033938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691</xdr:row>
      <xdr:rowOff>19050</xdr:rowOff>
    </xdr:from>
    <xdr:to>
      <xdr:col>10</xdr:col>
      <xdr:colOff>1</xdr:colOff>
      <xdr:row>691</xdr:row>
      <xdr:rowOff>142875</xdr:rowOff>
    </xdr:to>
    <xdr:pic>
      <xdr:nvPicPr>
        <xdr:cNvPr id="110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154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692</xdr:row>
      <xdr:rowOff>19050</xdr:rowOff>
    </xdr:from>
    <xdr:to>
      <xdr:col>10</xdr:col>
      <xdr:colOff>1</xdr:colOff>
      <xdr:row>692</xdr:row>
      <xdr:rowOff>142875</xdr:rowOff>
    </xdr:to>
    <xdr:pic>
      <xdr:nvPicPr>
        <xdr:cNvPr id="110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1697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686</xdr:row>
      <xdr:rowOff>19050</xdr:rowOff>
    </xdr:from>
    <xdr:to>
      <xdr:col>10</xdr:col>
      <xdr:colOff>1</xdr:colOff>
      <xdr:row>686</xdr:row>
      <xdr:rowOff>142875</xdr:rowOff>
    </xdr:to>
    <xdr:pic>
      <xdr:nvPicPr>
        <xdr:cNvPr id="110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942117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668</xdr:row>
      <xdr:rowOff>19050</xdr:rowOff>
    </xdr:from>
    <xdr:to>
      <xdr:col>24</xdr:col>
      <xdr:colOff>47625</xdr:colOff>
      <xdr:row>668</xdr:row>
      <xdr:rowOff>142875</xdr:rowOff>
    </xdr:to>
    <xdr:pic>
      <xdr:nvPicPr>
        <xdr:cNvPr id="857" name="427 Imagen" descr="sublimacion icono.png">
          <a:extLst>
            <a:ext uri="{FF2B5EF4-FFF2-40B4-BE49-F238E27FC236}">
              <a16:creationId xmlns:a16="http://schemas.microsoft.com/office/drawing/2014/main" id="{34C797C0-B7B1-49CC-AB46-6EB7EE134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87610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39</xdr:row>
      <xdr:rowOff>19050</xdr:rowOff>
    </xdr:from>
    <xdr:ext cx="1190625" cy="123825"/>
    <xdr:pic>
      <xdr:nvPicPr>
        <xdr:cNvPr id="1027" name="1019 Imagen" descr="DOME UN LADO.png">
          <a:extLst>
            <a:ext uri="{FF2B5EF4-FFF2-40B4-BE49-F238E27FC236}">
              <a16:creationId xmlns:a16="http://schemas.microsoft.com/office/drawing/2014/main" id="{2B2A6C7D-CDFE-46D9-BC93-61EB76E6C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62484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40</xdr:row>
      <xdr:rowOff>19050</xdr:rowOff>
    </xdr:from>
    <xdr:ext cx="1190625" cy="123825"/>
    <xdr:pic>
      <xdr:nvPicPr>
        <xdr:cNvPr id="1029" name="1019 Imagen" descr="DOME UN LADO.png">
          <a:extLst>
            <a:ext uri="{FF2B5EF4-FFF2-40B4-BE49-F238E27FC236}">
              <a16:creationId xmlns:a16="http://schemas.microsoft.com/office/drawing/2014/main" id="{2B2A6C7D-CDFE-46D9-BC93-61EB76E6C0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6705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563</xdr:row>
      <xdr:rowOff>19050</xdr:rowOff>
    </xdr:from>
    <xdr:ext cx="819914" cy="121920"/>
    <xdr:pic>
      <xdr:nvPicPr>
        <xdr:cNvPr id="1096" name="Imagen 1095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2153125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92</xdr:row>
      <xdr:rowOff>19050</xdr:rowOff>
    </xdr:from>
    <xdr:to>
      <xdr:col>24</xdr:col>
      <xdr:colOff>47625</xdr:colOff>
      <xdr:row>92</xdr:row>
      <xdr:rowOff>142875</xdr:rowOff>
    </xdr:to>
    <xdr:pic>
      <xdr:nvPicPr>
        <xdr:cNvPr id="1122" name="1048 Imagen" descr="laser un lado icono.png">
          <a:extLst>
            <a:ext uri="{FF2B5EF4-FFF2-40B4-BE49-F238E27FC236}">
              <a16:creationId xmlns:a16="http://schemas.microsoft.com/office/drawing/2014/main" id="{F7A43007-A731-4DCE-BE0A-3E6ADD4A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437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94</xdr:row>
      <xdr:rowOff>19050</xdr:rowOff>
    </xdr:from>
    <xdr:to>
      <xdr:col>1</xdr:col>
      <xdr:colOff>0</xdr:colOff>
      <xdr:row>94</xdr:row>
      <xdr:rowOff>123825</xdr:rowOff>
    </xdr:to>
    <xdr:pic>
      <xdr:nvPicPr>
        <xdr:cNvPr id="1123" name="240 Imagen" descr="oferta icono.png">
          <a:extLst>
            <a:ext uri="{FF2B5EF4-FFF2-40B4-BE49-F238E27FC236}">
              <a16:creationId xmlns:a16="http://schemas.microsoft.com/office/drawing/2014/main" id="{8651C8C1-883D-49E3-AEF7-6E97CDEF1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202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677</xdr:row>
      <xdr:rowOff>19050</xdr:rowOff>
    </xdr:from>
    <xdr:to>
      <xdr:col>10</xdr:col>
      <xdr:colOff>1</xdr:colOff>
      <xdr:row>677</xdr:row>
      <xdr:rowOff>142875</xdr:rowOff>
    </xdr:to>
    <xdr:pic>
      <xdr:nvPicPr>
        <xdr:cNvPr id="84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325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678</xdr:row>
      <xdr:rowOff>19050</xdr:rowOff>
    </xdr:from>
    <xdr:to>
      <xdr:col>10</xdr:col>
      <xdr:colOff>1</xdr:colOff>
      <xdr:row>678</xdr:row>
      <xdr:rowOff>142875</xdr:rowOff>
    </xdr:to>
    <xdr:pic>
      <xdr:nvPicPr>
        <xdr:cNvPr id="91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630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679</xdr:row>
      <xdr:rowOff>19050</xdr:rowOff>
    </xdr:from>
    <xdr:to>
      <xdr:col>10</xdr:col>
      <xdr:colOff>1</xdr:colOff>
      <xdr:row>679</xdr:row>
      <xdr:rowOff>142875</xdr:rowOff>
    </xdr:to>
    <xdr:pic>
      <xdr:nvPicPr>
        <xdr:cNvPr id="95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88934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733</xdr:row>
      <xdr:rowOff>19050</xdr:rowOff>
    </xdr:from>
    <xdr:to>
      <xdr:col>10</xdr:col>
      <xdr:colOff>1</xdr:colOff>
      <xdr:row>733</xdr:row>
      <xdr:rowOff>142875</xdr:rowOff>
    </xdr:to>
    <xdr:pic>
      <xdr:nvPicPr>
        <xdr:cNvPr id="101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413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304</xdr:row>
      <xdr:rowOff>19050</xdr:rowOff>
    </xdr:from>
    <xdr:ext cx="819150" cy="123825"/>
    <xdr:pic>
      <xdr:nvPicPr>
        <xdr:cNvPr id="900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567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133350</xdr:colOff>
      <xdr:row>71</xdr:row>
      <xdr:rowOff>19050</xdr:rowOff>
    </xdr:from>
    <xdr:ext cx="333375" cy="123825"/>
    <xdr:pic>
      <xdr:nvPicPr>
        <xdr:cNvPr id="905" name="967 Imagen" descr="20x20 icono.png">
          <a:extLst>
            <a:ext uri="{FF2B5EF4-FFF2-40B4-BE49-F238E27FC236}">
              <a16:creationId xmlns:a16="http://schemas.microsoft.com/office/drawing/2014/main" id="{3EDA40D1-6AC7-426A-87BA-83BEDEBAF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30016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609600</xdr:colOff>
      <xdr:row>70</xdr:row>
      <xdr:rowOff>19050</xdr:rowOff>
    </xdr:from>
    <xdr:ext cx="285750" cy="123825"/>
    <xdr:pic>
      <xdr:nvPicPr>
        <xdr:cNvPr id="911" name="975 Imagen" descr="20 diam icono.png">
          <a:extLst>
            <a:ext uri="{FF2B5EF4-FFF2-40B4-BE49-F238E27FC236}">
              <a16:creationId xmlns:a16="http://schemas.microsoft.com/office/drawing/2014/main" id="{58E50558-5CD2-4100-8EA4-61D086F51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2849225"/>
          <a:ext cx="2857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209550</xdr:colOff>
      <xdr:row>70</xdr:row>
      <xdr:rowOff>19050</xdr:rowOff>
    </xdr:from>
    <xdr:ext cx="619319" cy="123825"/>
    <xdr:pic>
      <xdr:nvPicPr>
        <xdr:cNvPr id="922" name="979 Imagen" descr="niquelado icono.png">
          <a:extLst>
            <a:ext uri="{FF2B5EF4-FFF2-40B4-BE49-F238E27FC236}">
              <a16:creationId xmlns:a16="http://schemas.microsoft.com/office/drawing/2014/main" id="{6D0E65DD-D581-46C5-8303-8C6D7CFA4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13001625"/>
          <a:ext cx="61931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342900</xdr:colOff>
      <xdr:row>70</xdr:row>
      <xdr:rowOff>19050</xdr:rowOff>
    </xdr:from>
    <xdr:ext cx="323850" cy="123825"/>
    <xdr:pic>
      <xdr:nvPicPr>
        <xdr:cNvPr id="947" name="964 Imagen" descr="17x17 icono.png">
          <a:extLst>
            <a:ext uri="{FF2B5EF4-FFF2-40B4-BE49-F238E27FC236}">
              <a16:creationId xmlns:a16="http://schemas.microsoft.com/office/drawing/2014/main" id="{08A8A50C-4620-4A6C-9791-0C7F647284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34450" y="12849225"/>
          <a:ext cx="3238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19050</xdr:colOff>
      <xdr:row>70</xdr:row>
      <xdr:rowOff>19050</xdr:rowOff>
    </xdr:from>
    <xdr:ext cx="533400" cy="123825"/>
    <xdr:pic>
      <xdr:nvPicPr>
        <xdr:cNvPr id="949" name="979 Imagen" descr="MEDIDAS ICONO.png">
          <a:extLst>
            <a:ext uri="{FF2B5EF4-FFF2-40B4-BE49-F238E27FC236}">
              <a16:creationId xmlns:a16="http://schemas.microsoft.com/office/drawing/2014/main" id="{5D4DDED2-345A-4B37-A289-018DAA9ED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28492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485775</xdr:colOff>
      <xdr:row>72</xdr:row>
      <xdr:rowOff>19050</xdr:rowOff>
    </xdr:from>
    <xdr:to>
      <xdr:col>25</xdr:col>
      <xdr:colOff>323849</xdr:colOff>
      <xdr:row>72</xdr:row>
      <xdr:rowOff>142875</xdr:rowOff>
    </xdr:to>
    <xdr:pic>
      <xdr:nvPicPr>
        <xdr:cNvPr id="966" name="973 Imagen" descr="20x15 icono.png">
          <a:extLst>
            <a:ext uri="{FF2B5EF4-FFF2-40B4-BE49-F238E27FC236}">
              <a16:creationId xmlns:a16="http://schemas.microsoft.com/office/drawing/2014/main" id="{C8126CB2-95FF-4EB0-9BF2-CAB2317CC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2025" y="131540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609600</xdr:colOff>
      <xdr:row>72</xdr:row>
      <xdr:rowOff>19050</xdr:rowOff>
    </xdr:from>
    <xdr:to>
      <xdr:col>24</xdr:col>
      <xdr:colOff>114300</xdr:colOff>
      <xdr:row>72</xdr:row>
      <xdr:rowOff>142875</xdr:rowOff>
    </xdr:to>
    <xdr:pic>
      <xdr:nvPicPr>
        <xdr:cNvPr id="969" name="976 Imagen" descr="25 diam icono.png">
          <a:extLst>
            <a:ext uri="{FF2B5EF4-FFF2-40B4-BE49-F238E27FC236}">
              <a16:creationId xmlns:a16="http://schemas.microsoft.com/office/drawing/2014/main" id="{9E131C1A-0EF3-4B29-BC05-EDCA2E39CC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24800" y="13154025"/>
          <a:ext cx="2857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19050</xdr:colOff>
      <xdr:row>72</xdr:row>
      <xdr:rowOff>19050</xdr:rowOff>
    </xdr:from>
    <xdr:to>
      <xdr:col>23</xdr:col>
      <xdr:colOff>552450</xdr:colOff>
      <xdr:row>72</xdr:row>
      <xdr:rowOff>142875</xdr:rowOff>
    </xdr:to>
    <xdr:pic>
      <xdr:nvPicPr>
        <xdr:cNvPr id="985" name="979 Imagen" descr="MEDIDAS ICONO.png">
          <a:extLst>
            <a:ext uri="{FF2B5EF4-FFF2-40B4-BE49-F238E27FC236}">
              <a16:creationId xmlns:a16="http://schemas.microsoft.com/office/drawing/2014/main" id="{5D4DDED2-345A-4B37-A289-018DAA9ED7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3154025"/>
          <a:ext cx="53340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24</xdr:col>
      <xdr:colOff>133350</xdr:colOff>
      <xdr:row>72</xdr:row>
      <xdr:rowOff>19050</xdr:rowOff>
    </xdr:from>
    <xdr:ext cx="333375" cy="123825"/>
    <xdr:pic>
      <xdr:nvPicPr>
        <xdr:cNvPr id="997" name="967 Imagen" descr="20x20 icono.png">
          <a:extLst>
            <a:ext uri="{FF2B5EF4-FFF2-40B4-BE49-F238E27FC236}">
              <a16:creationId xmlns:a16="http://schemas.microsoft.com/office/drawing/2014/main" id="{3EDA40D1-6AC7-426A-87BA-83BEDEBAF0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13154025"/>
          <a:ext cx="3333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221</xdr:row>
      <xdr:rowOff>19050</xdr:rowOff>
    </xdr:from>
    <xdr:to>
      <xdr:col>10</xdr:col>
      <xdr:colOff>1</xdr:colOff>
      <xdr:row>221</xdr:row>
      <xdr:rowOff>142875</xdr:rowOff>
    </xdr:to>
    <xdr:pic>
      <xdr:nvPicPr>
        <xdr:cNvPr id="83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316515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219</xdr:row>
      <xdr:rowOff>19050</xdr:rowOff>
    </xdr:from>
    <xdr:ext cx="819150" cy="123825"/>
    <xdr:pic>
      <xdr:nvPicPr>
        <xdr:cNvPr id="878" name="764 Imagen" descr="seri icono.png">
          <a:extLst>
            <a:ext uri="{FF2B5EF4-FFF2-40B4-BE49-F238E27FC236}">
              <a16:creationId xmlns:a16="http://schemas.microsoft.com/office/drawing/2014/main" id="{9F03D5B2-AEA3-42C2-9915-27D07A53F1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813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285</xdr:row>
      <xdr:rowOff>19050</xdr:rowOff>
    </xdr:from>
    <xdr:to>
      <xdr:col>24</xdr:col>
      <xdr:colOff>47625</xdr:colOff>
      <xdr:row>285</xdr:row>
      <xdr:rowOff>142875</xdr:rowOff>
    </xdr:to>
    <xdr:pic>
      <xdr:nvPicPr>
        <xdr:cNvPr id="908" name="644 Imagen" descr="seri icono.png">
          <a:extLst>
            <a:ext uri="{FF2B5EF4-FFF2-40B4-BE49-F238E27FC236}">
              <a16:creationId xmlns:a16="http://schemas.microsoft.com/office/drawing/2014/main" id="{40E98DEB-CF6F-461C-8332-16587C86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43157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138</xdr:row>
      <xdr:rowOff>19050</xdr:rowOff>
    </xdr:from>
    <xdr:ext cx="819150" cy="123825"/>
    <xdr:pic>
      <xdr:nvPicPr>
        <xdr:cNvPr id="1001" name="867 Imagen" descr="laser fibra icono.png">
          <a:extLst>
            <a:ext uri="{FF2B5EF4-FFF2-40B4-BE49-F238E27FC236}">
              <a16:creationId xmlns:a16="http://schemas.microsoft.com/office/drawing/2014/main" id="{80DC8A16-3910-4D8D-BEF2-8DFB2210F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214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458</xdr:row>
      <xdr:rowOff>19050</xdr:rowOff>
    </xdr:from>
    <xdr:ext cx="819150" cy="123825"/>
    <xdr:pic>
      <xdr:nvPicPr>
        <xdr:cNvPr id="1031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665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483</xdr:row>
      <xdr:rowOff>19050</xdr:rowOff>
    </xdr:from>
    <xdr:ext cx="819150" cy="123825"/>
    <xdr:pic>
      <xdr:nvPicPr>
        <xdr:cNvPr id="1062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72399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685</xdr:row>
      <xdr:rowOff>19050</xdr:rowOff>
    </xdr:from>
    <xdr:to>
      <xdr:col>10</xdr:col>
      <xdr:colOff>1</xdr:colOff>
      <xdr:row>685</xdr:row>
      <xdr:rowOff>142875</xdr:rowOff>
    </xdr:to>
    <xdr:pic>
      <xdr:nvPicPr>
        <xdr:cNvPr id="80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90935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225</xdr:row>
      <xdr:rowOff>19050</xdr:rowOff>
    </xdr:from>
    <xdr:ext cx="819150" cy="123825"/>
    <xdr:pic>
      <xdr:nvPicPr>
        <xdr:cNvPr id="853" name="771 Imagen" descr="seri icono.png">
          <a:extLst>
            <a:ext uri="{FF2B5EF4-FFF2-40B4-BE49-F238E27FC236}">
              <a16:creationId xmlns:a16="http://schemas.microsoft.com/office/drawing/2014/main" id="{DAD49756-2E19-4232-A8FB-B22DDDB6C9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2575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578</xdr:row>
      <xdr:rowOff>19050</xdr:rowOff>
    </xdr:from>
    <xdr:ext cx="819914" cy="121920"/>
    <xdr:pic>
      <xdr:nvPicPr>
        <xdr:cNvPr id="1117" name="Imagen 1116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79857600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63</xdr:row>
      <xdr:rowOff>19050</xdr:rowOff>
    </xdr:from>
    <xdr:to>
      <xdr:col>24</xdr:col>
      <xdr:colOff>47624</xdr:colOff>
      <xdr:row>63</xdr:row>
      <xdr:rowOff>142875</xdr:rowOff>
    </xdr:to>
    <xdr:pic>
      <xdr:nvPicPr>
        <xdr:cNvPr id="9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00584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</xdr:row>
      <xdr:rowOff>19050</xdr:rowOff>
    </xdr:from>
    <xdr:to>
      <xdr:col>24</xdr:col>
      <xdr:colOff>47624</xdr:colOff>
      <xdr:row>69</xdr:row>
      <xdr:rowOff>142875</xdr:rowOff>
    </xdr:to>
    <xdr:pic>
      <xdr:nvPicPr>
        <xdr:cNvPr id="101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06680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209</xdr:row>
      <xdr:rowOff>19050</xdr:rowOff>
    </xdr:from>
    <xdr:to>
      <xdr:col>24</xdr:col>
      <xdr:colOff>47625</xdr:colOff>
      <xdr:row>209</xdr:row>
      <xdr:rowOff>142875</xdr:rowOff>
    </xdr:to>
    <xdr:pic>
      <xdr:nvPicPr>
        <xdr:cNvPr id="106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9679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103</xdr:row>
      <xdr:rowOff>19050</xdr:rowOff>
    </xdr:from>
    <xdr:to>
      <xdr:col>24</xdr:col>
      <xdr:colOff>47625</xdr:colOff>
      <xdr:row>103</xdr:row>
      <xdr:rowOff>142875</xdr:rowOff>
    </xdr:to>
    <xdr:pic>
      <xdr:nvPicPr>
        <xdr:cNvPr id="111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1681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220</xdr:row>
      <xdr:rowOff>19050</xdr:rowOff>
    </xdr:from>
    <xdr:to>
      <xdr:col>24</xdr:col>
      <xdr:colOff>47625</xdr:colOff>
      <xdr:row>220</xdr:row>
      <xdr:rowOff>142875</xdr:rowOff>
    </xdr:to>
    <xdr:pic>
      <xdr:nvPicPr>
        <xdr:cNvPr id="112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965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229</xdr:row>
      <xdr:rowOff>19050</xdr:rowOff>
    </xdr:from>
    <xdr:to>
      <xdr:col>24</xdr:col>
      <xdr:colOff>47624</xdr:colOff>
      <xdr:row>229</xdr:row>
      <xdr:rowOff>142875</xdr:rowOff>
    </xdr:to>
    <xdr:pic>
      <xdr:nvPicPr>
        <xdr:cNvPr id="11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22611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76200</xdr:colOff>
      <xdr:row>304</xdr:row>
      <xdr:rowOff>19050</xdr:rowOff>
    </xdr:from>
    <xdr:to>
      <xdr:col>25</xdr:col>
      <xdr:colOff>83819</xdr:colOff>
      <xdr:row>304</xdr:row>
      <xdr:rowOff>140970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5676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305</xdr:row>
      <xdr:rowOff>19050</xdr:rowOff>
    </xdr:from>
    <xdr:to>
      <xdr:col>25</xdr:col>
      <xdr:colOff>83819</xdr:colOff>
      <xdr:row>305</xdr:row>
      <xdr:rowOff>140970</xdr:rowOff>
    </xdr:to>
    <xdr:pic>
      <xdr:nvPicPr>
        <xdr:cNvPr id="1138" name="Imagen 1137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3296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306</xdr:row>
      <xdr:rowOff>19050</xdr:rowOff>
    </xdr:from>
    <xdr:to>
      <xdr:col>25</xdr:col>
      <xdr:colOff>83819</xdr:colOff>
      <xdr:row>306</xdr:row>
      <xdr:rowOff>140970</xdr:rowOff>
    </xdr:to>
    <xdr:pic>
      <xdr:nvPicPr>
        <xdr:cNvPr id="1139" name="Imagen 1138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4820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307</xdr:row>
      <xdr:rowOff>19050</xdr:rowOff>
    </xdr:from>
    <xdr:to>
      <xdr:col>25</xdr:col>
      <xdr:colOff>83819</xdr:colOff>
      <xdr:row>307</xdr:row>
      <xdr:rowOff>140970</xdr:rowOff>
    </xdr:to>
    <xdr:pic>
      <xdr:nvPicPr>
        <xdr:cNvPr id="1143" name="Imagen 1142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634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308</xdr:row>
      <xdr:rowOff>19050</xdr:rowOff>
    </xdr:from>
    <xdr:to>
      <xdr:col>25</xdr:col>
      <xdr:colOff>83819</xdr:colOff>
      <xdr:row>308</xdr:row>
      <xdr:rowOff>140970</xdr:rowOff>
    </xdr:to>
    <xdr:pic>
      <xdr:nvPicPr>
        <xdr:cNvPr id="1144" name="Imagen 1143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7868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309</xdr:row>
      <xdr:rowOff>19050</xdr:rowOff>
    </xdr:from>
    <xdr:to>
      <xdr:col>25</xdr:col>
      <xdr:colOff>83819</xdr:colOff>
      <xdr:row>309</xdr:row>
      <xdr:rowOff>140970</xdr:rowOff>
    </xdr:to>
    <xdr:pic>
      <xdr:nvPicPr>
        <xdr:cNvPr id="1145" name="Imagen 1144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69392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321</xdr:row>
      <xdr:rowOff>19050</xdr:rowOff>
    </xdr:from>
    <xdr:to>
      <xdr:col>25</xdr:col>
      <xdr:colOff>83819</xdr:colOff>
      <xdr:row>321</xdr:row>
      <xdr:rowOff>140970</xdr:rowOff>
    </xdr:to>
    <xdr:pic>
      <xdr:nvPicPr>
        <xdr:cNvPr id="1151" name="Imagen 1150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7396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332</xdr:row>
      <xdr:rowOff>19050</xdr:rowOff>
    </xdr:from>
    <xdr:to>
      <xdr:col>25</xdr:col>
      <xdr:colOff>83819</xdr:colOff>
      <xdr:row>332</xdr:row>
      <xdr:rowOff>140970</xdr:rowOff>
    </xdr:to>
    <xdr:pic>
      <xdr:nvPicPr>
        <xdr:cNvPr id="1156" name="Imagen 1155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8158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336</xdr:row>
      <xdr:rowOff>19050</xdr:rowOff>
    </xdr:from>
    <xdr:to>
      <xdr:col>25</xdr:col>
      <xdr:colOff>83819</xdr:colOff>
      <xdr:row>336</xdr:row>
      <xdr:rowOff>140970</xdr:rowOff>
    </xdr:to>
    <xdr:pic>
      <xdr:nvPicPr>
        <xdr:cNvPr id="1160" name="Imagen 1159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943475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337</xdr:row>
      <xdr:rowOff>19050</xdr:rowOff>
    </xdr:from>
    <xdr:to>
      <xdr:col>25</xdr:col>
      <xdr:colOff>83819</xdr:colOff>
      <xdr:row>337</xdr:row>
      <xdr:rowOff>140970</xdr:rowOff>
    </xdr:to>
    <xdr:pic>
      <xdr:nvPicPr>
        <xdr:cNvPr id="1161" name="Imagen 1160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958715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338</xdr:row>
      <xdr:rowOff>19050</xdr:rowOff>
    </xdr:from>
    <xdr:to>
      <xdr:col>25</xdr:col>
      <xdr:colOff>83819</xdr:colOff>
      <xdr:row>338</xdr:row>
      <xdr:rowOff>140970</xdr:rowOff>
    </xdr:to>
    <xdr:pic>
      <xdr:nvPicPr>
        <xdr:cNvPr id="1162" name="Imagen 1161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9739550"/>
          <a:ext cx="502920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723</xdr:row>
      <xdr:rowOff>19050</xdr:rowOff>
    </xdr:from>
    <xdr:ext cx="819150" cy="123825"/>
    <xdr:pic>
      <xdr:nvPicPr>
        <xdr:cNvPr id="1165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262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724</xdr:row>
      <xdr:rowOff>19050</xdr:rowOff>
    </xdr:from>
    <xdr:ext cx="819150" cy="123825"/>
    <xdr:pic>
      <xdr:nvPicPr>
        <xdr:cNvPr id="1166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415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272</xdr:row>
      <xdr:rowOff>19050</xdr:rowOff>
    </xdr:from>
    <xdr:to>
      <xdr:col>24</xdr:col>
      <xdr:colOff>47624</xdr:colOff>
      <xdr:row>272</xdr:row>
      <xdr:rowOff>142875</xdr:rowOff>
    </xdr:to>
    <xdr:pic>
      <xdr:nvPicPr>
        <xdr:cNvPr id="117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76332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279</xdr:row>
      <xdr:rowOff>19050</xdr:rowOff>
    </xdr:from>
    <xdr:to>
      <xdr:col>24</xdr:col>
      <xdr:colOff>47625</xdr:colOff>
      <xdr:row>279</xdr:row>
      <xdr:rowOff>142875</xdr:rowOff>
    </xdr:to>
    <xdr:pic>
      <xdr:nvPicPr>
        <xdr:cNvPr id="118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9624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278</xdr:row>
      <xdr:rowOff>19050</xdr:rowOff>
    </xdr:from>
    <xdr:to>
      <xdr:col>26</xdr:col>
      <xdr:colOff>9524</xdr:colOff>
      <xdr:row>278</xdr:row>
      <xdr:rowOff>142875</xdr:rowOff>
    </xdr:to>
    <xdr:pic>
      <xdr:nvPicPr>
        <xdr:cNvPr id="118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39471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285</xdr:row>
      <xdr:rowOff>19050</xdr:rowOff>
    </xdr:from>
    <xdr:to>
      <xdr:col>26</xdr:col>
      <xdr:colOff>9524</xdr:colOff>
      <xdr:row>285</xdr:row>
      <xdr:rowOff>142875</xdr:rowOff>
    </xdr:to>
    <xdr:pic>
      <xdr:nvPicPr>
        <xdr:cNvPr id="119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4099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433</xdr:row>
      <xdr:rowOff>19050</xdr:rowOff>
    </xdr:from>
    <xdr:to>
      <xdr:col>24</xdr:col>
      <xdr:colOff>47625</xdr:colOff>
      <xdr:row>433</xdr:row>
      <xdr:rowOff>144555</xdr:rowOff>
    </xdr:to>
    <xdr:pic>
      <xdr:nvPicPr>
        <xdr:cNvPr id="948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35031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442</xdr:row>
      <xdr:rowOff>19050</xdr:rowOff>
    </xdr:from>
    <xdr:to>
      <xdr:col>24</xdr:col>
      <xdr:colOff>47625</xdr:colOff>
      <xdr:row>442</xdr:row>
      <xdr:rowOff>144555</xdr:rowOff>
    </xdr:to>
    <xdr:pic>
      <xdr:nvPicPr>
        <xdr:cNvPr id="962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44175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443</xdr:row>
      <xdr:rowOff>19050</xdr:rowOff>
    </xdr:from>
    <xdr:to>
      <xdr:col>24</xdr:col>
      <xdr:colOff>47625</xdr:colOff>
      <xdr:row>443</xdr:row>
      <xdr:rowOff>144555</xdr:rowOff>
    </xdr:to>
    <xdr:pic>
      <xdr:nvPicPr>
        <xdr:cNvPr id="970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456997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9525</xdr:colOff>
      <xdr:row>165</xdr:row>
      <xdr:rowOff>19050</xdr:rowOff>
    </xdr:from>
    <xdr:ext cx="809626" cy="123825"/>
    <xdr:pic>
      <xdr:nvPicPr>
        <xdr:cNvPr id="866" name="825 Imagen" descr="CONSULTAR ICONO.png">
          <a:extLst>
            <a:ext uri="{FF2B5EF4-FFF2-40B4-BE49-F238E27FC236}">
              <a16:creationId xmlns:a16="http://schemas.microsoft.com/office/drawing/2014/main" id="{5543434B-8549-4E44-8AAB-AB2922A57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36696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162</xdr:row>
      <xdr:rowOff>19050</xdr:rowOff>
    </xdr:from>
    <xdr:to>
      <xdr:col>9</xdr:col>
      <xdr:colOff>9526</xdr:colOff>
      <xdr:row>162</xdr:row>
      <xdr:rowOff>142875</xdr:rowOff>
    </xdr:to>
    <xdr:pic>
      <xdr:nvPicPr>
        <xdr:cNvPr id="897" name="825 Imagen" descr="CONSULTAR ICONO.png">
          <a:extLst>
            <a:ext uri="{FF2B5EF4-FFF2-40B4-BE49-F238E27FC236}">
              <a16:creationId xmlns:a16="http://schemas.microsoft.com/office/drawing/2014/main" id="{5543434B-8549-4E44-8AAB-AB2922A57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3060025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425</xdr:row>
      <xdr:rowOff>19050</xdr:rowOff>
    </xdr:from>
    <xdr:to>
      <xdr:col>24</xdr:col>
      <xdr:colOff>47625</xdr:colOff>
      <xdr:row>425</xdr:row>
      <xdr:rowOff>142875</xdr:rowOff>
    </xdr:to>
    <xdr:pic>
      <xdr:nvPicPr>
        <xdr:cNvPr id="119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169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421</xdr:row>
      <xdr:rowOff>19050</xdr:rowOff>
    </xdr:from>
    <xdr:to>
      <xdr:col>24</xdr:col>
      <xdr:colOff>47625</xdr:colOff>
      <xdr:row>421</xdr:row>
      <xdr:rowOff>142875</xdr:rowOff>
    </xdr:to>
    <xdr:pic>
      <xdr:nvPicPr>
        <xdr:cNvPr id="119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8712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381</xdr:row>
      <xdr:rowOff>19050</xdr:rowOff>
    </xdr:from>
    <xdr:to>
      <xdr:col>26</xdr:col>
      <xdr:colOff>9524</xdr:colOff>
      <xdr:row>381</xdr:row>
      <xdr:rowOff>142875</xdr:rowOff>
    </xdr:to>
    <xdr:pic>
      <xdr:nvPicPr>
        <xdr:cNvPr id="12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56588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54</xdr:row>
      <xdr:rowOff>19050</xdr:rowOff>
    </xdr:from>
    <xdr:to>
      <xdr:col>26</xdr:col>
      <xdr:colOff>9524</xdr:colOff>
      <xdr:row>54</xdr:row>
      <xdr:rowOff>142875</xdr:rowOff>
    </xdr:to>
    <xdr:pic>
      <xdr:nvPicPr>
        <xdr:cNvPr id="125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8991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53</xdr:row>
      <xdr:rowOff>19050</xdr:rowOff>
    </xdr:from>
    <xdr:to>
      <xdr:col>26</xdr:col>
      <xdr:colOff>9524</xdr:colOff>
      <xdr:row>53</xdr:row>
      <xdr:rowOff>142875</xdr:rowOff>
    </xdr:to>
    <xdr:pic>
      <xdr:nvPicPr>
        <xdr:cNvPr id="125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8839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55</xdr:row>
      <xdr:rowOff>19050</xdr:rowOff>
    </xdr:from>
    <xdr:to>
      <xdr:col>26</xdr:col>
      <xdr:colOff>9524</xdr:colOff>
      <xdr:row>55</xdr:row>
      <xdr:rowOff>142875</xdr:rowOff>
    </xdr:to>
    <xdr:pic>
      <xdr:nvPicPr>
        <xdr:cNvPr id="125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9144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97</xdr:row>
      <xdr:rowOff>19050</xdr:rowOff>
    </xdr:from>
    <xdr:to>
      <xdr:col>24</xdr:col>
      <xdr:colOff>47625</xdr:colOff>
      <xdr:row>97</xdr:row>
      <xdr:rowOff>142875</xdr:rowOff>
    </xdr:to>
    <xdr:pic>
      <xdr:nvPicPr>
        <xdr:cNvPr id="111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665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99</xdr:row>
      <xdr:rowOff>19050</xdr:rowOff>
    </xdr:from>
    <xdr:to>
      <xdr:col>24</xdr:col>
      <xdr:colOff>47625</xdr:colOff>
      <xdr:row>99</xdr:row>
      <xdr:rowOff>142875</xdr:rowOff>
    </xdr:to>
    <xdr:pic>
      <xdr:nvPicPr>
        <xdr:cNvPr id="122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681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88</xdr:row>
      <xdr:rowOff>19050</xdr:rowOff>
    </xdr:from>
    <xdr:to>
      <xdr:col>24</xdr:col>
      <xdr:colOff>47625</xdr:colOff>
      <xdr:row>88</xdr:row>
      <xdr:rowOff>142875</xdr:rowOff>
    </xdr:to>
    <xdr:pic>
      <xdr:nvPicPr>
        <xdr:cNvPr id="1232" name="868 Imagen" descr="laser icono.png">
          <a:extLst>
            <a:ext uri="{FF2B5EF4-FFF2-40B4-BE49-F238E27FC236}">
              <a16:creationId xmlns:a16="http://schemas.microsoft.com/office/drawing/2014/main" id="{759FA6C0-BDF3-466E-9797-169BC3F5A5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14830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19</xdr:row>
      <xdr:rowOff>19050</xdr:rowOff>
    </xdr:from>
    <xdr:to>
      <xdr:col>9</xdr:col>
      <xdr:colOff>12838</xdr:colOff>
      <xdr:row>19</xdr:row>
      <xdr:rowOff>142875</xdr:rowOff>
    </xdr:to>
    <xdr:pic>
      <xdr:nvPicPr>
        <xdr:cNvPr id="90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3048000"/>
          <a:ext cx="812938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149</xdr:row>
      <xdr:rowOff>19050</xdr:rowOff>
    </xdr:from>
    <xdr:to>
      <xdr:col>24</xdr:col>
      <xdr:colOff>47625</xdr:colOff>
      <xdr:row>149</xdr:row>
      <xdr:rowOff>142875</xdr:rowOff>
    </xdr:to>
    <xdr:pic>
      <xdr:nvPicPr>
        <xdr:cNvPr id="127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2755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153</xdr:row>
      <xdr:rowOff>19050</xdr:rowOff>
    </xdr:from>
    <xdr:to>
      <xdr:col>24</xdr:col>
      <xdr:colOff>47625</xdr:colOff>
      <xdr:row>153</xdr:row>
      <xdr:rowOff>142875</xdr:rowOff>
    </xdr:to>
    <xdr:pic>
      <xdr:nvPicPr>
        <xdr:cNvPr id="127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336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149</xdr:row>
      <xdr:rowOff>19050</xdr:rowOff>
    </xdr:from>
    <xdr:to>
      <xdr:col>26</xdr:col>
      <xdr:colOff>9524</xdr:colOff>
      <xdr:row>149</xdr:row>
      <xdr:rowOff>142875</xdr:rowOff>
    </xdr:to>
    <xdr:pic>
      <xdr:nvPicPr>
        <xdr:cNvPr id="1277" name="851 Imagen" descr="CON CALENDARIO ICONO.png">
          <a:extLst>
            <a:ext uri="{FF2B5EF4-FFF2-40B4-BE49-F238E27FC236}">
              <a16:creationId xmlns:a16="http://schemas.microsoft.com/office/drawing/2014/main" id="{1BF018DF-71FA-4B29-B068-AB51F56F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275522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149</xdr:row>
      <xdr:rowOff>19050</xdr:rowOff>
    </xdr:from>
    <xdr:to>
      <xdr:col>26</xdr:col>
      <xdr:colOff>447675</xdr:colOff>
      <xdr:row>149</xdr:row>
      <xdr:rowOff>142875</xdr:rowOff>
    </xdr:to>
    <xdr:pic>
      <xdr:nvPicPr>
        <xdr:cNvPr id="1278" name="852 Imagen" descr="CON LOGO ICONO.png">
          <a:extLst>
            <a:ext uri="{FF2B5EF4-FFF2-40B4-BE49-F238E27FC236}">
              <a16:creationId xmlns:a16="http://schemas.microsoft.com/office/drawing/2014/main" id="{98F0AFA9-2A39-401E-B7AE-D8D2E2A57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2275522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153</xdr:row>
      <xdr:rowOff>19050</xdr:rowOff>
    </xdr:from>
    <xdr:to>
      <xdr:col>26</xdr:col>
      <xdr:colOff>9524</xdr:colOff>
      <xdr:row>153</xdr:row>
      <xdr:rowOff>142875</xdr:rowOff>
    </xdr:to>
    <xdr:pic>
      <xdr:nvPicPr>
        <xdr:cNvPr id="1279" name="851 Imagen" descr="CON CALENDARIO ICONO.png">
          <a:extLst>
            <a:ext uri="{FF2B5EF4-FFF2-40B4-BE49-F238E27FC236}">
              <a16:creationId xmlns:a16="http://schemas.microsoft.com/office/drawing/2014/main" id="{1BF018DF-71FA-4B29-B068-AB51F56F0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2336482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9525</xdr:colOff>
      <xdr:row>153</xdr:row>
      <xdr:rowOff>19050</xdr:rowOff>
    </xdr:from>
    <xdr:to>
      <xdr:col>26</xdr:col>
      <xdr:colOff>447675</xdr:colOff>
      <xdr:row>153</xdr:row>
      <xdr:rowOff>142875</xdr:rowOff>
    </xdr:to>
    <xdr:pic>
      <xdr:nvPicPr>
        <xdr:cNvPr id="1280" name="852 Imagen" descr="CON LOGO ICONO.png">
          <a:extLst>
            <a:ext uri="{FF2B5EF4-FFF2-40B4-BE49-F238E27FC236}">
              <a16:creationId xmlns:a16="http://schemas.microsoft.com/office/drawing/2014/main" id="{98F0AFA9-2A39-401E-B7AE-D8D2E2A57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91600" y="2336482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671</xdr:row>
      <xdr:rowOff>19050</xdr:rowOff>
    </xdr:from>
    <xdr:ext cx="819150" cy="123825"/>
    <xdr:pic>
      <xdr:nvPicPr>
        <xdr:cNvPr id="1271" name="429 Imagen" descr="sublimacion icono.png">
          <a:extLst>
            <a:ext uri="{FF2B5EF4-FFF2-40B4-BE49-F238E27FC236}">
              <a16:creationId xmlns:a16="http://schemas.microsoft.com/office/drawing/2014/main" id="{6CF316BA-1A7F-4150-9180-0700F459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052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245</xdr:row>
      <xdr:rowOff>19050</xdr:rowOff>
    </xdr:from>
    <xdr:ext cx="819150" cy="123825"/>
    <xdr:pic>
      <xdr:nvPicPr>
        <xdr:cNvPr id="114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4547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426</xdr:row>
      <xdr:rowOff>19050</xdr:rowOff>
    </xdr:from>
    <xdr:to>
      <xdr:col>24</xdr:col>
      <xdr:colOff>47625</xdr:colOff>
      <xdr:row>426</xdr:row>
      <xdr:rowOff>142875</xdr:rowOff>
    </xdr:to>
    <xdr:pic>
      <xdr:nvPicPr>
        <xdr:cNvPr id="106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321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56</xdr:row>
      <xdr:rowOff>19050</xdr:rowOff>
    </xdr:from>
    <xdr:ext cx="819150" cy="123825"/>
    <xdr:pic>
      <xdr:nvPicPr>
        <xdr:cNvPr id="100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9296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473</xdr:row>
      <xdr:rowOff>19050</xdr:rowOff>
    </xdr:from>
    <xdr:ext cx="819150" cy="123825"/>
    <xdr:pic>
      <xdr:nvPicPr>
        <xdr:cNvPr id="129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6074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192</xdr:row>
      <xdr:rowOff>19050</xdr:rowOff>
    </xdr:from>
    <xdr:to>
      <xdr:col>24</xdr:col>
      <xdr:colOff>47625</xdr:colOff>
      <xdr:row>192</xdr:row>
      <xdr:rowOff>142875</xdr:rowOff>
    </xdr:to>
    <xdr:pic>
      <xdr:nvPicPr>
        <xdr:cNvPr id="130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298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193</xdr:row>
      <xdr:rowOff>19050</xdr:rowOff>
    </xdr:from>
    <xdr:to>
      <xdr:col>24</xdr:col>
      <xdr:colOff>47625</xdr:colOff>
      <xdr:row>193</xdr:row>
      <xdr:rowOff>142875</xdr:rowOff>
    </xdr:to>
    <xdr:pic>
      <xdr:nvPicPr>
        <xdr:cNvPr id="130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451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194</xdr:row>
      <xdr:rowOff>19050</xdr:rowOff>
    </xdr:from>
    <xdr:to>
      <xdr:col>24</xdr:col>
      <xdr:colOff>47625</xdr:colOff>
      <xdr:row>194</xdr:row>
      <xdr:rowOff>142875</xdr:rowOff>
    </xdr:to>
    <xdr:pic>
      <xdr:nvPicPr>
        <xdr:cNvPr id="130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60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195</xdr:row>
      <xdr:rowOff>19050</xdr:rowOff>
    </xdr:from>
    <xdr:to>
      <xdr:col>24</xdr:col>
      <xdr:colOff>47625</xdr:colOff>
      <xdr:row>195</xdr:row>
      <xdr:rowOff>142875</xdr:rowOff>
    </xdr:to>
    <xdr:pic>
      <xdr:nvPicPr>
        <xdr:cNvPr id="130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755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470</xdr:row>
      <xdr:rowOff>19050</xdr:rowOff>
    </xdr:from>
    <xdr:ext cx="819150" cy="123825"/>
    <xdr:pic>
      <xdr:nvPicPr>
        <xdr:cNvPr id="963" name="291 Imagen" descr="dome icono.png">
          <a:extLst>
            <a:ext uri="{FF2B5EF4-FFF2-40B4-BE49-F238E27FC236}">
              <a16:creationId xmlns:a16="http://schemas.microsoft.com/office/drawing/2014/main" id="{ABB8E52F-69F5-4349-9895-85ADD7800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5770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471</xdr:row>
      <xdr:rowOff>19050</xdr:rowOff>
    </xdr:from>
    <xdr:ext cx="819150" cy="123825"/>
    <xdr:pic>
      <xdr:nvPicPr>
        <xdr:cNvPr id="1163" name="291 Imagen" descr="dome icono.png">
          <a:extLst>
            <a:ext uri="{FF2B5EF4-FFF2-40B4-BE49-F238E27FC236}">
              <a16:creationId xmlns:a16="http://schemas.microsoft.com/office/drawing/2014/main" id="{ABB8E52F-69F5-4349-9895-85ADD7800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5922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230</xdr:row>
      <xdr:rowOff>28575</xdr:rowOff>
    </xdr:from>
    <xdr:to>
      <xdr:col>1</xdr:col>
      <xdr:colOff>0</xdr:colOff>
      <xdr:row>230</xdr:row>
      <xdr:rowOff>133350</xdr:rowOff>
    </xdr:to>
    <xdr:pic>
      <xdr:nvPicPr>
        <xdr:cNvPr id="1210" name="235 Imagen" descr="oferta icono.png">
          <a:extLst>
            <a:ext uri="{FF2B5EF4-FFF2-40B4-BE49-F238E27FC236}">
              <a16:creationId xmlns:a16="http://schemas.microsoft.com/office/drawing/2014/main" id="{9E3CA306-CFC8-4AA4-8FCC-5F7C665F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2519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67</xdr:row>
      <xdr:rowOff>19050</xdr:rowOff>
    </xdr:from>
    <xdr:to>
      <xdr:col>10</xdr:col>
      <xdr:colOff>930</xdr:colOff>
      <xdr:row>67</xdr:row>
      <xdr:rowOff>142875</xdr:rowOff>
    </xdr:to>
    <xdr:pic>
      <xdr:nvPicPr>
        <xdr:cNvPr id="1320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10515600"/>
          <a:ext cx="82007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68</xdr:row>
      <xdr:rowOff>19050</xdr:rowOff>
    </xdr:from>
    <xdr:to>
      <xdr:col>10</xdr:col>
      <xdr:colOff>930</xdr:colOff>
      <xdr:row>68</xdr:row>
      <xdr:rowOff>142875</xdr:rowOff>
    </xdr:to>
    <xdr:pic>
      <xdr:nvPicPr>
        <xdr:cNvPr id="1321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10668000"/>
          <a:ext cx="82007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422</xdr:row>
      <xdr:rowOff>19050</xdr:rowOff>
    </xdr:from>
    <xdr:to>
      <xdr:col>24</xdr:col>
      <xdr:colOff>47625</xdr:colOff>
      <xdr:row>422</xdr:row>
      <xdr:rowOff>142875</xdr:rowOff>
    </xdr:to>
    <xdr:pic>
      <xdr:nvPicPr>
        <xdr:cNvPr id="133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8864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702</xdr:row>
      <xdr:rowOff>19050</xdr:rowOff>
    </xdr:from>
    <xdr:to>
      <xdr:col>10</xdr:col>
      <xdr:colOff>1</xdr:colOff>
      <xdr:row>702</xdr:row>
      <xdr:rowOff>142875</xdr:rowOff>
    </xdr:to>
    <xdr:pic>
      <xdr:nvPicPr>
        <xdr:cNvPr id="96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0681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703</xdr:row>
      <xdr:rowOff>19050</xdr:rowOff>
    </xdr:from>
    <xdr:to>
      <xdr:col>10</xdr:col>
      <xdr:colOff>1</xdr:colOff>
      <xdr:row>703</xdr:row>
      <xdr:rowOff>142875</xdr:rowOff>
    </xdr:to>
    <xdr:pic>
      <xdr:nvPicPr>
        <xdr:cNvPr id="967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0833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704</xdr:row>
      <xdr:rowOff>19050</xdr:rowOff>
    </xdr:from>
    <xdr:to>
      <xdr:col>10</xdr:col>
      <xdr:colOff>1</xdr:colOff>
      <xdr:row>704</xdr:row>
      <xdr:rowOff>142875</xdr:rowOff>
    </xdr:to>
    <xdr:pic>
      <xdr:nvPicPr>
        <xdr:cNvPr id="98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0986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705</xdr:row>
      <xdr:rowOff>19050</xdr:rowOff>
    </xdr:from>
    <xdr:to>
      <xdr:col>10</xdr:col>
      <xdr:colOff>1</xdr:colOff>
      <xdr:row>705</xdr:row>
      <xdr:rowOff>142875</xdr:rowOff>
    </xdr:to>
    <xdr:pic>
      <xdr:nvPicPr>
        <xdr:cNvPr id="98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113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706</xdr:row>
      <xdr:rowOff>19050</xdr:rowOff>
    </xdr:from>
    <xdr:to>
      <xdr:col>10</xdr:col>
      <xdr:colOff>1</xdr:colOff>
      <xdr:row>706</xdr:row>
      <xdr:rowOff>142875</xdr:rowOff>
    </xdr:to>
    <xdr:pic>
      <xdr:nvPicPr>
        <xdr:cNvPr id="99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1290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707</xdr:row>
      <xdr:rowOff>19050</xdr:rowOff>
    </xdr:from>
    <xdr:to>
      <xdr:col>10</xdr:col>
      <xdr:colOff>1</xdr:colOff>
      <xdr:row>707</xdr:row>
      <xdr:rowOff>142875</xdr:rowOff>
    </xdr:to>
    <xdr:pic>
      <xdr:nvPicPr>
        <xdr:cNvPr id="101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1012602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346</xdr:row>
      <xdr:rowOff>19050</xdr:rowOff>
    </xdr:from>
    <xdr:to>
      <xdr:col>24</xdr:col>
      <xdr:colOff>47625</xdr:colOff>
      <xdr:row>346</xdr:row>
      <xdr:rowOff>142875</xdr:rowOff>
    </xdr:to>
    <xdr:pic>
      <xdr:nvPicPr>
        <xdr:cNvPr id="101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48158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135</xdr:row>
      <xdr:rowOff>19050</xdr:rowOff>
    </xdr:from>
    <xdr:ext cx="819150" cy="123825"/>
    <xdr:pic>
      <xdr:nvPicPr>
        <xdr:cNvPr id="1141" name="840 Imagen" descr="dome icono.png">
          <a:extLst>
            <a:ext uri="{FF2B5EF4-FFF2-40B4-BE49-F238E27FC236}">
              <a16:creationId xmlns:a16="http://schemas.microsoft.com/office/drawing/2014/main" id="{CBEFA250-9D4D-4CD2-9950-7DEE73C05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1925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</xdr:row>
      <xdr:rowOff>19050</xdr:rowOff>
    </xdr:from>
    <xdr:ext cx="1190625" cy="123825"/>
    <xdr:pic>
      <xdr:nvPicPr>
        <xdr:cNvPr id="1173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8580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</xdr:row>
      <xdr:rowOff>19050</xdr:rowOff>
    </xdr:from>
    <xdr:ext cx="1190625" cy="123825"/>
    <xdr:pic>
      <xdr:nvPicPr>
        <xdr:cNvPr id="1189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3152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</xdr:row>
      <xdr:rowOff>19050</xdr:rowOff>
    </xdr:from>
    <xdr:ext cx="1190625" cy="123825"/>
    <xdr:pic>
      <xdr:nvPicPr>
        <xdr:cNvPr id="1230" name="1022 Imagen" descr="DOME UN LADO.png">
          <a:extLst>
            <a:ext uri="{FF2B5EF4-FFF2-40B4-BE49-F238E27FC236}">
              <a16:creationId xmlns:a16="http://schemas.microsoft.com/office/drawing/2014/main" id="{A58C9EC6-AE43-4980-A967-EC149773E3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467600"/>
          <a:ext cx="119062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17</xdr:row>
      <xdr:rowOff>19050</xdr:rowOff>
    </xdr:from>
    <xdr:to>
      <xdr:col>24</xdr:col>
      <xdr:colOff>47625</xdr:colOff>
      <xdr:row>17</xdr:row>
      <xdr:rowOff>142875</xdr:rowOff>
    </xdr:to>
    <xdr:pic>
      <xdr:nvPicPr>
        <xdr:cNvPr id="1266" name="1047 Imagen" descr="laser un lado icono.png">
          <a:extLst>
            <a:ext uri="{FF2B5EF4-FFF2-40B4-BE49-F238E27FC236}">
              <a16:creationId xmlns:a16="http://schemas.microsoft.com/office/drawing/2014/main" id="{63EEF21A-DA68-49C6-9F59-6CE9A040A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743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</xdr:row>
      <xdr:rowOff>19050</xdr:rowOff>
    </xdr:from>
    <xdr:to>
      <xdr:col>24</xdr:col>
      <xdr:colOff>47625</xdr:colOff>
      <xdr:row>18</xdr:row>
      <xdr:rowOff>142875</xdr:rowOff>
    </xdr:to>
    <xdr:pic>
      <xdr:nvPicPr>
        <xdr:cNvPr id="1302" name="1047 Imagen" descr="laser un lado icono.png">
          <a:extLst>
            <a:ext uri="{FF2B5EF4-FFF2-40B4-BE49-F238E27FC236}">
              <a16:creationId xmlns:a16="http://schemas.microsoft.com/office/drawing/2014/main" id="{63EEF21A-DA68-49C6-9F59-6CE9A040A8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89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312</xdr:row>
      <xdr:rowOff>19050</xdr:rowOff>
    </xdr:from>
    <xdr:ext cx="828675" cy="123825"/>
    <xdr:pic>
      <xdr:nvPicPr>
        <xdr:cNvPr id="1341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1104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76200</xdr:colOff>
      <xdr:row>312</xdr:row>
      <xdr:rowOff>19050</xdr:rowOff>
    </xdr:from>
    <xdr:to>
      <xdr:col>25</xdr:col>
      <xdr:colOff>83819</xdr:colOff>
      <xdr:row>312</xdr:row>
      <xdr:rowOff>140970</xdr:rowOff>
    </xdr:to>
    <xdr:pic>
      <xdr:nvPicPr>
        <xdr:cNvPr id="1342" name="Imagen 1341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110400"/>
          <a:ext cx="502920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311</xdr:row>
      <xdr:rowOff>19050</xdr:rowOff>
    </xdr:from>
    <xdr:ext cx="828675" cy="123825"/>
    <xdr:pic>
      <xdr:nvPicPr>
        <xdr:cNvPr id="1344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2628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311</xdr:row>
      <xdr:rowOff>19050</xdr:rowOff>
    </xdr:from>
    <xdr:ext cx="502920" cy="121920"/>
    <xdr:pic>
      <xdr:nvPicPr>
        <xdr:cNvPr id="1345" name="Imagen 1344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262800"/>
          <a:ext cx="502920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313</xdr:row>
      <xdr:rowOff>19050</xdr:rowOff>
    </xdr:from>
    <xdr:ext cx="828675" cy="123825"/>
    <xdr:pic>
      <xdr:nvPicPr>
        <xdr:cNvPr id="1347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2628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313</xdr:row>
      <xdr:rowOff>19050</xdr:rowOff>
    </xdr:from>
    <xdr:ext cx="502920" cy="121920"/>
    <xdr:pic>
      <xdr:nvPicPr>
        <xdr:cNvPr id="1348" name="Imagen 1347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262800"/>
          <a:ext cx="502920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339</xdr:row>
      <xdr:rowOff>19050</xdr:rowOff>
    </xdr:from>
    <xdr:to>
      <xdr:col>24</xdr:col>
      <xdr:colOff>47625</xdr:colOff>
      <xdr:row>339</xdr:row>
      <xdr:rowOff>142875</xdr:rowOff>
    </xdr:to>
    <xdr:pic>
      <xdr:nvPicPr>
        <xdr:cNvPr id="1349" name="594 Imagen" descr="laser fibra icono.png">
          <a:extLst>
            <a:ext uri="{FF2B5EF4-FFF2-40B4-BE49-F238E27FC236}">
              <a16:creationId xmlns:a16="http://schemas.microsoft.com/office/drawing/2014/main" id="{94254448-E95B-4D55-94D6-FFC50B0E8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396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66675</xdr:colOff>
      <xdr:row>339</xdr:row>
      <xdr:rowOff>19050</xdr:rowOff>
    </xdr:from>
    <xdr:to>
      <xdr:col>25</xdr:col>
      <xdr:colOff>74294</xdr:colOff>
      <xdr:row>339</xdr:row>
      <xdr:rowOff>140970</xdr:rowOff>
    </xdr:to>
    <xdr:pic>
      <xdr:nvPicPr>
        <xdr:cNvPr id="1350" name="Imagen 1349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50" y="47396400"/>
          <a:ext cx="502920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301</xdr:row>
      <xdr:rowOff>19050</xdr:rowOff>
    </xdr:from>
    <xdr:to>
      <xdr:col>25</xdr:col>
      <xdr:colOff>83819</xdr:colOff>
      <xdr:row>301</xdr:row>
      <xdr:rowOff>140970</xdr:rowOff>
    </xdr:to>
    <xdr:pic>
      <xdr:nvPicPr>
        <xdr:cNvPr id="1353" name="Imagen 1352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3129200"/>
          <a:ext cx="502920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428</xdr:row>
      <xdr:rowOff>19050</xdr:rowOff>
    </xdr:from>
    <xdr:ext cx="819150" cy="123825"/>
    <xdr:pic>
      <xdr:nvPicPr>
        <xdr:cNvPr id="130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626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302</xdr:row>
      <xdr:rowOff>19050</xdr:rowOff>
    </xdr:from>
    <xdr:ext cx="502920" cy="121920"/>
    <xdr:pic>
      <xdr:nvPicPr>
        <xdr:cNvPr id="1187" name="Imagen 1186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3129200"/>
          <a:ext cx="502920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601</xdr:row>
      <xdr:rowOff>19050</xdr:rowOff>
    </xdr:from>
    <xdr:to>
      <xdr:col>24</xdr:col>
      <xdr:colOff>75821</xdr:colOff>
      <xdr:row>601</xdr:row>
      <xdr:rowOff>140970</xdr:rowOff>
    </xdr:to>
    <xdr:pic>
      <xdr:nvPicPr>
        <xdr:cNvPr id="1379" name="Imagen 137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7971650"/>
          <a:ext cx="847346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606</xdr:row>
      <xdr:rowOff>19050</xdr:rowOff>
    </xdr:from>
    <xdr:ext cx="847346" cy="121920"/>
    <xdr:pic>
      <xdr:nvPicPr>
        <xdr:cNvPr id="1386" name="Imagen 138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8276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616</xdr:row>
      <xdr:rowOff>19050</xdr:rowOff>
    </xdr:from>
    <xdr:ext cx="847346" cy="121920"/>
    <xdr:pic>
      <xdr:nvPicPr>
        <xdr:cNvPr id="1120" name="Imagen 111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9648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617</xdr:row>
      <xdr:rowOff>19050</xdr:rowOff>
    </xdr:from>
    <xdr:ext cx="847346" cy="121920"/>
    <xdr:pic>
      <xdr:nvPicPr>
        <xdr:cNvPr id="1206" name="Imagen 120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9800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622</xdr:row>
      <xdr:rowOff>19050</xdr:rowOff>
    </xdr:from>
    <xdr:ext cx="847346" cy="121920"/>
    <xdr:pic>
      <xdr:nvPicPr>
        <xdr:cNvPr id="1248" name="Imagen 124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105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623</xdr:row>
      <xdr:rowOff>19050</xdr:rowOff>
    </xdr:from>
    <xdr:ext cx="847346" cy="121920"/>
    <xdr:pic>
      <xdr:nvPicPr>
        <xdr:cNvPr id="1249" name="Imagen 124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257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631</xdr:row>
      <xdr:rowOff>19050</xdr:rowOff>
    </xdr:from>
    <xdr:ext cx="847346" cy="121920"/>
    <xdr:pic>
      <xdr:nvPicPr>
        <xdr:cNvPr id="1360" name="Imagen 135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867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625</xdr:row>
      <xdr:rowOff>19050</xdr:rowOff>
    </xdr:from>
    <xdr:ext cx="847346" cy="121920"/>
    <xdr:pic>
      <xdr:nvPicPr>
        <xdr:cNvPr id="1361" name="Imagen 136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019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632</xdr:row>
      <xdr:rowOff>19050</xdr:rowOff>
    </xdr:from>
    <xdr:ext cx="847346" cy="121920"/>
    <xdr:pic>
      <xdr:nvPicPr>
        <xdr:cNvPr id="1362" name="Imagen 136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172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630</xdr:row>
      <xdr:rowOff>19050</xdr:rowOff>
    </xdr:from>
    <xdr:ext cx="847346" cy="121920"/>
    <xdr:pic>
      <xdr:nvPicPr>
        <xdr:cNvPr id="1363" name="Imagen 136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147685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524</xdr:row>
      <xdr:rowOff>19050</xdr:rowOff>
    </xdr:from>
    <xdr:to>
      <xdr:col>24</xdr:col>
      <xdr:colOff>75821</xdr:colOff>
      <xdr:row>524</xdr:row>
      <xdr:rowOff>140970</xdr:rowOff>
    </xdr:to>
    <xdr:pic>
      <xdr:nvPicPr>
        <xdr:cNvPr id="1356" name="Imagen 135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351650"/>
          <a:ext cx="847346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539</xdr:row>
      <xdr:rowOff>19050</xdr:rowOff>
    </xdr:from>
    <xdr:ext cx="847346" cy="121920"/>
    <xdr:pic>
      <xdr:nvPicPr>
        <xdr:cNvPr id="1376" name="Imagen 137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2485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525</xdr:row>
      <xdr:rowOff>19050</xdr:rowOff>
    </xdr:from>
    <xdr:ext cx="847346" cy="121920"/>
    <xdr:pic>
      <xdr:nvPicPr>
        <xdr:cNvPr id="1377" name="Imagen 1376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656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526</xdr:row>
      <xdr:rowOff>19050</xdr:rowOff>
    </xdr:from>
    <xdr:ext cx="847346" cy="121920"/>
    <xdr:pic>
      <xdr:nvPicPr>
        <xdr:cNvPr id="1378" name="Imagen 137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808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527</xdr:row>
      <xdr:rowOff>19050</xdr:rowOff>
    </xdr:from>
    <xdr:ext cx="847346" cy="121920"/>
    <xdr:pic>
      <xdr:nvPicPr>
        <xdr:cNvPr id="1388" name="Imagen 138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961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522</xdr:row>
      <xdr:rowOff>19050</xdr:rowOff>
    </xdr:from>
    <xdr:ext cx="847346" cy="121920"/>
    <xdr:pic>
      <xdr:nvPicPr>
        <xdr:cNvPr id="1389" name="Imagen 138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894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523</xdr:row>
      <xdr:rowOff>19050</xdr:rowOff>
    </xdr:from>
    <xdr:ext cx="847346" cy="121920"/>
    <xdr:pic>
      <xdr:nvPicPr>
        <xdr:cNvPr id="1390" name="Imagen 138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0046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554</xdr:row>
      <xdr:rowOff>19050</xdr:rowOff>
    </xdr:from>
    <xdr:ext cx="819914" cy="121920"/>
    <xdr:pic>
      <xdr:nvPicPr>
        <xdr:cNvPr id="1146" name="Imagen 1145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3218675"/>
          <a:ext cx="819914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528</xdr:row>
      <xdr:rowOff>19050</xdr:rowOff>
    </xdr:from>
    <xdr:ext cx="847346" cy="121920"/>
    <xdr:pic>
      <xdr:nvPicPr>
        <xdr:cNvPr id="1309" name="Imagen 130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113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529</xdr:row>
      <xdr:rowOff>19050</xdr:rowOff>
    </xdr:from>
    <xdr:ext cx="847346" cy="121920"/>
    <xdr:pic>
      <xdr:nvPicPr>
        <xdr:cNvPr id="1310" name="Imagen 130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266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532</xdr:row>
      <xdr:rowOff>19050</xdr:rowOff>
    </xdr:from>
    <xdr:ext cx="847346" cy="121920"/>
    <xdr:pic>
      <xdr:nvPicPr>
        <xdr:cNvPr id="1311" name="Imagen 131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570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533</xdr:row>
      <xdr:rowOff>19050</xdr:rowOff>
    </xdr:from>
    <xdr:ext cx="847346" cy="121920"/>
    <xdr:pic>
      <xdr:nvPicPr>
        <xdr:cNvPr id="1330" name="Imagen 132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1723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515</xdr:row>
      <xdr:rowOff>19050</xdr:rowOff>
    </xdr:from>
    <xdr:ext cx="847346" cy="121920"/>
    <xdr:pic>
      <xdr:nvPicPr>
        <xdr:cNvPr id="1372" name="Imagen 137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8827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516</xdr:row>
      <xdr:rowOff>19050</xdr:rowOff>
    </xdr:from>
    <xdr:ext cx="847346" cy="121920"/>
    <xdr:pic>
      <xdr:nvPicPr>
        <xdr:cNvPr id="1373" name="Imagen 137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89800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517</xdr:row>
      <xdr:rowOff>19050</xdr:rowOff>
    </xdr:from>
    <xdr:ext cx="847346" cy="121920"/>
    <xdr:pic>
      <xdr:nvPicPr>
        <xdr:cNvPr id="1384" name="Imagen 138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132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518</xdr:row>
      <xdr:rowOff>19050</xdr:rowOff>
    </xdr:from>
    <xdr:ext cx="847346" cy="121920"/>
    <xdr:pic>
      <xdr:nvPicPr>
        <xdr:cNvPr id="1385" name="Imagen 138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284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520</xdr:row>
      <xdr:rowOff>19050</xdr:rowOff>
    </xdr:from>
    <xdr:ext cx="847346" cy="121920"/>
    <xdr:pic>
      <xdr:nvPicPr>
        <xdr:cNvPr id="1420" name="Imagen 141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437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521</xdr:row>
      <xdr:rowOff>19050</xdr:rowOff>
    </xdr:from>
    <xdr:ext cx="847346" cy="121920"/>
    <xdr:pic>
      <xdr:nvPicPr>
        <xdr:cNvPr id="1422" name="Imagen 142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695896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621</xdr:row>
      <xdr:rowOff>19050</xdr:rowOff>
    </xdr:from>
    <xdr:ext cx="847346" cy="121920"/>
    <xdr:pic>
      <xdr:nvPicPr>
        <xdr:cNvPr id="1421" name="Imagen 142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56245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197</xdr:row>
      <xdr:rowOff>19050</xdr:rowOff>
    </xdr:from>
    <xdr:to>
      <xdr:col>24</xdr:col>
      <xdr:colOff>47625</xdr:colOff>
      <xdr:row>197</xdr:row>
      <xdr:rowOff>142875</xdr:rowOff>
    </xdr:to>
    <xdr:pic>
      <xdr:nvPicPr>
        <xdr:cNvPr id="142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30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198</xdr:row>
      <xdr:rowOff>19050</xdr:rowOff>
    </xdr:from>
    <xdr:ext cx="819150" cy="123825"/>
    <xdr:pic>
      <xdr:nvPicPr>
        <xdr:cNvPr id="142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308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199</xdr:row>
      <xdr:rowOff>19050</xdr:rowOff>
    </xdr:from>
    <xdr:ext cx="819150" cy="123825"/>
    <xdr:pic>
      <xdr:nvPicPr>
        <xdr:cNvPr id="14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460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202</xdr:row>
      <xdr:rowOff>19050</xdr:rowOff>
    </xdr:from>
    <xdr:ext cx="819150" cy="123825"/>
    <xdr:pic>
      <xdr:nvPicPr>
        <xdr:cNvPr id="143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613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66675</xdr:colOff>
      <xdr:row>202</xdr:row>
      <xdr:rowOff>19050</xdr:rowOff>
    </xdr:from>
    <xdr:to>
      <xdr:col>26</xdr:col>
      <xdr:colOff>9524</xdr:colOff>
      <xdr:row>202</xdr:row>
      <xdr:rowOff>142875</xdr:rowOff>
    </xdr:to>
    <xdr:pic>
      <xdr:nvPicPr>
        <xdr:cNvPr id="1434" name="786 Imagen" descr="hasta 16 icono.png">
          <a:extLst>
            <a:ext uri="{FF2B5EF4-FFF2-40B4-BE49-F238E27FC236}">
              <a16:creationId xmlns:a16="http://schemas.microsoft.com/office/drawing/2014/main" id="{C7DA5D71-6A9E-47E3-8039-AB1076C054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28765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200</xdr:row>
      <xdr:rowOff>19050</xdr:rowOff>
    </xdr:from>
    <xdr:ext cx="819150" cy="123825"/>
    <xdr:pic>
      <xdr:nvPicPr>
        <xdr:cNvPr id="143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8613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201</xdr:row>
      <xdr:rowOff>19050</xdr:rowOff>
    </xdr:from>
    <xdr:ext cx="819150" cy="123825"/>
    <xdr:pic>
      <xdr:nvPicPr>
        <xdr:cNvPr id="129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9070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561</xdr:row>
      <xdr:rowOff>19050</xdr:rowOff>
    </xdr:from>
    <xdr:ext cx="819914" cy="121920"/>
    <xdr:pic>
      <xdr:nvPicPr>
        <xdr:cNvPr id="1425" name="Imagen 1424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4133075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169</xdr:row>
      <xdr:rowOff>19050</xdr:rowOff>
    </xdr:from>
    <xdr:to>
      <xdr:col>24</xdr:col>
      <xdr:colOff>47625</xdr:colOff>
      <xdr:row>169</xdr:row>
      <xdr:rowOff>142875</xdr:rowOff>
    </xdr:to>
    <xdr:pic>
      <xdr:nvPicPr>
        <xdr:cNvPr id="143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5260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287</xdr:row>
      <xdr:rowOff>19050</xdr:rowOff>
    </xdr:from>
    <xdr:ext cx="819150" cy="123825"/>
    <xdr:pic>
      <xdr:nvPicPr>
        <xdr:cNvPr id="1283" name="644 Imagen" descr="seri icono.png">
          <a:extLst>
            <a:ext uri="{FF2B5EF4-FFF2-40B4-BE49-F238E27FC236}">
              <a16:creationId xmlns:a16="http://schemas.microsoft.com/office/drawing/2014/main" id="{40E98DEB-CF6F-461C-8332-16587C866D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319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287</xdr:row>
      <xdr:rowOff>19050</xdr:rowOff>
    </xdr:from>
    <xdr:ext cx="819150" cy="123825"/>
    <xdr:pic>
      <xdr:nvPicPr>
        <xdr:cNvPr id="128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39319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449</xdr:row>
      <xdr:rowOff>19050</xdr:rowOff>
    </xdr:from>
    <xdr:ext cx="819150" cy="125505"/>
    <xdr:pic>
      <xdr:nvPicPr>
        <xdr:cNvPr id="1424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303645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59</xdr:row>
      <xdr:rowOff>19050</xdr:rowOff>
    </xdr:from>
    <xdr:ext cx="819150" cy="123825"/>
    <xdr:pic>
      <xdr:nvPicPr>
        <xdr:cNvPr id="1261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59</xdr:row>
      <xdr:rowOff>19050</xdr:rowOff>
    </xdr:from>
    <xdr:ext cx="819150" cy="123825"/>
    <xdr:pic>
      <xdr:nvPicPr>
        <xdr:cNvPr id="1294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440</xdr:row>
      <xdr:rowOff>19050</xdr:rowOff>
    </xdr:from>
    <xdr:to>
      <xdr:col>24</xdr:col>
      <xdr:colOff>47625</xdr:colOff>
      <xdr:row>440</xdr:row>
      <xdr:rowOff>142875</xdr:rowOff>
    </xdr:to>
    <xdr:pic>
      <xdr:nvPicPr>
        <xdr:cNvPr id="1452" name="306 Imagen" descr="laser icono.png">
          <a:extLst>
            <a:ext uri="{FF2B5EF4-FFF2-40B4-BE49-F238E27FC236}">
              <a16:creationId xmlns:a16="http://schemas.microsoft.com/office/drawing/2014/main" id="{154362FE-74D2-4FE9-BCA8-1BFDFA4EB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22744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577</xdr:row>
      <xdr:rowOff>19050</xdr:rowOff>
    </xdr:from>
    <xdr:to>
      <xdr:col>24</xdr:col>
      <xdr:colOff>47625</xdr:colOff>
      <xdr:row>577</xdr:row>
      <xdr:rowOff>144555</xdr:rowOff>
    </xdr:to>
    <xdr:pic>
      <xdr:nvPicPr>
        <xdr:cNvPr id="1110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68191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575</xdr:row>
      <xdr:rowOff>19050</xdr:rowOff>
    </xdr:from>
    <xdr:to>
      <xdr:col>24</xdr:col>
      <xdr:colOff>47625</xdr:colOff>
      <xdr:row>575</xdr:row>
      <xdr:rowOff>144555</xdr:rowOff>
    </xdr:to>
    <xdr:pic>
      <xdr:nvPicPr>
        <xdr:cNvPr id="1453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62095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570</xdr:row>
      <xdr:rowOff>19050</xdr:rowOff>
    </xdr:from>
    <xdr:to>
      <xdr:col>24</xdr:col>
      <xdr:colOff>47625</xdr:colOff>
      <xdr:row>570</xdr:row>
      <xdr:rowOff>144555</xdr:rowOff>
    </xdr:to>
    <xdr:pic>
      <xdr:nvPicPr>
        <xdr:cNvPr id="1455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5904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560</xdr:row>
      <xdr:rowOff>19050</xdr:rowOff>
    </xdr:from>
    <xdr:to>
      <xdr:col>24</xdr:col>
      <xdr:colOff>47625</xdr:colOff>
      <xdr:row>560</xdr:row>
      <xdr:rowOff>144555</xdr:rowOff>
    </xdr:to>
    <xdr:pic>
      <xdr:nvPicPr>
        <xdr:cNvPr id="1457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4380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553</xdr:row>
      <xdr:rowOff>19050</xdr:rowOff>
    </xdr:from>
    <xdr:to>
      <xdr:col>24</xdr:col>
      <xdr:colOff>47625</xdr:colOff>
      <xdr:row>553</xdr:row>
      <xdr:rowOff>144555</xdr:rowOff>
    </xdr:to>
    <xdr:pic>
      <xdr:nvPicPr>
        <xdr:cNvPr id="1458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40759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24</xdr:col>
      <xdr:colOff>76200</xdr:colOff>
      <xdr:row>324</xdr:row>
      <xdr:rowOff>19050</xdr:rowOff>
    </xdr:from>
    <xdr:ext cx="502920" cy="121920"/>
    <xdr:pic>
      <xdr:nvPicPr>
        <xdr:cNvPr id="1464" name="Imagen 1463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6177200"/>
          <a:ext cx="502920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324</xdr:row>
      <xdr:rowOff>19050</xdr:rowOff>
    </xdr:from>
    <xdr:ext cx="828675" cy="123825"/>
    <xdr:pic>
      <xdr:nvPicPr>
        <xdr:cNvPr id="1465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0152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180</xdr:row>
      <xdr:rowOff>19050</xdr:rowOff>
    </xdr:from>
    <xdr:to>
      <xdr:col>24</xdr:col>
      <xdr:colOff>47625</xdr:colOff>
      <xdr:row>180</xdr:row>
      <xdr:rowOff>142875</xdr:rowOff>
    </xdr:to>
    <xdr:pic>
      <xdr:nvPicPr>
        <xdr:cNvPr id="11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022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183</xdr:row>
      <xdr:rowOff>19050</xdr:rowOff>
    </xdr:from>
    <xdr:to>
      <xdr:col>24</xdr:col>
      <xdr:colOff>47625</xdr:colOff>
      <xdr:row>183</xdr:row>
      <xdr:rowOff>142875</xdr:rowOff>
    </xdr:to>
    <xdr:pic>
      <xdr:nvPicPr>
        <xdr:cNvPr id="1149" name="799 Imagen" descr="laser fibra icono.png">
          <a:extLst>
            <a:ext uri="{FF2B5EF4-FFF2-40B4-BE49-F238E27FC236}">
              <a16:creationId xmlns:a16="http://schemas.microsoft.com/office/drawing/2014/main" id="{EDD32002-13BF-4860-8699-927BE3045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327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188</xdr:row>
      <xdr:rowOff>19050</xdr:rowOff>
    </xdr:from>
    <xdr:to>
      <xdr:col>24</xdr:col>
      <xdr:colOff>47625</xdr:colOff>
      <xdr:row>188</xdr:row>
      <xdr:rowOff>142875</xdr:rowOff>
    </xdr:to>
    <xdr:pic>
      <xdr:nvPicPr>
        <xdr:cNvPr id="144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936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191</xdr:row>
      <xdr:rowOff>19050</xdr:rowOff>
    </xdr:from>
    <xdr:to>
      <xdr:col>24</xdr:col>
      <xdr:colOff>47625</xdr:colOff>
      <xdr:row>191</xdr:row>
      <xdr:rowOff>142875</xdr:rowOff>
    </xdr:to>
    <xdr:pic>
      <xdr:nvPicPr>
        <xdr:cNvPr id="1467" name="798 Imagen" descr="laser un lado icono.png">
          <a:extLst>
            <a:ext uri="{FF2B5EF4-FFF2-40B4-BE49-F238E27FC236}">
              <a16:creationId xmlns:a16="http://schemas.microsoft.com/office/drawing/2014/main" id="{FEE13A0F-A7C3-4C88-B5E4-92FB9A0A5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7393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190</xdr:row>
      <xdr:rowOff>19050</xdr:rowOff>
    </xdr:from>
    <xdr:to>
      <xdr:col>24</xdr:col>
      <xdr:colOff>47625</xdr:colOff>
      <xdr:row>190</xdr:row>
      <xdr:rowOff>142875</xdr:rowOff>
    </xdr:to>
    <xdr:pic>
      <xdr:nvPicPr>
        <xdr:cNvPr id="1468" name="800 Imagen" descr="laser fibra icono.png">
          <a:extLst>
            <a:ext uri="{FF2B5EF4-FFF2-40B4-BE49-F238E27FC236}">
              <a16:creationId xmlns:a16="http://schemas.microsoft.com/office/drawing/2014/main" id="{0C26C14E-6138-4998-9C48-BA277F11F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7241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187</xdr:row>
      <xdr:rowOff>19050</xdr:rowOff>
    </xdr:from>
    <xdr:to>
      <xdr:col>24</xdr:col>
      <xdr:colOff>47625</xdr:colOff>
      <xdr:row>187</xdr:row>
      <xdr:rowOff>142875</xdr:rowOff>
    </xdr:to>
    <xdr:pic>
      <xdr:nvPicPr>
        <xdr:cNvPr id="1469" name="800 Imagen" descr="laser fibra icono.png">
          <a:extLst>
            <a:ext uri="{FF2B5EF4-FFF2-40B4-BE49-F238E27FC236}">
              <a16:creationId xmlns:a16="http://schemas.microsoft.com/office/drawing/2014/main" id="{0C26C14E-6138-4998-9C48-BA277F11F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6784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</xdr:colOff>
      <xdr:row>515</xdr:row>
      <xdr:rowOff>19050</xdr:rowOff>
    </xdr:from>
    <xdr:to>
      <xdr:col>11</xdr:col>
      <xdr:colOff>9525</xdr:colOff>
      <xdr:row>515</xdr:row>
      <xdr:rowOff>142875</xdr:rowOff>
    </xdr:to>
    <xdr:pic>
      <xdr:nvPicPr>
        <xdr:cNvPr id="129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74656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</xdr:colOff>
      <xdr:row>516</xdr:row>
      <xdr:rowOff>19050</xdr:rowOff>
    </xdr:from>
    <xdr:to>
      <xdr:col>11</xdr:col>
      <xdr:colOff>9525</xdr:colOff>
      <xdr:row>516</xdr:row>
      <xdr:rowOff>142875</xdr:rowOff>
    </xdr:to>
    <xdr:pic>
      <xdr:nvPicPr>
        <xdr:cNvPr id="132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74809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</xdr:colOff>
      <xdr:row>517</xdr:row>
      <xdr:rowOff>19050</xdr:rowOff>
    </xdr:from>
    <xdr:to>
      <xdr:col>11</xdr:col>
      <xdr:colOff>9525</xdr:colOff>
      <xdr:row>517</xdr:row>
      <xdr:rowOff>142875</xdr:rowOff>
    </xdr:to>
    <xdr:pic>
      <xdr:nvPicPr>
        <xdr:cNvPr id="135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749617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</xdr:colOff>
      <xdr:row>518</xdr:row>
      <xdr:rowOff>19050</xdr:rowOff>
    </xdr:from>
    <xdr:to>
      <xdr:col>11</xdr:col>
      <xdr:colOff>9525</xdr:colOff>
      <xdr:row>518</xdr:row>
      <xdr:rowOff>142875</xdr:rowOff>
    </xdr:to>
    <xdr:pic>
      <xdr:nvPicPr>
        <xdr:cNvPr id="138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751141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</xdr:colOff>
      <xdr:row>520</xdr:row>
      <xdr:rowOff>19050</xdr:rowOff>
    </xdr:from>
    <xdr:to>
      <xdr:col>11</xdr:col>
      <xdr:colOff>9525</xdr:colOff>
      <xdr:row>520</xdr:row>
      <xdr:rowOff>142875</xdr:rowOff>
    </xdr:to>
    <xdr:pic>
      <xdr:nvPicPr>
        <xdr:cNvPr id="141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754189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9525</xdr:colOff>
      <xdr:row>521</xdr:row>
      <xdr:rowOff>19050</xdr:rowOff>
    </xdr:from>
    <xdr:to>
      <xdr:col>11</xdr:col>
      <xdr:colOff>9525</xdr:colOff>
      <xdr:row>521</xdr:row>
      <xdr:rowOff>142875</xdr:rowOff>
    </xdr:to>
    <xdr:pic>
      <xdr:nvPicPr>
        <xdr:cNvPr id="141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5" y="75571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282</xdr:row>
      <xdr:rowOff>19050</xdr:rowOff>
    </xdr:from>
    <xdr:ext cx="819150" cy="123825"/>
    <xdr:pic>
      <xdr:nvPicPr>
        <xdr:cNvPr id="1475" name="659 Imagen" descr="seri icono.png">
          <a:extLst>
            <a:ext uri="{FF2B5EF4-FFF2-40B4-BE49-F238E27FC236}">
              <a16:creationId xmlns:a16="http://schemas.microsoft.com/office/drawing/2014/main" id="{CFC55181-40DC-4BCF-8415-11762553D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5918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282</xdr:row>
      <xdr:rowOff>19050</xdr:rowOff>
    </xdr:from>
    <xdr:ext cx="819150" cy="123825"/>
    <xdr:pic>
      <xdr:nvPicPr>
        <xdr:cNvPr id="147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81975" y="35918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612</xdr:row>
      <xdr:rowOff>19050</xdr:rowOff>
    </xdr:from>
    <xdr:ext cx="847346" cy="121920"/>
    <xdr:pic>
      <xdr:nvPicPr>
        <xdr:cNvPr id="964" name="Imagen 96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0238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613</xdr:row>
      <xdr:rowOff>19050</xdr:rowOff>
    </xdr:from>
    <xdr:ext cx="847346" cy="121920"/>
    <xdr:pic>
      <xdr:nvPicPr>
        <xdr:cNvPr id="1053" name="Imagen 105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03910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210</xdr:row>
      <xdr:rowOff>19050</xdr:rowOff>
    </xdr:from>
    <xdr:ext cx="819150" cy="123825"/>
    <xdr:pic>
      <xdr:nvPicPr>
        <xdr:cNvPr id="147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058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538</xdr:row>
      <xdr:rowOff>19050</xdr:rowOff>
    </xdr:from>
    <xdr:ext cx="847346" cy="121920"/>
    <xdr:pic>
      <xdr:nvPicPr>
        <xdr:cNvPr id="999" name="Imagen 99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24757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651</xdr:row>
      <xdr:rowOff>19050</xdr:rowOff>
    </xdr:from>
    <xdr:ext cx="847346" cy="121920"/>
    <xdr:pic>
      <xdr:nvPicPr>
        <xdr:cNvPr id="982" name="Imagen 98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4048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652</xdr:row>
      <xdr:rowOff>19050</xdr:rowOff>
    </xdr:from>
    <xdr:ext cx="847346" cy="121920"/>
    <xdr:pic>
      <xdr:nvPicPr>
        <xdr:cNvPr id="1076" name="Imagen 107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42010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551</xdr:row>
      <xdr:rowOff>19050</xdr:rowOff>
    </xdr:from>
    <xdr:ext cx="819150" cy="125505"/>
    <xdr:pic>
      <xdr:nvPicPr>
        <xdr:cNvPr id="1449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745331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552</xdr:row>
      <xdr:rowOff>19050</xdr:rowOff>
    </xdr:from>
    <xdr:ext cx="819914" cy="121920"/>
    <xdr:pic>
      <xdr:nvPicPr>
        <xdr:cNvPr id="1479" name="Imagen 1478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4523600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552</xdr:row>
      <xdr:rowOff>19050</xdr:rowOff>
    </xdr:from>
    <xdr:ext cx="463297" cy="121920"/>
    <xdr:pic>
      <xdr:nvPicPr>
        <xdr:cNvPr id="1483" name="Imagen 1482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50" y="74523600"/>
          <a:ext cx="463297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562</xdr:row>
      <xdr:rowOff>19050</xdr:rowOff>
    </xdr:from>
    <xdr:ext cx="819914" cy="121920"/>
    <xdr:pic>
      <xdr:nvPicPr>
        <xdr:cNvPr id="1491" name="Imagen 1490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74523600"/>
          <a:ext cx="819914" cy="121920"/>
        </a:xfrm>
        <a:prstGeom prst="rect">
          <a:avLst/>
        </a:prstGeom>
      </xdr:spPr>
    </xdr:pic>
    <xdr:clientData/>
  </xdr:oneCellAnchor>
  <xdr:twoCellAnchor editAs="absolute">
    <xdr:from>
      <xdr:col>6</xdr:col>
      <xdr:colOff>126310</xdr:colOff>
      <xdr:row>488</xdr:row>
      <xdr:rowOff>76200</xdr:rowOff>
    </xdr:from>
    <xdr:to>
      <xdr:col>14</xdr:col>
      <xdr:colOff>172693</xdr:colOff>
      <xdr:row>495</xdr:row>
      <xdr:rowOff>9525</xdr:rowOff>
    </xdr:to>
    <xdr:sp macro="" textlink="">
      <xdr:nvSpPr>
        <xdr:cNvPr id="11" name="Text Box 29" hidden="1"/>
        <xdr:cNvSpPr txBox="1">
          <a:spLocks noChangeArrowheads="1"/>
        </xdr:cNvSpPr>
      </xdr:nvSpPr>
      <xdr:spPr bwMode="auto">
        <a:xfrm>
          <a:off x="3390900" y="75171300"/>
          <a:ext cx="1714500" cy="100012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oneCellAnchor>
    <xdr:from>
      <xdr:col>23</xdr:col>
      <xdr:colOff>9525</xdr:colOff>
      <xdr:row>573</xdr:row>
      <xdr:rowOff>19050</xdr:rowOff>
    </xdr:from>
    <xdr:ext cx="819150" cy="125505"/>
    <xdr:pic>
      <xdr:nvPicPr>
        <xdr:cNvPr id="1478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62000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574</xdr:row>
      <xdr:rowOff>19050</xdr:rowOff>
    </xdr:from>
    <xdr:to>
      <xdr:col>24</xdr:col>
      <xdr:colOff>48389</xdr:colOff>
      <xdr:row>574</xdr:row>
      <xdr:rowOff>140970</xdr:rowOff>
    </xdr:to>
    <xdr:pic>
      <xdr:nvPicPr>
        <xdr:cNvPr id="1488" name="Imagen 1487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6352400"/>
          <a:ext cx="819914" cy="121920"/>
        </a:xfrm>
        <a:prstGeom prst="rect">
          <a:avLst/>
        </a:prstGeom>
      </xdr:spPr>
    </xdr:pic>
    <xdr:clientData/>
  </xdr:twoCellAnchor>
  <xdr:twoCellAnchor editAs="oneCell">
    <xdr:from>
      <xdr:col>23</xdr:col>
      <xdr:colOff>9525</xdr:colOff>
      <xdr:row>431</xdr:row>
      <xdr:rowOff>19050</xdr:rowOff>
    </xdr:from>
    <xdr:to>
      <xdr:col>24</xdr:col>
      <xdr:colOff>47625</xdr:colOff>
      <xdr:row>431</xdr:row>
      <xdr:rowOff>142875</xdr:rowOff>
    </xdr:to>
    <xdr:pic>
      <xdr:nvPicPr>
        <xdr:cNvPr id="150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0388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360</xdr:row>
      <xdr:rowOff>19050</xdr:rowOff>
    </xdr:from>
    <xdr:to>
      <xdr:col>24</xdr:col>
      <xdr:colOff>47625</xdr:colOff>
      <xdr:row>360</xdr:row>
      <xdr:rowOff>142875</xdr:rowOff>
    </xdr:to>
    <xdr:pic>
      <xdr:nvPicPr>
        <xdr:cNvPr id="152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701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355</xdr:row>
      <xdr:rowOff>19050</xdr:rowOff>
    </xdr:from>
    <xdr:to>
      <xdr:col>24</xdr:col>
      <xdr:colOff>47625</xdr:colOff>
      <xdr:row>355</xdr:row>
      <xdr:rowOff>142875</xdr:rowOff>
    </xdr:to>
    <xdr:pic>
      <xdr:nvPicPr>
        <xdr:cNvPr id="152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0787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356</xdr:row>
      <xdr:rowOff>19050</xdr:rowOff>
    </xdr:from>
    <xdr:to>
      <xdr:col>24</xdr:col>
      <xdr:colOff>47625</xdr:colOff>
      <xdr:row>356</xdr:row>
      <xdr:rowOff>142875</xdr:rowOff>
    </xdr:to>
    <xdr:pic>
      <xdr:nvPicPr>
        <xdr:cNvPr id="152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0939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369</xdr:row>
      <xdr:rowOff>19050</xdr:rowOff>
    </xdr:from>
    <xdr:to>
      <xdr:col>24</xdr:col>
      <xdr:colOff>47625</xdr:colOff>
      <xdr:row>369</xdr:row>
      <xdr:rowOff>142875</xdr:rowOff>
    </xdr:to>
    <xdr:pic>
      <xdr:nvPicPr>
        <xdr:cNvPr id="152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920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370</xdr:row>
      <xdr:rowOff>19050</xdr:rowOff>
    </xdr:from>
    <xdr:to>
      <xdr:col>24</xdr:col>
      <xdr:colOff>47625</xdr:colOff>
      <xdr:row>370</xdr:row>
      <xdr:rowOff>142875</xdr:rowOff>
    </xdr:to>
    <xdr:pic>
      <xdr:nvPicPr>
        <xdr:cNvPr id="15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3073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371</xdr:row>
      <xdr:rowOff>19050</xdr:rowOff>
    </xdr:from>
    <xdr:to>
      <xdr:col>24</xdr:col>
      <xdr:colOff>47625</xdr:colOff>
      <xdr:row>371</xdr:row>
      <xdr:rowOff>142875</xdr:rowOff>
    </xdr:to>
    <xdr:pic>
      <xdr:nvPicPr>
        <xdr:cNvPr id="152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3225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400</xdr:row>
      <xdr:rowOff>19050</xdr:rowOff>
    </xdr:from>
    <xdr:to>
      <xdr:col>24</xdr:col>
      <xdr:colOff>47625</xdr:colOff>
      <xdr:row>400</xdr:row>
      <xdr:rowOff>142875</xdr:rowOff>
    </xdr:to>
    <xdr:pic>
      <xdr:nvPicPr>
        <xdr:cNvPr id="152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816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392</xdr:row>
      <xdr:rowOff>19050</xdr:rowOff>
    </xdr:from>
    <xdr:to>
      <xdr:col>24</xdr:col>
      <xdr:colOff>47625</xdr:colOff>
      <xdr:row>392</xdr:row>
      <xdr:rowOff>142875</xdr:rowOff>
    </xdr:to>
    <xdr:pic>
      <xdr:nvPicPr>
        <xdr:cNvPr id="153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359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393</xdr:row>
      <xdr:rowOff>19050</xdr:rowOff>
    </xdr:from>
    <xdr:to>
      <xdr:col>24</xdr:col>
      <xdr:colOff>47625</xdr:colOff>
      <xdr:row>393</xdr:row>
      <xdr:rowOff>142875</xdr:rowOff>
    </xdr:to>
    <xdr:pic>
      <xdr:nvPicPr>
        <xdr:cNvPr id="15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511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394</xdr:row>
      <xdr:rowOff>19050</xdr:rowOff>
    </xdr:from>
    <xdr:to>
      <xdr:col>24</xdr:col>
      <xdr:colOff>47625</xdr:colOff>
      <xdr:row>394</xdr:row>
      <xdr:rowOff>142875</xdr:rowOff>
    </xdr:to>
    <xdr:pic>
      <xdr:nvPicPr>
        <xdr:cNvPr id="153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5664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402</xdr:row>
      <xdr:rowOff>19050</xdr:rowOff>
    </xdr:from>
    <xdr:to>
      <xdr:col>24</xdr:col>
      <xdr:colOff>47625</xdr:colOff>
      <xdr:row>402</xdr:row>
      <xdr:rowOff>142875</xdr:rowOff>
    </xdr:to>
    <xdr:pic>
      <xdr:nvPicPr>
        <xdr:cNvPr id="153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6121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429</xdr:row>
      <xdr:rowOff>19050</xdr:rowOff>
    </xdr:from>
    <xdr:to>
      <xdr:col>24</xdr:col>
      <xdr:colOff>47625</xdr:colOff>
      <xdr:row>429</xdr:row>
      <xdr:rowOff>142875</xdr:rowOff>
    </xdr:to>
    <xdr:pic>
      <xdr:nvPicPr>
        <xdr:cNvPr id="10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778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430</xdr:row>
      <xdr:rowOff>19050</xdr:rowOff>
    </xdr:from>
    <xdr:to>
      <xdr:col>24</xdr:col>
      <xdr:colOff>47625</xdr:colOff>
      <xdr:row>430</xdr:row>
      <xdr:rowOff>142875</xdr:rowOff>
    </xdr:to>
    <xdr:pic>
      <xdr:nvPicPr>
        <xdr:cNvPr id="103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9931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8283</xdr:colOff>
      <xdr:row>423</xdr:row>
      <xdr:rowOff>16566</xdr:rowOff>
    </xdr:from>
    <xdr:to>
      <xdr:col>24</xdr:col>
      <xdr:colOff>46383</xdr:colOff>
      <xdr:row>423</xdr:row>
      <xdr:rowOff>140391</xdr:rowOff>
    </xdr:to>
    <xdr:pic>
      <xdr:nvPicPr>
        <xdr:cNvPr id="92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2131" y="57829175"/>
          <a:ext cx="8166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91</xdr:row>
      <xdr:rowOff>19050</xdr:rowOff>
    </xdr:from>
    <xdr:to>
      <xdr:col>10</xdr:col>
      <xdr:colOff>2173</xdr:colOff>
      <xdr:row>91</xdr:row>
      <xdr:rowOff>142875</xdr:rowOff>
    </xdr:to>
    <xdr:pic>
      <xdr:nvPicPr>
        <xdr:cNvPr id="1047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5883" y="14220825"/>
          <a:ext cx="8225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92</xdr:row>
      <xdr:rowOff>16566</xdr:rowOff>
    </xdr:from>
    <xdr:to>
      <xdr:col>10</xdr:col>
      <xdr:colOff>2173</xdr:colOff>
      <xdr:row>92</xdr:row>
      <xdr:rowOff>140391</xdr:rowOff>
    </xdr:to>
    <xdr:pic>
      <xdr:nvPicPr>
        <xdr:cNvPr id="1056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5883" y="14370741"/>
          <a:ext cx="8225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8283</xdr:colOff>
      <xdr:row>93</xdr:row>
      <xdr:rowOff>16566</xdr:rowOff>
    </xdr:from>
    <xdr:to>
      <xdr:col>10</xdr:col>
      <xdr:colOff>2173</xdr:colOff>
      <xdr:row>93</xdr:row>
      <xdr:rowOff>140391</xdr:rowOff>
    </xdr:to>
    <xdr:pic>
      <xdr:nvPicPr>
        <xdr:cNvPr id="1128" name="958 Imagen" descr="CONSULTAR ICONO.png">
          <a:extLst>
            <a:ext uri="{FF2B5EF4-FFF2-40B4-BE49-F238E27FC236}">
              <a16:creationId xmlns:a16="http://schemas.microsoft.com/office/drawing/2014/main" id="{29D468AD-F7E7-44B9-9EF6-C3162FD505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5358" y="14675541"/>
          <a:ext cx="8225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139</xdr:row>
      <xdr:rowOff>19050</xdr:rowOff>
    </xdr:from>
    <xdr:to>
      <xdr:col>10</xdr:col>
      <xdr:colOff>1</xdr:colOff>
      <xdr:row>139</xdr:row>
      <xdr:rowOff>142875</xdr:rowOff>
    </xdr:to>
    <xdr:pic>
      <xdr:nvPicPr>
        <xdr:cNvPr id="118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2092642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140</xdr:row>
      <xdr:rowOff>19050</xdr:rowOff>
    </xdr:from>
    <xdr:to>
      <xdr:col>10</xdr:col>
      <xdr:colOff>1</xdr:colOff>
      <xdr:row>140</xdr:row>
      <xdr:rowOff>142875</xdr:rowOff>
    </xdr:to>
    <xdr:pic>
      <xdr:nvPicPr>
        <xdr:cNvPr id="1188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16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141</xdr:row>
      <xdr:rowOff>19050</xdr:rowOff>
    </xdr:from>
    <xdr:to>
      <xdr:col>10</xdr:col>
      <xdr:colOff>1</xdr:colOff>
      <xdr:row>141</xdr:row>
      <xdr:rowOff>142875</xdr:rowOff>
    </xdr:to>
    <xdr:pic>
      <xdr:nvPicPr>
        <xdr:cNvPr id="1192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316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9525</xdr:colOff>
      <xdr:row>142</xdr:row>
      <xdr:rowOff>19050</xdr:rowOff>
    </xdr:from>
    <xdr:to>
      <xdr:col>10</xdr:col>
      <xdr:colOff>1</xdr:colOff>
      <xdr:row>142</xdr:row>
      <xdr:rowOff>142875</xdr:rowOff>
    </xdr:to>
    <xdr:pic>
      <xdr:nvPicPr>
        <xdr:cNvPr id="1203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2046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8283</xdr:colOff>
      <xdr:row>388</xdr:row>
      <xdr:rowOff>16566</xdr:rowOff>
    </xdr:from>
    <xdr:to>
      <xdr:col>24</xdr:col>
      <xdr:colOff>46383</xdr:colOff>
      <xdr:row>388</xdr:row>
      <xdr:rowOff>140391</xdr:rowOff>
    </xdr:to>
    <xdr:pic>
      <xdr:nvPicPr>
        <xdr:cNvPr id="102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1826" y="53803827"/>
          <a:ext cx="81666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8283</xdr:colOff>
      <xdr:row>299</xdr:row>
      <xdr:rowOff>16566</xdr:rowOff>
    </xdr:from>
    <xdr:ext cx="819150" cy="123825"/>
    <xdr:pic>
      <xdr:nvPicPr>
        <xdr:cNvPr id="1208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1826" y="42398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74958</xdr:colOff>
      <xdr:row>299</xdr:row>
      <xdr:rowOff>16566</xdr:rowOff>
    </xdr:from>
    <xdr:to>
      <xdr:col>25</xdr:col>
      <xdr:colOff>82577</xdr:colOff>
      <xdr:row>299</xdr:row>
      <xdr:rowOff>138486</xdr:rowOff>
    </xdr:to>
    <xdr:pic>
      <xdr:nvPicPr>
        <xdr:cNvPr id="1209" name="Imagen 1208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7067" y="42398675"/>
          <a:ext cx="504576" cy="121920"/>
        </a:xfrm>
        <a:prstGeom prst="rect">
          <a:avLst/>
        </a:prstGeom>
      </xdr:spPr>
    </xdr:pic>
    <xdr:clientData/>
  </xdr:twoCellAnchor>
  <xdr:twoCellAnchor editAs="oneCell">
    <xdr:from>
      <xdr:col>23</xdr:col>
      <xdr:colOff>9525</xdr:colOff>
      <xdr:row>367</xdr:row>
      <xdr:rowOff>19050</xdr:rowOff>
    </xdr:from>
    <xdr:to>
      <xdr:col>24</xdr:col>
      <xdr:colOff>47625</xdr:colOff>
      <xdr:row>367</xdr:row>
      <xdr:rowOff>142875</xdr:rowOff>
    </xdr:to>
    <xdr:pic>
      <xdr:nvPicPr>
        <xdr:cNvPr id="93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768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368</xdr:row>
      <xdr:rowOff>19050</xdr:rowOff>
    </xdr:from>
    <xdr:to>
      <xdr:col>24</xdr:col>
      <xdr:colOff>47625</xdr:colOff>
      <xdr:row>368</xdr:row>
      <xdr:rowOff>142875</xdr:rowOff>
    </xdr:to>
    <xdr:pic>
      <xdr:nvPicPr>
        <xdr:cNvPr id="95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920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365</xdr:row>
      <xdr:rowOff>19050</xdr:rowOff>
    </xdr:from>
    <xdr:to>
      <xdr:col>24</xdr:col>
      <xdr:colOff>47625</xdr:colOff>
      <xdr:row>365</xdr:row>
      <xdr:rowOff>142875</xdr:rowOff>
    </xdr:to>
    <xdr:pic>
      <xdr:nvPicPr>
        <xdr:cNvPr id="95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2463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161</xdr:row>
      <xdr:rowOff>19050</xdr:rowOff>
    </xdr:from>
    <xdr:to>
      <xdr:col>24</xdr:col>
      <xdr:colOff>47625</xdr:colOff>
      <xdr:row>161</xdr:row>
      <xdr:rowOff>142875</xdr:rowOff>
    </xdr:to>
    <xdr:pic>
      <xdr:nvPicPr>
        <xdr:cNvPr id="99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306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763</xdr:row>
      <xdr:rowOff>19050</xdr:rowOff>
    </xdr:from>
    <xdr:to>
      <xdr:col>13</xdr:col>
      <xdr:colOff>1</xdr:colOff>
      <xdr:row>763</xdr:row>
      <xdr:rowOff>142875</xdr:rowOff>
    </xdr:to>
    <xdr:pic>
      <xdr:nvPicPr>
        <xdr:cNvPr id="1011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0" y="1005363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764</xdr:row>
      <xdr:rowOff>19050</xdr:rowOff>
    </xdr:from>
    <xdr:to>
      <xdr:col>13</xdr:col>
      <xdr:colOff>1</xdr:colOff>
      <xdr:row>764</xdr:row>
      <xdr:rowOff>142875</xdr:rowOff>
    </xdr:to>
    <xdr:pic>
      <xdr:nvPicPr>
        <xdr:cNvPr id="1040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0" y="1006887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0</xdr:colOff>
      <xdr:row>765</xdr:row>
      <xdr:rowOff>19050</xdr:rowOff>
    </xdr:from>
    <xdr:to>
      <xdr:col>13</xdr:col>
      <xdr:colOff>1</xdr:colOff>
      <xdr:row>765</xdr:row>
      <xdr:rowOff>142875</xdr:rowOff>
    </xdr:to>
    <xdr:pic>
      <xdr:nvPicPr>
        <xdr:cNvPr id="1045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0" y="1008411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405</xdr:row>
      <xdr:rowOff>19050</xdr:rowOff>
    </xdr:from>
    <xdr:ext cx="819149" cy="123825"/>
    <xdr:pic>
      <xdr:nvPicPr>
        <xdr:cNvPr id="108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62737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488</xdr:row>
      <xdr:rowOff>19050</xdr:rowOff>
    </xdr:from>
    <xdr:to>
      <xdr:col>24</xdr:col>
      <xdr:colOff>47625</xdr:colOff>
      <xdr:row>488</xdr:row>
      <xdr:rowOff>144555</xdr:rowOff>
    </xdr:to>
    <xdr:pic>
      <xdr:nvPicPr>
        <xdr:cNvPr id="1217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83609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98</xdr:row>
      <xdr:rowOff>19050</xdr:rowOff>
    </xdr:from>
    <xdr:ext cx="819150" cy="123825"/>
    <xdr:pic>
      <xdr:nvPicPr>
        <xdr:cNvPr id="122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635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642</xdr:row>
      <xdr:rowOff>19050</xdr:rowOff>
    </xdr:from>
    <xdr:ext cx="847346" cy="121920"/>
    <xdr:pic>
      <xdr:nvPicPr>
        <xdr:cNvPr id="1222" name="Imagen 122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4353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404</xdr:row>
      <xdr:rowOff>19050</xdr:rowOff>
    </xdr:from>
    <xdr:ext cx="819149" cy="123825"/>
    <xdr:pic>
      <xdr:nvPicPr>
        <xdr:cNvPr id="96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61213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550</xdr:row>
      <xdr:rowOff>19050</xdr:rowOff>
    </xdr:from>
    <xdr:ext cx="819914" cy="121920"/>
    <xdr:pic>
      <xdr:nvPicPr>
        <xdr:cNvPr id="1233" name="Imagen 1232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4380725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550</xdr:row>
      <xdr:rowOff>19050</xdr:rowOff>
    </xdr:from>
    <xdr:ext cx="463297" cy="121920"/>
    <xdr:pic>
      <xdr:nvPicPr>
        <xdr:cNvPr id="1234" name="Imagen 1233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400" y="74380725"/>
          <a:ext cx="463297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568</xdr:row>
      <xdr:rowOff>19050</xdr:rowOff>
    </xdr:from>
    <xdr:ext cx="819914" cy="121920"/>
    <xdr:pic>
      <xdr:nvPicPr>
        <xdr:cNvPr id="1087" name="Imagen 1086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5742800"/>
          <a:ext cx="819914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567</xdr:row>
      <xdr:rowOff>19050</xdr:rowOff>
    </xdr:from>
    <xdr:to>
      <xdr:col>24</xdr:col>
      <xdr:colOff>47625</xdr:colOff>
      <xdr:row>567</xdr:row>
      <xdr:rowOff>144555</xdr:rowOff>
    </xdr:to>
    <xdr:pic>
      <xdr:nvPicPr>
        <xdr:cNvPr id="1094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57428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95</xdr:row>
      <xdr:rowOff>19050</xdr:rowOff>
    </xdr:from>
    <xdr:ext cx="819150" cy="123825"/>
    <xdr:pic>
      <xdr:nvPicPr>
        <xdr:cNvPr id="108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4982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</xdr:row>
      <xdr:rowOff>19050</xdr:rowOff>
    </xdr:from>
    <xdr:ext cx="819149" cy="123825"/>
    <xdr:pic>
      <xdr:nvPicPr>
        <xdr:cNvPr id="113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8768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167</xdr:row>
      <xdr:rowOff>19050</xdr:rowOff>
    </xdr:from>
    <xdr:to>
      <xdr:col>24</xdr:col>
      <xdr:colOff>47625</xdr:colOff>
      <xdr:row>167</xdr:row>
      <xdr:rowOff>142875</xdr:rowOff>
    </xdr:to>
    <xdr:pic>
      <xdr:nvPicPr>
        <xdr:cNvPr id="114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3822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354</xdr:row>
      <xdr:rowOff>19050</xdr:rowOff>
    </xdr:from>
    <xdr:to>
      <xdr:col>24</xdr:col>
      <xdr:colOff>47625</xdr:colOff>
      <xdr:row>354</xdr:row>
      <xdr:rowOff>142875</xdr:rowOff>
    </xdr:to>
    <xdr:pic>
      <xdr:nvPicPr>
        <xdr:cNvPr id="119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0025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467</xdr:row>
      <xdr:rowOff>19050</xdr:rowOff>
    </xdr:from>
    <xdr:ext cx="819150" cy="123825"/>
    <xdr:pic>
      <xdr:nvPicPr>
        <xdr:cNvPr id="89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3788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450</xdr:row>
      <xdr:rowOff>19050</xdr:rowOff>
    </xdr:from>
    <xdr:ext cx="819150" cy="125505"/>
    <xdr:pic>
      <xdr:nvPicPr>
        <xdr:cNvPr id="1169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2569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430</xdr:row>
      <xdr:rowOff>28575</xdr:rowOff>
    </xdr:from>
    <xdr:to>
      <xdr:col>1</xdr:col>
      <xdr:colOff>0</xdr:colOff>
      <xdr:row>430</xdr:row>
      <xdr:rowOff>133350</xdr:rowOff>
    </xdr:to>
    <xdr:pic>
      <xdr:nvPicPr>
        <xdr:cNvPr id="1270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178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301</xdr:row>
      <xdr:rowOff>19050</xdr:rowOff>
    </xdr:from>
    <xdr:to>
      <xdr:col>24</xdr:col>
      <xdr:colOff>47624</xdr:colOff>
      <xdr:row>301</xdr:row>
      <xdr:rowOff>142875</xdr:rowOff>
    </xdr:to>
    <xdr:pic>
      <xdr:nvPicPr>
        <xdr:cNvPr id="129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272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302</xdr:row>
      <xdr:rowOff>19050</xdr:rowOff>
    </xdr:from>
    <xdr:to>
      <xdr:col>24</xdr:col>
      <xdr:colOff>47624</xdr:colOff>
      <xdr:row>302</xdr:row>
      <xdr:rowOff>142875</xdr:rowOff>
    </xdr:to>
    <xdr:pic>
      <xdr:nvPicPr>
        <xdr:cNvPr id="129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34244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332</xdr:row>
      <xdr:rowOff>19050</xdr:rowOff>
    </xdr:from>
    <xdr:to>
      <xdr:col>24</xdr:col>
      <xdr:colOff>47624</xdr:colOff>
      <xdr:row>332</xdr:row>
      <xdr:rowOff>142875</xdr:rowOff>
    </xdr:to>
    <xdr:pic>
      <xdr:nvPicPr>
        <xdr:cNvPr id="131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6320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350</xdr:row>
      <xdr:rowOff>19050</xdr:rowOff>
    </xdr:from>
    <xdr:to>
      <xdr:col>24</xdr:col>
      <xdr:colOff>47625</xdr:colOff>
      <xdr:row>350</xdr:row>
      <xdr:rowOff>142875</xdr:rowOff>
    </xdr:to>
    <xdr:pic>
      <xdr:nvPicPr>
        <xdr:cNvPr id="13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263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351</xdr:row>
      <xdr:rowOff>19050</xdr:rowOff>
    </xdr:from>
    <xdr:to>
      <xdr:col>24</xdr:col>
      <xdr:colOff>47625</xdr:colOff>
      <xdr:row>351</xdr:row>
      <xdr:rowOff>142875</xdr:rowOff>
    </xdr:to>
    <xdr:pic>
      <xdr:nvPicPr>
        <xdr:cNvPr id="132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9415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305</xdr:row>
      <xdr:rowOff>19050</xdr:rowOff>
    </xdr:from>
    <xdr:ext cx="828675" cy="123825"/>
    <xdr:pic>
      <xdr:nvPicPr>
        <xdr:cNvPr id="1327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43388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306</xdr:row>
      <xdr:rowOff>19050</xdr:rowOff>
    </xdr:from>
    <xdr:ext cx="828675" cy="123825"/>
    <xdr:pic>
      <xdr:nvPicPr>
        <xdr:cNvPr id="1328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44912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344</xdr:row>
      <xdr:rowOff>19050</xdr:rowOff>
    </xdr:from>
    <xdr:to>
      <xdr:col>24</xdr:col>
      <xdr:colOff>47625</xdr:colOff>
      <xdr:row>344</xdr:row>
      <xdr:rowOff>142875</xdr:rowOff>
    </xdr:to>
    <xdr:pic>
      <xdr:nvPicPr>
        <xdr:cNvPr id="133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691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174</xdr:row>
      <xdr:rowOff>19050</xdr:rowOff>
    </xdr:from>
    <xdr:to>
      <xdr:col>24</xdr:col>
      <xdr:colOff>47625</xdr:colOff>
      <xdr:row>174</xdr:row>
      <xdr:rowOff>142875</xdr:rowOff>
    </xdr:to>
    <xdr:pic>
      <xdr:nvPicPr>
        <xdr:cNvPr id="133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5403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212</xdr:row>
      <xdr:rowOff>19050</xdr:rowOff>
    </xdr:from>
    <xdr:to>
      <xdr:col>24</xdr:col>
      <xdr:colOff>47625</xdr:colOff>
      <xdr:row>212</xdr:row>
      <xdr:rowOff>142875</xdr:rowOff>
    </xdr:to>
    <xdr:pic>
      <xdr:nvPicPr>
        <xdr:cNvPr id="1340" name="783 Imagen" descr="tampo icono.png">
          <a:extLst>
            <a:ext uri="{FF2B5EF4-FFF2-40B4-BE49-F238E27FC236}">
              <a16:creationId xmlns:a16="http://schemas.microsoft.com/office/drawing/2014/main" id="{388F74A9-B543-475C-B70E-8B712B058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043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614</xdr:row>
      <xdr:rowOff>19050</xdr:rowOff>
    </xdr:from>
    <xdr:ext cx="847346" cy="121920"/>
    <xdr:pic>
      <xdr:nvPicPr>
        <xdr:cNvPr id="1008" name="Imagen 100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16102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615</xdr:row>
      <xdr:rowOff>19050</xdr:rowOff>
    </xdr:from>
    <xdr:ext cx="847346" cy="121920"/>
    <xdr:pic>
      <xdr:nvPicPr>
        <xdr:cNvPr id="1016" name="Imagen 101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1762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540</xdr:row>
      <xdr:rowOff>19050</xdr:rowOff>
    </xdr:from>
    <xdr:ext cx="847346" cy="121920"/>
    <xdr:pic>
      <xdr:nvPicPr>
        <xdr:cNvPr id="930" name="Imagen 92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20185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424</xdr:row>
      <xdr:rowOff>19050</xdr:rowOff>
    </xdr:from>
    <xdr:ext cx="819150" cy="123825"/>
    <xdr:pic>
      <xdr:nvPicPr>
        <xdr:cNvPr id="104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8559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374</xdr:row>
      <xdr:rowOff>19050</xdr:rowOff>
    </xdr:from>
    <xdr:ext cx="819150" cy="123825"/>
    <xdr:pic>
      <xdr:nvPicPr>
        <xdr:cNvPr id="107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8407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9</xdr:row>
      <xdr:rowOff>19050</xdr:rowOff>
    </xdr:from>
    <xdr:to>
      <xdr:col>24</xdr:col>
      <xdr:colOff>47624</xdr:colOff>
      <xdr:row>9</xdr:row>
      <xdr:rowOff>142875</xdr:rowOff>
    </xdr:to>
    <xdr:pic>
      <xdr:nvPicPr>
        <xdr:cNvPr id="134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8288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10</xdr:row>
      <xdr:rowOff>19050</xdr:rowOff>
    </xdr:from>
    <xdr:to>
      <xdr:col>24</xdr:col>
      <xdr:colOff>47624</xdr:colOff>
      <xdr:row>10</xdr:row>
      <xdr:rowOff>142875</xdr:rowOff>
    </xdr:to>
    <xdr:pic>
      <xdr:nvPicPr>
        <xdr:cNvPr id="134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9812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250</xdr:row>
      <xdr:rowOff>19050</xdr:rowOff>
    </xdr:from>
    <xdr:ext cx="819150" cy="123825"/>
    <xdr:pic>
      <xdr:nvPicPr>
        <xdr:cNvPr id="135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5156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446</xdr:row>
      <xdr:rowOff>19050</xdr:rowOff>
    </xdr:from>
    <xdr:ext cx="819150" cy="125505"/>
    <xdr:pic>
      <xdr:nvPicPr>
        <xdr:cNvPr id="1374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24173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445</xdr:row>
      <xdr:rowOff>19050</xdr:rowOff>
    </xdr:from>
    <xdr:ext cx="819150" cy="125505"/>
    <xdr:pic>
      <xdr:nvPicPr>
        <xdr:cNvPr id="1380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621125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375</xdr:row>
      <xdr:rowOff>19050</xdr:rowOff>
    </xdr:from>
    <xdr:ext cx="819150" cy="123825"/>
    <xdr:pic>
      <xdr:nvPicPr>
        <xdr:cNvPr id="96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378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376</xdr:row>
      <xdr:rowOff>19050</xdr:rowOff>
    </xdr:from>
    <xdr:ext cx="819150" cy="123825"/>
    <xdr:pic>
      <xdr:nvPicPr>
        <xdr:cNvPr id="102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3530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343</xdr:row>
      <xdr:rowOff>19050</xdr:rowOff>
    </xdr:from>
    <xdr:to>
      <xdr:col>24</xdr:col>
      <xdr:colOff>47625</xdr:colOff>
      <xdr:row>343</xdr:row>
      <xdr:rowOff>142875</xdr:rowOff>
    </xdr:to>
    <xdr:pic>
      <xdr:nvPicPr>
        <xdr:cNvPr id="123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47539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653</xdr:row>
      <xdr:rowOff>19050</xdr:rowOff>
    </xdr:from>
    <xdr:ext cx="847346" cy="121920"/>
    <xdr:pic>
      <xdr:nvPicPr>
        <xdr:cNvPr id="1242" name="Imagen 124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49630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548</xdr:row>
      <xdr:rowOff>19050</xdr:rowOff>
    </xdr:from>
    <xdr:ext cx="819150" cy="125505"/>
    <xdr:pic>
      <xdr:nvPicPr>
        <xdr:cNvPr id="1332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42188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549</xdr:row>
      <xdr:rowOff>19050</xdr:rowOff>
    </xdr:from>
    <xdr:ext cx="819914" cy="121920"/>
    <xdr:pic>
      <xdr:nvPicPr>
        <xdr:cNvPr id="1399" name="Imagen 1398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4371200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549</xdr:row>
      <xdr:rowOff>19050</xdr:rowOff>
    </xdr:from>
    <xdr:ext cx="463297" cy="121920"/>
    <xdr:pic>
      <xdr:nvPicPr>
        <xdr:cNvPr id="1400" name="Imagen 1399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400" y="74371200"/>
          <a:ext cx="463297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427</xdr:row>
      <xdr:rowOff>19050</xdr:rowOff>
    </xdr:from>
    <xdr:ext cx="819150" cy="123825"/>
    <xdr:pic>
      <xdr:nvPicPr>
        <xdr:cNvPr id="124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59169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547</xdr:row>
      <xdr:rowOff>19050</xdr:rowOff>
    </xdr:from>
    <xdr:ext cx="819914" cy="121920"/>
    <xdr:pic>
      <xdr:nvPicPr>
        <xdr:cNvPr id="1375" name="Imagen 1374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74533125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547</xdr:row>
      <xdr:rowOff>19050</xdr:rowOff>
    </xdr:from>
    <xdr:ext cx="463297" cy="121920"/>
    <xdr:pic>
      <xdr:nvPicPr>
        <xdr:cNvPr id="1392" name="Imagen 1391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74533125"/>
          <a:ext cx="463297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13</xdr:row>
      <xdr:rowOff>19050</xdr:rowOff>
    </xdr:from>
    <xdr:ext cx="819150" cy="123825"/>
    <xdr:pic>
      <xdr:nvPicPr>
        <xdr:cNvPr id="1050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505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230</xdr:row>
      <xdr:rowOff>19050</xdr:rowOff>
    </xdr:from>
    <xdr:ext cx="819150" cy="123825"/>
    <xdr:pic>
      <xdr:nvPicPr>
        <xdr:cNvPr id="98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332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232</xdr:row>
      <xdr:rowOff>19050</xdr:rowOff>
    </xdr:from>
    <xdr:ext cx="819150" cy="123825"/>
    <xdr:pic>
      <xdr:nvPicPr>
        <xdr:cNvPr id="103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3632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241</xdr:row>
      <xdr:rowOff>19050</xdr:rowOff>
    </xdr:from>
    <xdr:ext cx="819150" cy="123825"/>
    <xdr:pic>
      <xdr:nvPicPr>
        <xdr:cNvPr id="110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424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243</xdr:row>
      <xdr:rowOff>19050</xdr:rowOff>
    </xdr:from>
    <xdr:ext cx="819150" cy="123825"/>
    <xdr:pic>
      <xdr:nvPicPr>
        <xdr:cNvPr id="111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439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390</xdr:row>
      <xdr:rowOff>19050</xdr:rowOff>
    </xdr:from>
    <xdr:to>
      <xdr:col>24</xdr:col>
      <xdr:colOff>47625</xdr:colOff>
      <xdr:row>390</xdr:row>
      <xdr:rowOff>142875</xdr:rowOff>
    </xdr:to>
    <xdr:pic>
      <xdr:nvPicPr>
        <xdr:cNvPr id="126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4902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692</xdr:row>
      <xdr:rowOff>19050</xdr:rowOff>
    </xdr:from>
    <xdr:to>
      <xdr:col>24</xdr:col>
      <xdr:colOff>49180</xdr:colOff>
      <xdr:row>692</xdr:row>
      <xdr:rowOff>144555</xdr:rowOff>
    </xdr:to>
    <xdr:pic>
      <xdr:nvPicPr>
        <xdr:cNvPr id="1435" name="475 Imagen" descr="HOT STAMPING ICONO.png">
          <a:extLst>
            <a:ext uri="{FF2B5EF4-FFF2-40B4-BE49-F238E27FC236}">
              <a16:creationId xmlns:a16="http://schemas.microsoft.com/office/drawing/2014/main" id="{C982D6CA-5441-40AF-8C66-F6537D33E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2716350"/>
          <a:ext cx="820705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691</xdr:row>
      <xdr:rowOff>19050</xdr:rowOff>
    </xdr:from>
    <xdr:to>
      <xdr:col>24</xdr:col>
      <xdr:colOff>49180</xdr:colOff>
      <xdr:row>691</xdr:row>
      <xdr:rowOff>142875</xdr:rowOff>
    </xdr:to>
    <xdr:pic>
      <xdr:nvPicPr>
        <xdr:cNvPr id="1440" name="479 Imagen" descr="HOT STAMPING ICONO.png">
          <a:extLst>
            <a:ext uri="{FF2B5EF4-FFF2-40B4-BE49-F238E27FC236}">
              <a16:creationId xmlns:a16="http://schemas.microsoft.com/office/drawing/2014/main" id="{50419B07-E952-4FE3-9E51-6A03D9ACB5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2563950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690</xdr:row>
      <xdr:rowOff>19050</xdr:rowOff>
    </xdr:from>
    <xdr:to>
      <xdr:col>24</xdr:col>
      <xdr:colOff>49180</xdr:colOff>
      <xdr:row>690</xdr:row>
      <xdr:rowOff>142875</xdr:rowOff>
    </xdr:to>
    <xdr:pic>
      <xdr:nvPicPr>
        <xdr:cNvPr id="1441" name="480 Imagen" descr="HOT STAMPING ICONO.png">
          <a:extLst>
            <a:ext uri="{FF2B5EF4-FFF2-40B4-BE49-F238E27FC236}">
              <a16:creationId xmlns:a16="http://schemas.microsoft.com/office/drawing/2014/main" id="{F93AA4E3-DE7E-4876-8A16-6F3BD6974F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2411550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687</xdr:row>
      <xdr:rowOff>19050</xdr:rowOff>
    </xdr:from>
    <xdr:ext cx="820705" cy="123825"/>
    <xdr:pic>
      <xdr:nvPicPr>
        <xdr:cNvPr id="1445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1954350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689</xdr:row>
      <xdr:rowOff>19050</xdr:rowOff>
    </xdr:from>
    <xdr:ext cx="820705" cy="123825"/>
    <xdr:pic>
      <xdr:nvPicPr>
        <xdr:cNvPr id="1447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4668975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727</xdr:row>
      <xdr:rowOff>19050</xdr:rowOff>
    </xdr:from>
    <xdr:to>
      <xdr:col>24</xdr:col>
      <xdr:colOff>47625</xdr:colOff>
      <xdr:row>727</xdr:row>
      <xdr:rowOff>142875</xdr:rowOff>
    </xdr:to>
    <xdr:pic>
      <xdr:nvPicPr>
        <xdr:cNvPr id="1473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53071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733</xdr:row>
      <xdr:rowOff>19050</xdr:rowOff>
    </xdr:from>
    <xdr:to>
      <xdr:col>24</xdr:col>
      <xdr:colOff>49180</xdr:colOff>
      <xdr:row>733</xdr:row>
      <xdr:rowOff>142875</xdr:rowOff>
    </xdr:to>
    <xdr:pic>
      <xdr:nvPicPr>
        <xdr:cNvPr id="1490" name="496 Imagen" descr="laser icono.png">
          <a:extLst>
            <a:ext uri="{FF2B5EF4-FFF2-40B4-BE49-F238E27FC236}">
              <a16:creationId xmlns:a16="http://schemas.microsoft.com/office/drawing/2014/main" id="{9D757133-9CD0-4278-B1D5-68080BAAC8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5764350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736</xdr:row>
      <xdr:rowOff>19050</xdr:rowOff>
    </xdr:from>
    <xdr:ext cx="847346" cy="121920"/>
    <xdr:pic>
      <xdr:nvPicPr>
        <xdr:cNvPr id="1493" name="Imagen 149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591675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726</xdr:row>
      <xdr:rowOff>19050</xdr:rowOff>
    </xdr:from>
    <xdr:to>
      <xdr:col>24</xdr:col>
      <xdr:colOff>49180</xdr:colOff>
      <xdr:row>726</xdr:row>
      <xdr:rowOff>142875</xdr:rowOff>
    </xdr:to>
    <xdr:pic>
      <xdr:nvPicPr>
        <xdr:cNvPr id="1494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5002350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709</xdr:row>
      <xdr:rowOff>19050</xdr:rowOff>
    </xdr:from>
    <xdr:to>
      <xdr:col>24</xdr:col>
      <xdr:colOff>47625</xdr:colOff>
      <xdr:row>709</xdr:row>
      <xdr:rowOff>142875</xdr:rowOff>
    </xdr:to>
    <xdr:pic>
      <xdr:nvPicPr>
        <xdr:cNvPr id="1497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939355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711</xdr:row>
      <xdr:rowOff>19050</xdr:rowOff>
    </xdr:from>
    <xdr:ext cx="819150" cy="123825"/>
    <xdr:pic>
      <xdr:nvPicPr>
        <xdr:cNvPr id="1499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9424035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740</xdr:row>
      <xdr:rowOff>19050</xdr:rowOff>
    </xdr:from>
    <xdr:ext cx="847346" cy="121920"/>
    <xdr:pic>
      <xdr:nvPicPr>
        <xdr:cNvPr id="1500" name="Imagen 149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63739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741</xdr:row>
      <xdr:rowOff>19050</xdr:rowOff>
    </xdr:from>
    <xdr:ext cx="847346" cy="121920"/>
    <xdr:pic>
      <xdr:nvPicPr>
        <xdr:cNvPr id="1501" name="Imagen 150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65263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742</xdr:row>
      <xdr:rowOff>19050</xdr:rowOff>
    </xdr:from>
    <xdr:ext cx="847346" cy="121920"/>
    <xdr:pic>
      <xdr:nvPicPr>
        <xdr:cNvPr id="1503" name="Imagen 150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66787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744</xdr:row>
      <xdr:rowOff>19050</xdr:rowOff>
    </xdr:from>
    <xdr:ext cx="847346" cy="121920"/>
    <xdr:pic>
      <xdr:nvPicPr>
        <xdr:cNvPr id="1504" name="Imagen 150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69835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743</xdr:row>
      <xdr:rowOff>19050</xdr:rowOff>
    </xdr:from>
    <xdr:ext cx="847346" cy="121920"/>
    <xdr:pic>
      <xdr:nvPicPr>
        <xdr:cNvPr id="1505" name="Imagen 150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68311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693</xdr:row>
      <xdr:rowOff>19050</xdr:rowOff>
    </xdr:from>
    <xdr:ext cx="847346" cy="121920"/>
    <xdr:pic>
      <xdr:nvPicPr>
        <xdr:cNvPr id="1512" name="Imagen 151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37831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643</xdr:row>
      <xdr:rowOff>19050</xdr:rowOff>
    </xdr:from>
    <xdr:ext cx="847346" cy="121920"/>
    <xdr:pic>
      <xdr:nvPicPr>
        <xdr:cNvPr id="928" name="Imagen 92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4353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633</xdr:row>
      <xdr:rowOff>19050</xdr:rowOff>
    </xdr:from>
    <xdr:ext cx="847346" cy="121920"/>
    <xdr:pic>
      <xdr:nvPicPr>
        <xdr:cNvPr id="931" name="Imagen 93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2829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634</xdr:row>
      <xdr:rowOff>19050</xdr:rowOff>
    </xdr:from>
    <xdr:ext cx="847346" cy="121920"/>
    <xdr:pic>
      <xdr:nvPicPr>
        <xdr:cNvPr id="1095" name="Imagen 109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37438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635</xdr:row>
      <xdr:rowOff>19050</xdr:rowOff>
    </xdr:from>
    <xdr:ext cx="847346" cy="121920"/>
    <xdr:pic>
      <xdr:nvPicPr>
        <xdr:cNvPr id="1225" name="Imagen 122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389620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635</xdr:row>
      <xdr:rowOff>28575</xdr:rowOff>
    </xdr:from>
    <xdr:ext cx="342900" cy="104775"/>
    <xdr:pic>
      <xdr:nvPicPr>
        <xdr:cNvPr id="1226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9057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546</xdr:row>
      <xdr:rowOff>19050</xdr:rowOff>
    </xdr:from>
    <xdr:ext cx="819914" cy="121920"/>
    <xdr:pic>
      <xdr:nvPicPr>
        <xdr:cNvPr id="1252" name="Imagen 1251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74066400"/>
          <a:ext cx="819914" cy="121920"/>
        </a:xfrm>
        <a:prstGeom prst="rect">
          <a:avLst/>
        </a:prstGeom>
      </xdr:spPr>
    </xdr:pic>
    <xdr:clientData/>
  </xdr:oneCellAnchor>
  <xdr:oneCellAnchor>
    <xdr:from>
      <xdr:col>24</xdr:col>
      <xdr:colOff>57150</xdr:colOff>
      <xdr:row>546</xdr:row>
      <xdr:rowOff>19050</xdr:rowOff>
    </xdr:from>
    <xdr:ext cx="463297" cy="121920"/>
    <xdr:pic>
      <xdr:nvPicPr>
        <xdr:cNvPr id="1263" name="Imagen 1262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53400" y="74066400"/>
          <a:ext cx="463297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545</xdr:row>
      <xdr:rowOff>19050</xdr:rowOff>
    </xdr:from>
    <xdr:ext cx="819150" cy="125505"/>
    <xdr:pic>
      <xdr:nvPicPr>
        <xdr:cNvPr id="1290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740664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684</xdr:row>
      <xdr:rowOff>19050</xdr:rowOff>
    </xdr:from>
    <xdr:ext cx="820705" cy="123825"/>
    <xdr:pic>
      <xdr:nvPicPr>
        <xdr:cNvPr id="1273" name="499 Imagen" descr="laser icono.png">
          <a:extLst>
            <a:ext uri="{FF2B5EF4-FFF2-40B4-BE49-F238E27FC236}">
              <a16:creationId xmlns:a16="http://schemas.microsoft.com/office/drawing/2014/main" id="{FFE59351-35B8-415B-8FBD-8F67F3DBA3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2411550"/>
          <a:ext cx="82070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684</xdr:row>
      <xdr:rowOff>19050</xdr:rowOff>
    </xdr:from>
    <xdr:ext cx="819150" cy="123825"/>
    <xdr:pic>
      <xdr:nvPicPr>
        <xdr:cNvPr id="130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93906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14</xdr:col>
      <xdr:colOff>9525</xdr:colOff>
      <xdr:row>722</xdr:row>
      <xdr:rowOff>19050</xdr:rowOff>
    </xdr:from>
    <xdr:to>
      <xdr:col>18</xdr:col>
      <xdr:colOff>9526</xdr:colOff>
      <xdr:row>722</xdr:row>
      <xdr:rowOff>142875</xdr:rowOff>
    </xdr:to>
    <xdr:pic>
      <xdr:nvPicPr>
        <xdr:cNvPr id="1354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43525" y="42662475"/>
          <a:ext cx="819151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448</xdr:row>
      <xdr:rowOff>19050</xdr:rowOff>
    </xdr:from>
    <xdr:ext cx="819150" cy="125505"/>
    <xdr:pic>
      <xdr:nvPicPr>
        <xdr:cNvPr id="1369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62569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565</xdr:row>
      <xdr:rowOff>19050</xdr:rowOff>
    </xdr:from>
    <xdr:to>
      <xdr:col>24</xdr:col>
      <xdr:colOff>47625</xdr:colOff>
      <xdr:row>565</xdr:row>
      <xdr:rowOff>144555</xdr:rowOff>
    </xdr:to>
    <xdr:pic>
      <xdr:nvPicPr>
        <xdr:cNvPr id="958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61714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566</xdr:row>
      <xdr:rowOff>19050</xdr:rowOff>
    </xdr:from>
    <xdr:ext cx="819914" cy="121920"/>
    <xdr:pic>
      <xdr:nvPicPr>
        <xdr:cNvPr id="1250" name="Imagen 1249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76323825"/>
          <a:ext cx="819914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60</xdr:row>
      <xdr:rowOff>19050</xdr:rowOff>
    </xdr:from>
    <xdr:ext cx="819150" cy="123825"/>
    <xdr:pic>
      <xdr:nvPicPr>
        <xdr:cNvPr id="1116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60</xdr:row>
      <xdr:rowOff>19050</xdr:rowOff>
    </xdr:from>
    <xdr:ext cx="819150" cy="123825"/>
    <xdr:pic>
      <xdr:nvPicPr>
        <xdr:cNvPr id="1133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9753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310</xdr:row>
      <xdr:rowOff>19050</xdr:rowOff>
    </xdr:from>
    <xdr:ext cx="819150" cy="123825"/>
    <xdr:pic>
      <xdr:nvPicPr>
        <xdr:cNvPr id="1147" name="594 Imagen" descr="laser fibra icono.png">
          <a:extLst>
            <a:ext uri="{FF2B5EF4-FFF2-40B4-BE49-F238E27FC236}">
              <a16:creationId xmlns:a16="http://schemas.microsoft.com/office/drawing/2014/main" id="{94254448-E95B-4D55-94D6-FFC50B0E8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386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310</xdr:row>
      <xdr:rowOff>19050</xdr:rowOff>
    </xdr:from>
    <xdr:ext cx="502919" cy="121920"/>
    <xdr:pic>
      <xdr:nvPicPr>
        <xdr:cNvPr id="1171" name="Imagen 1170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50" y="473868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133</xdr:row>
      <xdr:rowOff>19050</xdr:rowOff>
    </xdr:from>
    <xdr:ext cx="819150" cy="123825"/>
    <xdr:pic>
      <xdr:nvPicPr>
        <xdr:cNvPr id="1336" name="867 Imagen" descr="laser fibra icono.png">
          <a:extLst>
            <a:ext uri="{FF2B5EF4-FFF2-40B4-BE49-F238E27FC236}">
              <a16:creationId xmlns:a16="http://schemas.microsoft.com/office/drawing/2014/main" id="{80DC8A16-3910-4D8D-BEF2-8DFB2210F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9554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512</xdr:row>
      <xdr:rowOff>19050</xdr:rowOff>
    </xdr:from>
    <xdr:ext cx="819150" cy="123825"/>
    <xdr:pic>
      <xdr:nvPicPr>
        <xdr:cNvPr id="1391" name="337 Imagen" descr="laser fibra icono.png">
          <a:extLst>
            <a:ext uri="{FF2B5EF4-FFF2-40B4-BE49-F238E27FC236}">
              <a16:creationId xmlns:a16="http://schemas.microsoft.com/office/drawing/2014/main" id="{8504D109-95E7-49E6-9F49-7E0269928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8208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62</xdr:row>
      <xdr:rowOff>19050</xdr:rowOff>
    </xdr:from>
    <xdr:to>
      <xdr:col>24</xdr:col>
      <xdr:colOff>47624</xdr:colOff>
      <xdr:row>62</xdr:row>
      <xdr:rowOff>142875</xdr:rowOff>
    </xdr:to>
    <xdr:pic>
      <xdr:nvPicPr>
        <xdr:cNvPr id="94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0584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602</xdr:row>
      <xdr:rowOff>19050</xdr:rowOff>
    </xdr:from>
    <xdr:ext cx="847346" cy="121920"/>
    <xdr:pic>
      <xdr:nvPicPr>
        <xdr:cNvPr id="1059" name="Imagen 105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0619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276</xdr:row>
      <xdr:rowOff>19050</xdr:rowOff>
    </xdr:from>
    <xdr:ext cx="819150" cy="123825"/>
    <xdr:pic>
      <xdr:nvPicPr>
        <xdr:cNvPr id="907" name="702 Imagen" descr="laser fibra icono.png">
          <a:extLst>
            <a:ext uri="{FF2B5EF4-FFF2-40B4-BE49-F238E27FC236}">
              <a16:creationId xmlns:a16="http://schemas.microsoft.com/office/drawing/2014/main" id="{A84E498A-D1D2-406F-9CCF-947161A9D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7480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6</xdr:col>
      <xdr:colOff>9525</xdr:colOff>
      <xdr:row>26</xdr:row>
      <xdr:rowOff>19050</xdr:rowOff>
    </xdr:from>
    <xdr:to>
      <xdr:col>9</xdr:col>
      <xdr:colOff>9526</xdr:colOff>
      <xdr:row>26</xdr:row>
      <xdr:rowOff>142875</xdr:rowOff>
    </xdr:to>
    <xdr:pic>
      <xdr:nvPicPr>
        <xdr:cNvPr id="1007" name="825 Imagen" descr="CONSULTAR ICONO.png">
          <a:extLst>
            <a:ext uri="{FF2B5EF4-FFF2-40B4-BE49-F238E27FC236}">
              <a16:creationId xmlns:a16="http://schemas.microsoft.com/office/drawing/2014/main" id="{5543434B-8549-4E44-8AAB-AB2922A57B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6600" y="4267200"/>
          <a:ext cx="809626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26</xdr:row>
      <xdr:rowOff>19050</xdr:rowOff>
    </xdr:from>
    <xdr:ext cx="819149" cy="123825"/>
    <xdr:pic>
      <xdr:nvPicPr>
        <xdr:cNvPr id="111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2672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227</xdr:row>
      <xdr:rowOff>19050</xdr:rowOff>
    </xdr:from>
    <xdr:to>
      <xdr:col>24</xdr:col>
      <xdr:colOff>47624</xdr:colOff>
      <xdr:row>227</xdr:row>
      <xdr:rowOff>142875</xdr:rowOff>
    </xdr:to>
    <xdr:pic>
      <xdr:nvPicPr>
        <xdr:cNvPr id="120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19563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228</xdr:row>
      <xdr:rowOff>19050</xdr:rowOff>
    </xdr:from>
    <xdr:to>
      <xdr:col>24</xdr:col>
      <xdr:colOff>47624</xdr:colOff>
      <xdr:row>228</xdr:row>
      <xdr:rowOff>142875</xdr:rowOff>
    </xdr:to>
    <xdr:pic>
      <xdr:nvPicPr>
        <xdr:cNvPr id="123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21087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349</xdr:row>
      <xdr:rowOff>19050</xdr:rowOff>
    </xdr:from>
    <xdr:to>
      <xdr:col>24</xdr:col>
      <xdr:colOff>47625</xdr:colOff>
      <xdr:row>349</xdr:row>
      <xdr:rowOff>142875</xdr:rowOff>
    </xdr:to>
    <xdr:pic>
      <xdr:nvPicPr>
        <xdr:cNvPr id="125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7996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11</xdr:row>
      <xdr:rowOff>19050</xdr:rowOff>
    </xdr:from>
    <xdr:to>
      <xdr:col>24</xdr:col>
      <xdr:colOff>47624</xdr:colOff>
      <xdr:row>11</xdr:row>
      <xdr:rowOff>142875</xdr:rowOff>
    </xdr:to>
    <xdr:pic>
      <xdr:nvPicPr>
        <xdr:cNvPr id="125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1336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124</xdr:row>
      <xdr:rowOff>19050</xdr:rowOff>
    </xdr:from>
    <xdr:ext cx="819150" cy="123825"/>
    <xdr:pic>
      <xdr:nvPicPr>
        <xdr:cNvPr id="1289" name="908 Imagen" descr="sublimacion icono.png">
          <a:extLst>
            <a:ext uri="{FF2B5EF4-FFF2-40B4-BE49-F238E27FC236}">
              <a16:creationId xmlns:a16="http://schemas.microsoft.com/office/drawing/2014/main" id="{581B4560-5234-4583-9549-4B5B1FCDC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81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129</xdr:row>
      <xdr:rowOff>19050</xdr:rowOff>
    </xdr:from>
    <xdr:ext cx="819150" cy="123825"/>
    <xdr:pic>
      <xdr:nvPicPr>
        <xdr:cNvPr id="1312" name="872 Imagen" descr="sublimacion icono.png">
          <a:extLst>
            <a:ext uri="{FF2B5EF4-FFF2-40B4-BE49-F238E27FC236}">
              <a16:creationId xmlns:a16="http://schemas.microsoft.com/office/drawing/2014/main" id="{1700A12B-4AB9-4FBB-B4E2-9EB014A27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8792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129</xdr:row>
      <xdr:rowOff>19050</xdr:rowOff>
    </xdr:from>
    <xdr:ext cx="819149" cy="123825"/>
    <xdr:pic>
      <xdr:nvPicPr>
        <xdr:cNvPr id="1381" name="909 Imagen" descr="FULL PRINT ICONO.png">
          <a:extLst>
            <a:ext uri="{FF2B5EF4-FFF2-40B4-BE49-F238E27FC236}">
              <a16:creationId xmlns:a16="http://schemas.microsoft.com/office/drawing/2014/main" id="{4FAFE7D2-32CF-451E-95AF-33288D67F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187928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125</xdr:row>
      <xdr:rowOff>19050</xdr:rowOff>
    </xdr:from>
    <xdr:ext cx="819150" cy="123825"/>
    <xdr:pic>
      <xdr:nvPicPr>
        <xdr:cNvPr id="1397" name="908 Imagen" descr="sublimacion icono.png">
          <a:extLst>
            <a:ext uri="{FF2B5EF4-FFF2-40B4-BE49-F238E27FC236}">
              <a16:creationId xmlns:a16="http://schemas.microsoft.com/office/drawing/2014/main" id="{581B4560-5234-4583-9549-4B5B1FCDC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8335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130</xdr:row>
      <xdr:rowOff>19050</xdr:rowOff>
    </xdr:from>
    <xdr:ext cx="819150" cy="123825"/>
    <xdr:pic>
      <xdr:nvPicPr>
        <xdr:cNvPr id="1401" name="872 Imagen" descr="sublimacion icono.png">
          <a:extLst>
            <a:ext uri="{FF2B5EF4-FFF2-40B4-BE49-F238E27FC236}">
              <a16:creationId xmlns:a16="http://schemas.microsoft.com/office/drawing/2014/main" id="{1700A12B-4AB9-4FBB-B4E2-9EB014A27A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19097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66675</xdr:colOff>
      <xdr:row>130</xdr:row>
      <xdr:rowOff>19050</xdr:rowOff>
    </xdr:from>
    <xdr:ext cx="819149" cy="123825"/>
    <xdr:pic>
      <xdr:nvPicPr>
        <xdr:cNvPr id="1402" name="909 Imagen" descr="FULL PRINT ICONO.png">
          <a:extLst>
            <a:ext uri="{FF2B5EF4-FFF2-40B4-BE49-F238E27FC236}">
              <a16:creationId xmlns:a16="http://schemas.microsoft.com/office/drawing/2014/main" id="{4FAFE7D2-32CF-451E-95AF-33288D67F6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190976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125</xdr:row>
      <xdr:rowOff>28575</xdr:rowOff>
    </xdr:from>
    <xdr:ext cx="342900" cy="104775"/>
    <xdr:pic>
      <xdr:nvPicPr>
        <xdr:cNvPr id="1407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497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130</xdr:row>
      <xdr:rowOff>28575</xdr:rowOff>
    </xdr:from>
    <xdr:ext cx="342900" cy="104775"/>
    <xdr:pic>
      <xdr:nvPicPr>
        <xdr:cNvPr id="1409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59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382</xdr:row>
      <xdr:rowOff>19050</xdr:rowOff>
    </xdr:from>
    <xdr:to>
      <xdr:col>24</xdr:col>
      <xdr:colOff>47625</xdr:colOff>
      <xdr:row>382</xdr:row>
      <xdr:rowOff>142875</xdr:rowOff>
    </xdr:to>
    <xdr:pic>
      <xdr:nvPicPr>
        <xdr:cNvPr id="1411" name="512 Imagen" descr="tampo icono.png">
          <a:extLst>
            <a:ext uri="{FF2B5EF4-FFF2-40B4-BE49-F238E27FC236}">
              <a16:creationId xmlns:a16="http://schemas.microsoft.com/office/drawing/2014/main" id="{39EBC17B-715A-4F85-AEA2-41BC19170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987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381</xdr:row>
      <xdr:rowOff>19050</xdr:rowOff>
    </xdr:from>
    <xdr:to>
      <xdr:col>24</xdr:col>
      <xdr:colOff>47625</xdr:colOff>
      <xdr:row>381</xdr:row>
      <xdr:rowOff>142875</xdr:rowOff>
    </xdr:to>
    <xdr:pic>
      <xdr:nvPicPr>
        <xdr:cNvPr id="1459" name="512 Imagen" descr="tampo icono.png">
          <a:extLst>
            <a:ext uri="{FF2B5EF4-FFF2-40B4-BE49-F238E27FC236}">
              <a16:creationId xmlns:a16="http://schemas.microsoft.com/office/drawing/2014/main" id="{39EBC17B-715A-4F85-AEA2-41BC19170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835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352</xdr:row>
      <xdr:rowOff>19050</xdr:rowOff>
    </xdr:from>
    <xdr:to>
      <xdr:col>24</xdr:col>
      <xdr:colOff>47625</xdr:colOff>
      <xdr:row>352</xdr:row>
      <xdr:rowOff>142875</xdr:rowOff>
    </xdr:to>
    <xdr:pic>
      <xdr:nvPicPr>
        <xdr:cNvPr id="146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9415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353</xdr:row>
      <xdr:rowOff>19050</xdr:rowOff>
    </xdr:from>
    <xdr:to>
      <xdr:col>24</xdr:col>
      <xdr:colOff>47625</xdr:colOff>
      <xdr:row>353</xdr:row>
      <xdr:rowOff>142875</xdr:rowOff>
    </xdr:to>
    <xdr:pic>
      <xdr:nvPicPr>
        <xdr:cNvPr id="146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9720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410</xdr:row>
      <xdr:rowOff>19050</xdr:rowOff>
    </xdr:from>
    <xdr:to>
      <xdr:col>24</xdr:col>
      <xdr:colOff>47625</xdr:colOff>
      <xdr:row>410</xdr:row>
      <xdr:rowOff>142875</xdr:rowOff>
    </xdr:to>
    <xdr:pic>
      <xdr:nvPicPr>
        <xdr:cNvPr id="146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6426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308</xdr:row>
      <xdr:rowOff>19050</xdr:rowOff>
    </xdr:from>
    <xdr:ext cx="819150" cy="123825"/>
    <xdr:pic>
      <xdr:nvPicPr>
        <xdr:cNvPr id="1511" name="594 Imagen" descr="laser fibra icono.png">
          <a:extLst>
            <a:ext uri="{FF2B5EF4-FFF2-40B4-BE49-F238E27FC236}">
              <a16:creationId xmlns:a16="http://schemas.microsoft.com/office/drawing/2014/main" id="{94254448-E95B-4D55-94D6-FFC50B0E8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494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309</xdr:row>
      <xdr:rowOff>19050</xdr:rowOff>
    </xdr:from>
    <xdr:ext cx="819150" cy="123825"/>
    <xdr:pic>
      <xdr:nvPicPr>
        <xdr:cNvPr id="1513" name="594 Imagen" descr="laser fibra icono.png">
          <a:extLst>
            <a:ext uri="{FF2B5EF4-FFF2-40B4-BE49-F238E27FC236}">
              <a16:creationId xmlns:a16="http://schemas.microsoft.com/office/drawing/2014/main" id="{94254448-E95B-4D55-94D6-FFC50B0E8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5100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320</xdr:row>
      <xdr:rowOff>19050</xdr:rowOff>
    </xdr:from>
    <xdr:ext cx="828675" cy="123825"/>
    <xdr:pic>
      <xdr:nvPicPr>
        <xdr:cNvPr id="902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61676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320</xdr:row>
      <xdr:rowOff>19050</xdr:rowOff>
    </xdr:from>
    <xdr:ext cx="502919" cy="121920"/>
    <xdr:pic>
      <xdr:nvPicPr>
        <xdr:cNvPr id="973" name="Imagen 972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61676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211</xdr:row>
      <xdr:rowOff>19050</xdr:rowOff>
    </xdr:from>
    <xdr:ext cx="819150" cy="123825"/>
    <xdr:pic>
      <xdr:nvPicPr>
        <xdr:cNvPr id="98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0279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514</xdr:row>
      <xdr:rowOff>19050</xdr:rowOff>
    </xdr:from>
    <xdr:ext cx="819150" cy="123825"/>
    <xdr:pic>
      <xdr:nvPicPr>
        <xdr:cNvPr id="915" name="337 Imagen" descr="laser fibra icono.png">
          <a:extLst>
            <a:ext uri="{FF2B5EF4-FFF2-40B4-BE49-F238E27FC236}">
              <a16:creationId xmlns:a16="http://schemas.microsoft.com/office/drawing/2014/main" id="{8504D109-95E7-49E6-9F49-7E0269928A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8665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137</xdr:row>
      <xdr:rowOff>19050</xdr:rowOff>
    </xdr:from>
    <xdr:ext cx="819150" cy="123825"/>
    <xdr:pic>
      <xdr:nvPicPr>
        <xdr:cNvPr id="978" name="867 Imagen" descr="laser fibra icono.png">
          <a:extLst>
            <a:ext uri="{FF2B5EF4-FFF2-40B4-BE49-F238E27FC236}">
              <a16:creationId xmlns:a16="http://schemas.microsoft.com/office/drawing/2014/main" id="{80DC8A16-3910-4D8D-BEF2-8DFB2210F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0012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273</xdr:row>
      <xdr:rowOff>19050</xdr:rowOff>
    </xdr:from>
    <xdr:ext cx="819149" cy="123825"/>
    <xdr:pic>
      <xdr:nvPicPr>
        <xdr:cNvPr id="111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7785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379</xdr:row>
      <xdr:rowOff>19050</xdr:rowOff>
    </xdr:from>
    <xdr:ext cx="819150" cy="123825"/>
    <xdr:pic>
      <xdr:nvPicPr>
        <xdr:cNvPr id="112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682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342</xdr:row>
      <xdr:rowOff>19050</xdr:rowOff>
    </xdr:from>
    <xdr:ext cx="438150" cy="123825"/>
    <xdr:pic>
      <xdr:nvPicPr>
        <xdr:cNvPr id="1202" name="571 Imagen" descr="UN LADO ICONO.png">
          <a:extLst>
            <a:ext uri="{FF2B5EF4-FFF2-40B4-BE49-F238E27FC236}">
              <a16:creationId xmlns:a16="http://schemas.microsoft.com/office/drawing/2014/main" id="{822A2817-1BEA-4713-B476-6570D88127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62925" y="48148875"/>
          <a:ext cx="438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342</xdr:row>
      <xdr:rowOff>19050</xdr:rowOff>
    </xdr:from>
    <xdr:ext cx="819150" cy="123825"/>
    <xdr:pic>
      <xdr:nvPicPr>
        <xdr:cNvPr id="124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8148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385</xdr:row>
      <xdr:rowOff>19050</xdr:rowOff>
    </xdr:from>
    <xdr:to>
      <xdr:col>24</xdr:col>
      <xdr:colOff>47625</xdr:colOff>
      <xdr:row>385</xdr:row>
      <xdr:rowOff>142875</xdr:rowOff>
    </xdr:to>
    <xdr:pic>
      <xdr:nvPicPr>
        <xdr:cNvPr id="126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4749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8283</xdr:colOff>
      <xdr:row>389</xdr:row>
      <xdr:rowOff>16566</xdr:rowOff>
    </xdr:from>
    <xdr:ext cx="819150" cy="123825"/>
    <xdr:pic>
      <xdr:nvPicPr>
        <xdr:cNvPr id="128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3008" y="54899616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377</xdr:row>
      <xdr:rowOff>19050</xdr:rowOff>
    </xdr:from>
    <xdr:ext cx="819150" cy="123825"/>
    <xdr:pic>
      <xdr:nvPicPr>
        <xdr:cNvPr id="130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3987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378</xdr:row>
      <xdr:rowOff>19050</xdr:rowOff>
    </xdr:from>
    <xdr:ext cx="819150" cy="123825"/>
    <xdr:pic>
      <xdr:nvPicPr>
        <xdr:cNvPr id="130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4140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455</xdr:row>
      <xdr:rowOff>19050</xdr:rowOff>
    </xdr:from>
    <xdr:ext cx="819150" cy="123825"/>
    <xdr:pic>
      <xdr:nvPicPr>
        <xdr:cNvPr id="95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4246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8283</xdr:colOff>
      <xdr:row>391</xdr:row>
      <xdr:rowOff>16566</xdr:rowOff>
    </xdr:from>
    <xdr:ext cx="819150" cy="123825"/>
    <xdr:pic>
      <xdr:nvPicPr>
        <xdr:cNvPr id="92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2483" y="55204416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416</xdr:row>
      <xdr:rowOff>19050</xdr:rowOff>
    </xdr:from>
    <xdr:to>
      <xdr:col>24</xdr:col>
      <xdr:colOff>47625</xdr:colOff>
      <xdr:row>416</xdr:row>
      <xdr:rowOff>142875</xdr:rowOff>
    </xdr:to>
    <xdr:pic>
      <xdr:nvPicPr>
        <xdr:cNvPr id="116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8102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417</xdr:row>
      <xdr:rowOff>19050</xdr:rowOff>
    </xdr:from>
    <xdr:to>
      <xdr:col>24</xdr:col>
      <xdr:colOff>47625</xdr:colOff>
      <xdr:row>417</xdr:row>
      <xdr:rowOff>142875</xdr:rowOff>
    </xdr:to>
    <xdr:pic>
      <xdr:nvPicPr>
        <xdr:cNvPr id="120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8254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386</xdr:row>
      <xdr:rowOff>19050</xdr:rowOff>
    </xdr:from>
    <xdr:to>
      <xdr:col>24</xdr:col>
      <xdr:colOff>47625</xdr:colOff>
      <xdr:row>386</xdr:row>
      <xdr:rowOff>142875</xdr:rowOff>
    </xdr:to>
    <xdr:pic>
      <xdr:nvPicPr>
        <xdr:cNvPr id="135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4597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387</xdr:row>
      <xdr:rowOff>19050</xdr:rowOff>
    </xdr:from>
    <xdr:to>
      <xdr:col>24</xdr:col>
      <xdr:colOff>47625</xdr:colOff>
      <xdr:row>387</xdr:row>
      <xdr:rowOff>142875</xdr:rowOff>
    </xdr:to>
    <xdr:pic>
      <xdr:nvPicPr>
        <xdr:cNvPr id="137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4749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357</xdr:row>
      <xdr:rowOff>19050</xdr:rowOff>
    </xdr:from>
    <xdr:to>
      <xdr:col>24</xdr:col>
      <xdr:colOff>47625</xdr:colOff>
      <xdr:row>357</xdr:row>
      <xdr:rowOff>142875</xdr:rowOff>
    </xdr:to>
    <xdr:pic>
      <xdr:nvPicPr>
        <xdr:cNvPr id="139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0330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358</xdr:row>
      <xdr:rowOff>19050</xdr:rowOff>
    </xdr:from>
    <xdr:to>
      <xdr:col>24</xdr:col>
      <xdr:colOff>47625</xdr:colOff>
      <xdr:row>358</xdr:row>
      <xdr:rowOff>142875</xdr:rowOff>
    </xdr:to>
    <xdr:pic>
      <xdr:nvPicPr>
        <xdr:cNvPr id="140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0482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286</xdr:row>
      <xdr:rowOff>19050</xdr:rowOff>
    </xdr:from>
    <xdr:to>
      <xdr:col>24</xdr:col>
      <xdr:colOff>47625</xdr:colOff>
      <xdr:row>286</xdr:row>
      <xdr:rowOff>142875</xdr:rowOff>
    </xdr:to>
    <xdr:pic>
      <xdr:nvPicPr>
        <xdr:cNvPr id="146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309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270</xdr:row>
      <xdr:rowOff>19050</xdr:rowOff>
    </xdr:from>
    <xdr:to>
      <xdr:col>24</xdr:col>
      <xdr:colOff>47625</xdr:colOff>
      <xdr:row>270</xdr:row>
      <xdr:rowOff>142875</xdr:rowOff>
    </xdr:to>
    <xdr:pic>
      <xdr:nvPicPr>
        <xdr:cNvPr id="151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7176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271</xdr:row>
      <xdr:rowOff>19050</xdr:rowOff>
    </xdr:from>
    <xdr:to>
      <xdr:col>24</xdr:col>
      <xdr:colOff>47625</xdr:colOff>
      <xdr:row>271</xdr:row>
      <xdr:rowOff>142875</xdr:rowOff>
    </xdr:to>
    <xdr:pic>
      <xdr:nvPicPr>
        <xdr:cNvPr id="151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732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702</xdr:row>
      <xdr:rowOff>19050</xdr:rowOff>
    </xdr:from>
    <xdr:ext cx="847346" cy="121920"/>
    <xdr:pic>
      <xdr:nvPicPr>
        <xdr:cNvPr id="912" name="Imagen 91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4098607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703</xdr:row>
      <xdr:rowOff>19050</xdr:rowOff>
    </xdr:from>
    <xdr:ext cx="847346" cy="121920"/>
    <xdr:pic>
      <xdr:nvPicPr>
        <xdr:cNvPr id="1174" name="Imagen 117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41138475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52</xdr:row>
      <xdr:rowOff>19050</xdr:rowOff>
    </xdr:from>
    <xdr:to>
      <xdr:col>24</xdr:col>
      <xdr:colOff>47624</xdr:colOff>
      <xdr:row>52</xdr:row>
      <xdr:rowOff>142875</xdr:rowOff>
    </xdr:to>
    <xdr:pic>
      <xdr:nvPicPr>
        <xdr:cNvPr id="117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85344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203</xdr:row>
      <xdr:rowOff>19050</xdr:rowOff>
    </xdr:from>
    <xdr:to>
      <xdr:col>24</xdr:col>
      <xdr:colOff>47625</xdr:colOff>
      <xdr:row>203</xdr:row>
      <xdr:rowOff>142875</xdr:rowOff>
    </xdr:to>
    <xdr:pic>
      <xdr:nvPicPr>
        <xdr:cNvPr id="120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860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205</xdr:row>
      <xdr:rowOff>19050</xdr:rowOff>
    </xdr:from>
    <xdr:to>
      <xdr:col>24</xdr:col>
      <xdr:colOff>47625</xdr:colOff>
      <xdr:row>205</xdr:row>
      <xdr:rowOff>142875</xdr:rowOff>
    </xdr:to>
    <xdr:pic>
      <xdr:nvPicPr>
        <xdr:cNvPr id="123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8755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206</xdr:row>
      <xdr:rowOff>19050</xdr:rowOff>
    </xdr:from>
    <xdr:to>
      <xdr:col>24</xdr:col>
      <xdr:colOff>47625</xdr:colOff>
      <xdr:row>206</xdr:row>
      <xdr:rowOff>142875</xdr:rowOff>
    </xdr:to>
    <xdr:pic>
      <xdr:nvPicPr>
        <xdr:cNvPr id="125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8908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503</xdr:row>
      <xdr:rowOff>19050</xdr:rowOff>
    </xdr:from>
    <xdr:to>
      <xdr:col>24</xdr:col>
      <xdr:colOff>47624</xdr:colOff>
      <xdr:row>503</xdr:row>
      <xdr:rowOff>142875</xdr:rowOff>
    </xdr:to>
    <xdr:pic>
      <xdr:nvPicPr>
        <xdr:cNvPr id="126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80561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502</xdr:row>
      <xdr:rowOff>19050</xdr:rowOff>
    </xdr:from>
    <xdr:to>
      <xdr:col>24</xdr:col>
      <xdr:colOff>47624</xdr:colOff>
      <xdr:row>502</xdr:row>
      <xdr:rowOff>142875</xdr:rowOff>
    </xdr:to>
    <xdr:pic>
      <xdr:nvPicPr>
        <xdr:cNvPr id="141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79037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435</xdr:row>
      <xdr:rowOff>19050</xdr:rowOff>
    </xdr:from>
    <xdr:ext cx="819150" cy="125505"/>
    <xdr:pic>
      <xdr:nvPicPr>
        <xdr:cNvPr id="1176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605409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255</xdr:row>
      <xdr:rowOff>19050</xdr:rowOff>
    </xdr:from>
    <xdr:ext cx="819149" cy="123825"/>
    <xdr:pic>
      <xdr:nvPicPr>
        <xdr:cNvPr id="151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53091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254</xdr:row>
      <xdr:rowOff>19050</xdr:rowOff>
    </xdr:from>
    <xdr:ext cx="819149" cy="123825"/>
    <xdr:pic>
      <xdr:nvPicPr>
        <xdr:cNvPr id="151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51567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685</xdr:row>
      <xdr:rowOff>19050</xdr:rowOff>
    </xdr:from>
    <xdr:ext cx="847346" cy="121920"/>
    <xdr:pic>
      <xdr:nvPicPr>
        <xdr:cNvPr id="898" name="Imagen 89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921448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686</xdr:row>
      <xdr:rowOff>19050</xdr:rowOff>
    </xdr:from>
    <xdr:ext cx="847346" cy="121920"/>
    <xdr:pic>
      <xdr:nvPicPr>
        <xdr:cNvPr id="899" name="Imagen 89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922972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620</xdr:row>
      <xdr:rowOff>19050</xdr:rowOff>
    </xdr:from>
    <xdr:ext cx="847346" cy="121920"/>
    <xdr:pic>
      <xdr:nvPicPr>
        <xdr:cNvPr id="870" name="Imagen 86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83210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407</xdr:row>
      <xdr:rowOff>19050</xdr:rowOff>
    </xdr:from>
    <xdr:ext cx="819149" cy="123825"/>
    <xdr:pic>
      <xdr:nvPicPr>
        <xdr:cNvPr id="87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49021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406</xdr:row>
      <xdr:rowOff>19050</xdr:rowOff>
    </xdr:from>
    <xdr:ext cx="819149" cy="123825"/>
    <xdr:pic>
      <xdr:nvPicPr>
        <xdr:cNvPr id="87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45973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636</xdr:row>
      <xdr:rowOff>19050</xdr:rowOff>
    </xdr:from>
    <xdr:ext cx="847346" cy="121920"/>
    <xdr:pic>
      <xdr:nvPicPr>
        <xdr:cNvPr id="865" name="Imagen 86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62825" y="84429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288</xdr:row>
      <xdr:rowOff>19050</xdr:rowOff>
    </xdr:from>
    <xdr:ext cx="819150" cy="123825"/>
    <xdr:pic>
      <xdr:nvPicPr>
        <xdr:cNvPr id="86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8852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204</xdr:row>
      <xdr:rowOff>19050</xdr:rowOff>
    </xdr:from>
    <xdr:ext cx="819150" cy="123825"/>
    <xdr:pic>
      <xdr:nvPicPr>
        <xdr:cNvPr id="88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28603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300</xdr:row>
      <xdr:rowOff>19050</xdr:rowOff>
    </xdr:from>
    <xdr:ext cx="502919" cy="121920"/>
    <xdr:pic>
      <xdr:nvPicPr>
        <xdr:cNvPr id="859" name="Imagen 858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10550" y="417480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300</xdr:row>
      <xdr:rowOff>19050</xdr:rowOff>
    </xdr:from>
    <xdr:ext cx="819149" cy="123825"/>
    <xdr:pic>
      <xdr:nvPicPr>
        <xdr:cNvPr id="86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41748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268</xdr:row>
      <xdr:rowOff>19050</xdr:rowOff>
    </xdr:from>
    <xdr:to>
      <xdr:col>24</xdr:col>
      <xdr:colOff>47625</xdr:colOff>
      <xdr:row>268</xdr:row>
      <xdr:rowOff>142875</xdr:rowOff>
    </xdr:to>
    <xdr:pic>
      <xdr:nvPicPr>
        <xdr:cNvPr id="87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7023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269</xdr:row>
      <xdr:rowOff>19050</xdr:rowOff>
    </xdr:from>
    <xdr:to>
      <xdr:col>24</xdr:col>
      <xdr:colOff>47625</xdr:colOff>
      <xdr:row>269</xdr:row>
      <xdr:rowOff>142875</xdr:rowOff>
    </xdr:to>
    <xdr:pic>
      <xdr:nvPicPr>
        <xdr:cNvPr id="88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2825" y="37176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402</xdr:row>
      <xdr:rowOff>28575</xdr:rowOff>
    </xdr:from>
    <xdr:to>
      <xdr:col>1</xdr:col>
      <xdr:colOff>0</xdr:colOff>
      <xdr:row>402</xdr:row>
      <xdr:rowOff>133350</xdr:rowOff>
    </xdr:to>
    <xdr:pic>
      <xdr:nvPicPr>
        <xdr:cNvPr id="888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4302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447</xdr:row>
      <xdr:rowOff>19050</xdr:rowOff>
    </xdr:from>
    <xdr:ext cx="819150" cy="125505"/>
    <xdr:pic>
      <xdr:nvPicPr>
        <xdr:cNvPr id="854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02361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132</xdr:row>
      <xdr:rowOff>19050</xdr:rowOff>
    </xdr:from>
    <xdr:ext cx="819150" cy="123825"/>
    <xdr:pic>
      <xdr:nvPicPr>
        <xdr:cNvPr id="89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925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380</xdr:row>
      <xdr:rowOff>19050</xdr:rowOff>
    </xdr:from>
    <xdr:ext cx="819150" cy="123825"/>
    <xdr:pic>
      <xdr:nvPicPr>
        <xdr:cNvPr id="84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51549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283</xdr:row>
      <xdr:rowOff>19050</xdr:rowOff>
    </xdr:from>
    <xdr:ext cx="819150" cy="123825"/>
    <xdr:pic>
      <xdr:nvPicPr>
        <xdr:cNvPr id="85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004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366</xdr:row>
      <xdr:rowOff>19050</xdr:rowOff>
    </xdr:from>
    <xdr:ext cx="819150" cy="123825"/>
    <xdr:pic>
      <xdr:nvPicPr>
        <xdr:cNvPr id="85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9568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303</xdr:row>
      <xdr:rowOff>19050</xdr:rowOff>
    </xdr:from>
    <xdr:ext cx="828675" cy="123825"/>
    <xdr:pic>
      <xdr:nvPicPr>
        <xdr:cNvPr id="850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419004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76200</xdr:colOff>
      <xdr:row>303</xdr:row>
      <xdr:rowOff>19050</xdr:rowOff>
    </xdr:from>
    <xdr:to>
      <xdr:col>25</xdr:col>
      <xdr:colOff>83819</xdr:colOff>
      <xdr:row>303</xdr:row>
      <xdr:rowOff>140970</xdr:rowOff>
    </xdr:to>
    <xdr:pic>
      <xdr:nvPicPr>
        <xdr:cNvPr id="885" name="Imagen 884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2925" y="41900475"/>
          <a:ext cx="502919" cy="121920"/>
        </a:xfrm>
        <a:prstGeom prst="rect">
          <a:avLst/>
        </a:prstGeom>
      </xdr:spPr>
    </xdr:pic>
    <xdr:clientData/>
  </xdr:twoCellAnchor>
  <xdr:oneCellAnchor>
    <xdr:from>
      <xdr:col>23</xdr:col>
      <xdr:colOff>9525</xdr:colOff>
      <xdr:row>650</xdr:row>
      <xdr:rowOff>19050</xdr:rowOff>
    </xdr:from>
    <xdr:ext cx="847346" cy="121920"/>
    <xdr:pic>
      <xdr:nvPicPr>
        <xdr:cNvPr id="839" name="Imagen 83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4201000"/>
          <a:ext cx="847346" cy="121920"/>
        </a:xfrm>
        <a:prstGeom prst="rect">
          <a:avLst/>
        </a:prstGeom>
      </xdr:spPr>
    </xdr:pic>
    <xdr:clientData/>
  </xdr:oneCellAnchor>
  <xdr:oneCellAnchor>
    <xdr:from>
      <xdr:col>24</xdr:col>
      <xdr:colOff>76200</xdr:colOff>
      <xdr:row>298</xdr:row>
      <xdr:rowOff>19050</xdr:rowOff>
    </xdr:from>
    <xdr:ext cx="502919" cy="121920"/>
    <xdr:pic>
      <xdr:nvPicPr>
        <xdr:cNvPr id="910" name="Imagen 909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12908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298</xdr:row>
      <xdr:rowOff>19050</xdr:rowOff>
    </xdr:from>
    <xdr:ext cx="819149" cy="123825"/>
    <xdr:pic>
      <xdr:nvPicPr>
        <xdr:cNvPr id="9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412908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274</xdr:row>
      <xdr:rowOff>19050</xdr:rowOff>
    </xdr:from>
    <xdr:ext cx="819149" cy="123825"/>
    <xdr:pic>
      <xdr:nvPicPr>
        <xdr:cNvPr id="92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80904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322</xdr:row>
      <xdr:rowOff>19050</xdr:rowOff>
    </xdr:from>
    <xdr:ext cx="828675" cy="123825"/>
    <xdr:pic>
      <xdr:nvPicPr>
        <xdr:cNvPr id="890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441864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322</xdr:row>
      <xdr:rowOff>19050</xdr:rowOff>
    </xdr:from>
    <xdr:ext cx="502919" cy="121920"/>
    <xdr:pic>
      <xdr:nvPicPr>
        <xdr:cNvPr id="909" name="Imagen 908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4186475"/>
          <a:ext cx="502919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168</xdr:row>
      <xdr:rowOff>19050</xdr:rowOff>
    </xdr:from>
    <xdr:to>
      <xdr:col>24</xdr:col>
      <xdr:colOff>47625</xdr:colOff>
      <xdr:row>168</xdr:row>
      <xdr:rowOff>142875</xdr:rowOff>
    </xdr:to>
    <xdr:pic>
      <xdr:nvPicPr>
        <xdr:cNvPr id="92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3822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136</xdr:row>
      <xdr:rowOff>19050</xdr:rowOff>
    </xdr:from>
    <xdr:ext cx="819150" cy="123825"/>
    <xdr:pic>
      <xdr:nvPicPr>
        <xdr:cNvPr id="939" name="867 Imagen" descr="laser fibra icono.png">
          <a:extLst>
            <a:ext uri="{FF2B5EF4-FFF2-40B4-BE49-F238E27FC236}">
              <a16:creationId xmlns:a16="http://schemas.microsoft.com/office/drawing/2014/main" id="{80DC8A16-3910-4D8D-BEF2-8DFB2210F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20012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688</xdr:row>
      <xdr:rowOff>19050</xdr:rowOff>
    </xdr:from>
    <xdr:ext cx="847346" cy="121920"/>
    <xdr:pic>
      <xdr:nvPicPr>
        <xdr:cNvPr id="974" name="Imagen 97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53400" y="94516575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688</xdr:row>
      <xdr:rowOff>19050</xdr:rowOff>
    </xdr:from>
    <xdr:to>
      <xdr:col>24</xdr:col>
      <xdr:colOff>47625</xdr:colOff>
      <xdr:row>688</xdr:row>
      <xdr:rowOff>142875</xdr:rowOff>
    </xdr:to>
    <xdr:pic>
      <xdr:nvPicPr>
        <xdr:cNvPr id="975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4516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256</xdr:row>
      <xdr:rowOff>19050</xdr:rowOff>
    </xdr:from>
    <xdr:ext cx="819149" cy="123825"/>
    <xdr:pic>
      <xdr:nvPicPr>
        <xdr:cNvPr id="99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54615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418</xdr:row>
      <xdr:rowOff>19050</xdr:rowOff>
    </xdr:from>
    <xdr:ext cx="819150" cy="123825"/>
    <xdr:pic>
      <xdr:nvPicPr>
        <xdr:cNvPr id="102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56883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587</xdr:row>
      <xdr:rowOff>19050</xdr:rowOff>
    </xdr:from>
    <xdr:ext cx="847346" cy="121920"/>
    <xdr:pic>
      <xdr:nvPicPr>
        <xdr:cNvPr id="1042" name="Imagen 104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3775" y="80162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609</xdr:row>
      <xdr:rowOff>19050</xdr:rowOff>
    </xdr:from>
    <xdr:ext cx="847346" cy="121920"/>
    <xdr:pic>
      <xdr:nvPicPr>
        <xdr:cNvPr id="883" name="Imagen 88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12292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589</xdr:row>
      <xdr:rowOff>19050</xdr:rowOff>
    </xdr:from>
    <xdr:ext cx="847346" cy="121920"/>
    <xdr:pic>
      <xdr:nvPicPr>
        <xdr:cNvPr id="954" name="Imagen 95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79857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590</xdr:row>
      <xdr:rowOff>19050</xdr:rowOff>
    </xdr:from>
    <xdr:ext cx="847346" cy="121920"/>
    <xdr:pic>
      <xdr:nvPicPr>
        <xdr:cNvPr id="990" name="Imagen 98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797052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591</xdr:row>
      <xdr:rowOff>19050</xdr:rowOff>
    </xdr:from>
    <xdr:ext cx="847346" cy="121920"/>
    <xdr:pic>
      <xdr:nvPicPr>
        <xdr:cNvPr id="1005" name="Imagen 100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79857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603</xdr:row>
      <xdr:rowOff>19050</xdr:rowOff>
    </xdr:from>
    <xdr:ext cx="847346" cy="121920"/>
    <xdr:pic>
      <xdr:nvPicPr>
        <xdr:cNvPr id="1060" name="Imagen 105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1381600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432</xdr:row>
      <xdr:rowOff>19050</xdr:rowOff>
    </xdr:from>
    <xdr:to>
      <xdr:col>24</xdr:col>
      <xdr:colOff>47625</xdr:colOff>
      <xdr:row>432</xdr:row>
      <xdr:rowOff>144555</xdr:rowOff>
    </xdr:to>
    <xdr:pic>
      <xdr:nvPicPr>
        <xdr:cNvPr id="1066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90169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335</xdr:row>
      <xdr:rowOff>19050</xdr:rowOff>
    </xdr:from>
    <xdr:to>
      <xdr:col>24</xdr:col>
      <xdr:colOff>47625</xdr:colOff>
      <xdr:row>335</xdr:row>
      <xdr:rowOff>142875</xdr:rowOff>
    </xdr:to>
    <xdr:pic>
      <xdr:nvPicPr>
        <xdr:cNvPr id="1074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5100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76200</xdr:colOff>
      <xdr:row>335</xdr:row>
      <xdr:rowOff>19050</xdr:rowOff>
    </xdr:from>
    <xdr:to>
      <xdr:col>25</xdr:col>
      <xdr:colOff>83819</xdr:colOff>
      <xdr:row>335</xdr:row>
      <xdr:rowOff>140970</xdr:rowOff>
    </xdr:to>
    <xdr:pic>
      <xdr:nvPicPr>
        <xdr:cNvPr id="1077" name="Imagen 1076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81975" y="45100875"/>
          <a:ext cx="502919" cy="121920"/>
        </a:xfrm>
        <a:prstGeom prst="rect">
          <a:avLst/>
        </a:prstGeom>
      </xdr:spPr>
    </xdr:pic>
    <xdr:clientData/>
  </xdr:twoCellAnchor>
  <xdr:twoCellAnchor editAs="oneCell">
    <xdr:from>
      <xdr:col>24</xdr:col>
      <xdr:colOff>76200</xdr:colOff>
      <xdr:row>327</xdr:row>
      <xdr:rowOff>19050</xdr:rowOff>
    </xdr:from>
    <xdr:to>
      <xdr:col>25</xdr:col>
      <xdr:colOff>83819</xdr:colOff>
      <xdr:row>327</xdr:row>
      <xdr:rowOff>140970</xdr:rowOff>
    </xdr:to>
    <xdr:pic>
      <xdr:nvPicPr>
        <xdr:cNvPr id="1080" name="Imagen 1079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8910875"/>
          <a:ext cx="502919" cy="121920"/>
        </a:xfrm>
        <a:prstGeom prst="rect">
          <a:avLst/>
        </a:prstGeom>
      </xdr:spPr>
    </xdr:pic>
    <xdr:clientData/>
  </xdr:twoCellAnchor>
  <xdr:twoCellAnchor editAs="oneCell">
    <xdr:from>
      <xdr:col>23</xdr:col>
      <xdr:colOff>9525</xdr:colOff>
      <xdr:row>413</xdr:row>
      <xdr:rowOff>19050</xdr:rowOff>
    </xdr:from>
    <xdr:to>
      <xdr:col>24</xdr:col>
      <xdr:colOff>47625</xdr:colOff>
      <xdr:row>413</xdr:row>
      <xdr:rowOff>142875</xdr:rowOff>
    </xdr:to>
    <xdr:pic>
      <xdr:nvPicPr>
        <xdr:cNvPr id="90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273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414</xdr:row>
      <xdr:rowOff>19050</xdr:rowOff>
    </xdr:from>
    <xdr:to>
      <xdr:col>24</xdr:col>
      <xdr:colOff>47625</xdr:colOff>
      <xdr:row>414</xdr:row>
      <xdr:rowOff>142875</xdr:rowOff>
    </xdr:to>
    <xdr:pic>
      <xdr:nvPicPr>
        <xdr:cNvPr id="103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6426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403</xdr:row>
      <xdr:rowOff>19050</xdr:rowOff>
    </xdr:from>
    <xdr:ext cx="819150" cy="123825"/>
    <xdr:pic>
      <xdr:nvPicPr>
        <xdr:cNvPr id="112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53987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403</xdr:row>
      <xdr:rowOff>28575</xdr:rowOff>
    </xdr:from>
    <xdr:ext cx="342900" cy="104775"/>
    <xdr:pic>
      <xdr:nvPicPr>
        <xdr:cNvPr id="1126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064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251</xdr:row>
      <xdr:rowOff>19050</xdr:rowOff>
    </xdr:from>
    <xdr:ext cx="819149" cy="123825"/>
    <xdr:pic>
      <xdr:nvPicPr>
        <xdr:cNvPr id="103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382428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251</xdr:row>
      <xdr:rowOff>19050</xdr:rowOff>
    </xdr:from>
    <xdr:ext cx="342900" cy="104775"/>
    <xdr:pic>
      <xdr:nvPicPr>
        <xdr:cNvPr id="1129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1567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289</xdr:row>
      <xdr:rowOff>19050</xdr:rowOff>
    </xdr:from>
    <xdr:ext cx="819150" cy="123825"/>
    <xdr:pic>
      <xdr:nvPicPr>
        <xdr:cNvPr id="115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40681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624</xdr:row>
      <xdr:rowOff>19050</xdr:rowOff>
    </xdr:from>
    <xdr:ext cx="847346" cy="121920"/>
    <xdr:pic>
      <xdr:nvPicPr>
        <xdr:cNvPr id="1043" name="Imagen 104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4429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604</xdr:row>
      <xdr:rowOff>19050</xdr:rowOff>
    </xdr:from>
    <xdr:ext cx="847346" cy="121920"/>
    <xdr:pic>
      <xdr:nvPicPr>
        <xdr:cNvPr id="1157" name="Imagen 1156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27532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629</xdr:row>
      <xdr:rowOff>19050</xdr:rowOff>
    </xdr:from>
    <xdr:ext cx="847346" cy="121920"/>
    <xdr:pic>
      <xdr:nvPicPr>
        <xdr:cNvPr id="937" name="Imagen 936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519160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629</xdr:row>
      <xdr:rowOff>28575</xdr:rowOff>
    </xdr:from>
    <xdr:ext cx="342900" cy="104775"/>
    <xdr:pic>
      <xdr:nvPicPr>
        <xdr:cNvPr id="1097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0487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732</xdr:row>
      <xdr:rowOff>19050</xdr:rowOff>
    </xdr:from>
    <xdr:to>
      <xdr:col>24</xdr:col>
      <xdr:colOff>47624</xdr:colOff>
      <xdr:row>732</xdr:row>
      <xdr:rowOff>142875</xdr:rowOff>
    </xdr:to>
    <xdr:pic>
      <xdr:nvPicPr>
        <xdr:cNvPr id="115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995648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8283</xdr:colOff>
      <xdr:row>384</xdr:row>
      <xdr:rowOff>16566</xdr:rowOff>
    </xdr:from>
    <xdr:ext cx="819150" cy="123825"/>
    <xdr:pic>
      <xdr:nvPicPr>
        <xdr:cNvPr id="116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2058" y="53070816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492</xdr:row>
      <xdr:rowOff>19050</xdr:rowOff>
    </xdr:from>
    <xdr:to>
      <xdr:col>24</xdr:col>
      <xdr:colOff>47624</xdr:colOff>
      <xdr:row>492</xdr:row>
      <xdr:rowOff>142875</xdr:rowOff>
    </xdr:to>
    <xdr:pic>
      <xdr:nvPicPr>
        <xdr:cNvPr id="119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63797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177</xdr:row>
      <xdr:rowOff>19050</xdr:rowOff>
    </xdr:from>
    <xdr:ext cx="819150" cy="123825"/>
    <xdr:pic>
      <xdr:nvPicPr>
        <xdr:cNvPr id="1193" name="799 Imagen" descr="laser fibra icono.png">
          <a:extLst>
            <a:ext uri="{FF2B5EF4-FFF2-40B4-BE49-F238E27FC236}">
              <a16:creationId xmlns:a16="http://schemas.microsoft.com/office/drawing/2014/main" id="{EDD32002-13BF-4860-8699-927BE3045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25860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441</xdr:row>
      <xdr:rowOff>19050</xdr:rowOff>
    </xdr:from>
    <xdr:to>
      <xdr:col>24</xdr:col>
      <xdr:colOff>47625</xdr:colOff>
      <xdr:row>441</xdr:row>
      <xdr:rowOff>144555</xdr:rowOff>
    </xdr:to>
    <xdr:pic>
      <xdr:nvPicPr>
        <xdr:cNvPr id="1219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05409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372</xdr:row>
      <xdr:rowOff>19050</xdr:rowOff>
    </xdr:from>
    <xdr:to>
      <xdr:col>24</xdr:col>
      <xdr:colOff>47625</xdr:colOff>
      <xdr:row>372</xdr:row>
      <xdr:rowOff>144555</xdr:rowOff>
    </xdr:to>
    <xdr:pic>
      <xdr:nvPicPr>
        <xdr:cNvPr id="1224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7017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373</xdr:row>
      <xdr:rowOff>19050</xdr:rowOff>
    </xdr:from>
    <xdr:to>
      <xdr:col>24</xdr:col>
      <xdr:colOff>47625</xdr:colOff>
      <xdr:row>373</xdr:row>
      <xdr:rowOff>144555</xdr:rowOff>
    </xdr:to>
    <xdr:pic>
      <xdr:nvPicPr>
        <xdr:cNvPr id="1238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518541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619</xdr:row>
      <xdr:rowOff>19050</xdr:rowOff>
    </xdr:from>
    <xdr:ext cx="847346" cy="121920"/>
    <xdr:pic>
      <xdr:nvPicPr>
        <xdr:cNvPr id="1241" name="Imagen 124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4734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618</xdr:row>
      <xdr:rowOff>19050</xdr:rowOff>
    </xdr:from>
    <xdr:ext cx="847346" cy="121920"/>
    <xdr:pic>
      <xdr:nvPicPr>
        <xdr:cNvPr id="1244" name="Imagen 124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45820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607</xdr:row>
      <xdr:rowOff>19050</xdr:rowOff>
    </xdr:from>
    <xdr:ext cx="847346" cy="121920"/>
    <xdr:pic>
      <xdr:nvPicPr>
        <xdr:cNvPr id="1247" name="Imagen 1246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26008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608</xdr:row>
      <xdr:rowOff>19050</xdr:rowOff>
    </xdr:from>
    <xdr:ext cx="847346" cy="121920"/>
    <xdr:pic>
      <xdr:nvPicPr>
        <xdr:cNvPr id="1253" name="Imagen 125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27532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592</xdr:row>
      <xdr:rowOff>19050</xdr:rowOff>
    </xdr:from>
    <xdr:ext cx="847346" cy="121920"/>
    <xdr:pic>
      <xdr:nvPicPr>
        <xdr:cNvPr id="1264" name="Imagen 126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10768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595</xdr:row>
      <xdr:rowOff>19050</xdr:rowOff>
    </xdr:from>
    <xdr:ext cx="847346" cy="121920"/>
    <xdr:pic>
      <xdr:nvPicPr>
        <xdr:cNvPr id="1268" name="Imagen 126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12292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600</xdr:row>
      <xdr:rowOff>19050</xdr:rowOff>
    </xdr:from>
    <xdr:ext cx="847346" cy="121920"/>
    <xdr:pic>
      <xdr:nvPicPr>
        <xdr:cNvPr id="1269" name="Imagen 126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16864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597</xdr:row>
      <xdr:rowOff>19050</xdr:rowOff>
    </xdr:from>
    <xdr:ext cx="847346" cy="121920"/>
    <xdr:pic>
      <xdr:nvPicPr>
        <xdr:cNvPr id="1272" name="Imagen 127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13816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599</xdr:row>
      <xdr:rowOff>19050</xdr:rowOff>
    </xdr:from>
    <xdr:ext cx="847346" cy="121920"/>
    <xdr:pic>
      <xdr:nvPicPr>
        <xdr:cNvPr id="1282" name="Imagen 128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15340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438</xdr:row>
      <xdr:rowOff>19050</xdr:rowOff>
    </xdr:from>
    <xdr:ext cx="819150" cy="123825"/>
    <xdr:pic>
      <xdr:nvPicPr>
        <xdr:cNvPr id="1293" name="306 Imagen" descr="laser icono.png">
          <a:extLst>
            <a:ext uri="{FF2B5EF4-FFF2-40B4-BE49-F238E27FC236}">
              <a16:creationId xmlns:a16="http://schemas.microsoft.com/office/drawing/2014/main" id="{154362FE-74D2-4FE9-BCA8-1BFDFA4EB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0388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438</xdr:row>
      <xdr:rowOff>28575</xdr:rowOff>
    </xdr:from>
    <xdr:ext cx="342900" cy="104775"/>
    <xdr:pic>
      <xdr:nvPicPr>
        <xdr:cNvPr id="1297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2456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519</xdr:row>
      <xdr:rowOff>19050</xdr:rowOff>
    </xdr:from>
    <xdr:ext cx="847346" cy="121920"/>
    <xdr:pic>
      <xdr:nvPicPr>
        <xdr:cNvPr id="1313" name="Imagen 131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703421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253</xdr:row>
      <xdr:rowOff>19050</xdr:rowOff>
    </xdr:from>
    <xdr:ext cx="819149" cy="123825"/>
    <xdr:pic>
      <xdr:nvPicPr>
        <xdr:cNvPr id="131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50043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596</xdr:row>
      <xdr:rowOff>19050</xdr:rowOff>
    </xdr:from>
    <xdr:ext cx="847346" cy="121920"/>
    <xdr:pic>
      <xdr:nvPicPr>
        <xdr:cNvPr id="1318" name="Imagen 131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53300" y="803148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437</xdr:row>
      <xdr:rowOff>19050</xdr:rowOff>
    </xdr:from>
    <xdr:ext cx="819150" cy="123825"/>
    <xdr:pic>
      <xdr:nvPicPr>
        <xdr:cNvPr id="955" name="306 Imagen" descr="laser icono.png">
          <a:extLst>
            <a:ext uri="{FF2B5EF4-FFF2-40B4-BE49-F238E27FC236}">
              <a16:creationId xmlns:a16="http://schemas.microsoft.com/office/drawing/2014/main" id="{154362FE-74D2-4FE9-BCA8-1BFDFA4EB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0236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437</xdr:row>
      <xdr:rowOff>28575</xdr:rowOff>
    </xdr:from>
    <xdr:ext cx="342900" cy="104775"/>
    <xdr:pic>
      <xdr:nvPicPr>
        <xdr:cNvPr id="1033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940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451</xdr:row>
      <xdr:rowOff>19050</xdr:rowOff>
    </xdr:from>
    <xdr:ext cx="819150" cy="125505"/>
    <xdr:pic>
      <xdr:nvPicPr>
        <xdr:cNvPr id="1048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630269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451</xdr:row>
      <xdr:rowOff>28575</xdr:rowOff>
    </xdr:from>
    <xdr:ext cx="342900" cy="104775"/>
    <xdr:pic>
      <xdr:nvPicPr>
        <xdr:cNvPr id="1065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188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275</xdr:row>
      <xdr:rowOff>19050</xdr:rowOff>
    </xdr:from>
    <xdr:ext cx="819150" cy="123825"/>
    <xdr:pic>
      <xdr:nvPicPr>
        <xdr:cNvPr id="107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39004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275</xdr:row>
      <xdr:rowOff>28575</xdr:rowOff>
    </xdr:from>
    <xdr:ext cx="342900" cy="104775"/>
    <xdr:pic>
      <xdr:nvPicPr>
        <xdr:cNvPr id="1153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795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297</xdr:row>
      <xdr:rowOff>19050</xdr:rowOff>
    </xdr:from>
    <xdr:ext cx="502919" cy="121920"/>
    <xdr:pic>
      <xdr:nvPicPr>
        <xdr:cNvPr id="1070" name="Imagen 1069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91500" y="423576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297</xdr:row>
      <xdr:rowOff>19050</xdr:rowOff>
    </xdr:from>
    <xdr:ext cx="819149" cy="123825"/>
    <xdr:pic>
      <xdr:nvPicPr>
        <xdr:cNvPr id="115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42357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572</xdr:row>
      <xdr:rowOff>19050</xdr:rowOff>
    </xdr:from>
    <xdr:ext cx="819150" cy="125505"/>
    <xdr:pic>
      <xdr:nvPicPr>
        <xdr:cNvPr id="1237" name="413 Imagen" descr="subli 4 g icono.png">
          <a:extLst>
            <a:ext uri="{FF2B5EF4-FFF2-40B4-BE49-F238E27FC236}">
              <a16:creationId xmlns:a16="http://schemas.microsoft.com/office/drawing/2014/main" id="{AC7C27E5-1860-4C58-91E4-3842F0D99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0" cstate="print">
          <a:duotone>
            <a:schemeClr val="accent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775430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242</xdr:row>
      <xdr:rowOff>19050</xdr:rowOff>
    </xdr:from>
    <xdr:ext cx="819150" cy="123825"/>
    <xdr:pic>
      <xdr:nvPicPr>
        <xdr:cNvPr id="128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3775" y="34089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497</xdr:row>
      <xdr:rowOff>28575</xdr:rowOff>
    </xdr:from>
    <xdr:ext cx="342900" cy="104775"/>
    <xdr:pic>
      <xdr:nvPicPr>
        <xdr:cNvPr id="1172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4560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498</xdr:row>
      <xdr:rowOff>28575</xdr:rowOff>
    </xdr:from>
    <xdr:ext cx="342900" cy="104775"/>
    <xdr:pic>
      <xdr:nvPicPr>
        <xdr:cNvPr id="1227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6084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434</xdr:row>
      <xdr:rowOff>19050</xdr:rowOff>
    </xdr:from>
    <xdr:ext cx="819150" cy="125505"/>
    <xdr:pic>
      <xdr:nvPicPr>
        <xdr:cNvPr id="1251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993130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434</xdr:row>
      <xdr:rowOff>28575</xdr:rowOff>
    </xdr:from>
    <xdr:ext cx="342900" cy="104775"/>
    <xdr:pic>
      <xdr:nvPicPr>
        <xdr:cNvPr id="1281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932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654</xdr:row>
      <xdr:rowOff>19050</xdr:rowOff>
    </xdr:from>
    <xdr:ext cx="847346" cy="121920"/>
    <xdr:pic>
      <xdr:nvPicPr>
        <xdr:cNvPr id="1036" name="Imagen 103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85253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730</xdr:row>
      <xdr:rowOff>19050</xdr:rowOff>
    </xdr:from>
    <xdr:ext cx="819150" cy="123825"/>
    <xdr:pic>
      <xdr:nvPicPr>
        <xdr:cNvPr id="1329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9412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737</xdr:row>
      <xdr:rowOff>19050</xdr:rowOff>
    </xdr:from>
    <xdr:to>
      <xdr:col>24</xdr:col>
      <xdr:colOff>47625</xdr:colOff>
      <xdr:row>737</xdr:row>
      <xdr:rowOff>142875</xdr:rowOff>
    </xdr:to>
    <xdr:pic>
      <xdr:nvPicPr>
        <xdr:cNvPr id="1351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0093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738</xdr:row>
      <xdr:rowOff>19050</xdr:rowOff>
    </xdr:from>
    <xdr:to>
      <xdr:col>24</xdr:col>
      <xdr:colOff>47625</xdr:colOff>
      <xdr:row>738</xdr:row>
      <xdr:rowOff>142875</xdr:rowOff>
    </xdr:to>
    <xdr:pic>
      <xdr:nvPicPr>
        <xdr:cNvPr id="1357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01088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739</xdr:row>
      <xdr:rowOff>19050</xdr:rowOff>
    </xdr:from>
    <xdr:to>
      <xdr:col>24</xdr:col>
      <xdr:colOff>47625</xdr:colOff>
      <xdr:row>739</xdr:row>
      <xdr:rowOff>142875</xdr:rowOff>
    </xdr:to>
    <xdr:pic>
      <xdr:nvPicPr>
        <xdr:cNvPr id="1367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01241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687</xdr:row>
      <xdr:rowOff>19050</xdr:rowOff>
    </xdr:from>
    <xdr:to>
      <xdr:col>26</xdr:col>
      <xdr:colOff>0</xdr:colOff>
      <xdr:row>687</xdr:row>
      <xdr:rowOff>142875</xdr:rowOff>
    </xdr:to>
    <xdr:pic>
      <xdr:nvPicPr>
        <xdr:cNvPr id="1368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94364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734</xdr:row>
      <xdr:rowOff>19050</xdr:rowOff>
    </xdr:from>
    <xdr:to>
      <xdr:col>24</xdr:col>
      <xdr:colOff>47625</xdr:colOff>
      <xdr:row>734</xdr:row>
      <xdr:rowOff>142875</xdr:rowOff>
    </xdr:to>
    <xdr:pic>
      <xdr:nvPicPr>
        <xdr:cNvPr id="1396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00326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735</xdr:row>
      <xdr:rowOff>19050</xdr:rowOff>
    </xdr:from>
    <xdr:to>
      <xdr:col>24</xdr:col>
      <xdr:colOff>47625</xdr:colOff>
      <xdr:row>735</xdr:row>
      <xdr:rowOff>142875</xdr:rowOff>
    </xdr:to>
    <xdr:pic>
      <xdr:nvPicPr>
        <xdr:cNvPr id="1398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100479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689</xdr:row>
      <xdr:rowOff>19050</xdr:rowOff>
    </xdr:from>
    <xdr:to>
      <xdr:col>26</xdr:col>
      <xdr:colOff>0</xdr:colOff>
      <xdr:row>689</xdr:row>
      <xdr:rowOff>142875</xdr:rowOff>
    </xdr:to>
    <xdr:pic>
      <xdr:nvPicPr>
        <xdr:cNvPr id="1404" name="488 Imagen" descr="laser fibra icono.png">
          <a:extLst>
            <a:ext uri="{FF2B5EF4-FFF2-40B4-BE49-F238E27FC236}">
              <a16:creationId xmlns:a16="http://schemas.microsoft.com/office/drawing/2014/main" id="{4557523D-76BE-4B3D-A708-8950DE944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3400" y="94668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710</xdr:row>
      <xdr:rowOff>19050</xdr:rowOff>
    </xdr:from>
    <xdr:ext cx="819150" cy="123825"/>
    <xdr:pic>
      <xdr:nvPicPr>
        <xdr:cNvPr id="1405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99260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710</xdr:row>
      <xdr:rowOff>28575</xdr:rowOff>
    </xdr:from>
    <xdr:ext cx="342900" cy="104775"/>
    <xdr:pic>
      <xdr:nvPicPr>
        <xdr:cNvPr id="1408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8789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530</xdr:row>
      <xdr:rowOff>19050</xdr:rowOff>
    </xdr:from>
    <xdr:ext cx="847346" cy="121920"/>
    <xdr:pic>
      <xdr:nvPicPr>
        <xdr:cNvPr id="1412" name="Imagen 141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724757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531</xdr:row>
      <xdr:rowOff>19050</xdr:rowOff>
    </xdr:from>
    <xdr:ext cx="847346" cy="121920"/>
    <xdr:pic>
      <xdr:nvPicPr>
        <xdr:cNvPr id="1417" name="Imagen 1416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727805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534</xdr:row>
      <xdr:rowOff>19050</xdr:rowOff>
    </xdr:from>
    <xdr:ext cx="847346" cy="121920"/>
    <xdr:pic>
      <xdr:nvPicPr>
        <xdr:cNvPr id="1418" name="Imagen 141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72932925"/>
          <a:ext cx="847346" cy="121920"/>
        </a:xfrm>
        <a:prstGeom prst="rect">
          <a:avLst/>
        </a:prstGeom>
      </xdr:spPr>
    </xdr:pic>
    <xdr:clientData/>
  </xdr:oneCellAnchor>
  <xdr:twoCellAnchor editAs="oneCell">
    <xdr:from>
      <xdr:col>23</xdr:col>
      <xdr:colOff>9525</xdr:colOff>
      <xdr:row>444</xdr:row>
      <xdr:rowOff>19050</xdr:rowOff>
    </xdr:from>
    <xdr:to>
      <xdr:col>24</xdr:col>
      <xdr:colOff>47625</xdr:colOff>
      <xdr:row>444</xdr:row>
      <xdr:rowOff>144555</xdr:rowOff>
    </xdr:to>
    <xdr:pic>
      <xdr:nvPicPr>
        <xdr:cNvPr id="901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21125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412</xdr:row>
      <xdr:rowOff>19050</xdr:rowOff>
    </xdr:from>
    <xdr:ext cx="819150" cy="123825"/>
    <xdr:pic>
      <xdr:nvPicPr>
        <xdr:cNvPr id="94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56883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411</xdr:row>
      <xdr:rowOff>19050</xdr:rowOff>
    </xdr:from>
    <xdr:ext cx="819150" cy="123825"/>
    <xdr:pic>
      <xdr:nvPicPr>
        <xdr:cNvPr id="95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56883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277</xdr:row>
      <xdr:rowOff>19050</xdr:rowOff>
    </xdr:from>
    <xdr:ext cx="819149" cy="123825"/>
    <xdr:pic>
      <xdr:nvPicPr>
        <xdr:cNvPr id="140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38547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277</xdr:row>
      <xdr:rowOff>28575</xdr:rowOff>
    </xdr:from>
    <xdr:ext cx="342900" cy="104775"/>
    <xdr:pic>
      <xdr:nvPicPr>
        <xdr:cNvPr id="1442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319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323</xdr:row>
      <xdr:rowOff>19050</xdr:rowOff>
    </xdr:from>
    <xdr:ext cx="828675" cy="123825"/>
    <xdr:pic>
      <xdr:nvPicPr>
        <xdr:cNvPr id="1443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452532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323</xdr:row>
      <xdr:rowOff>19050</xdr:rowOff>
    </xdr:from>
    <xdr:ext cx="502919" cy="121920"/>
    <xdr:pic>
      <xdr:nvPicPr>
        <xdr:cNvPr id="1444" name="Imagen 1443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50" y="452532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290</xdr:row>
      <xdr:rowOff>19050</xdr:rowOff>
    </xdr:from>
    <xdr:ext cx="819150" cy="123825"/>
    <xdr:pic>
      <xdr:nvPicPr>
        <xdr:cNvPr id="147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41290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16</xdr:row>
      <xdr:rowOff>19050</xdr:rowOff>
    </xdr:from>
    <xdr:ext cx="819150" cy="123825"/>
    <xdr:pic>
      <xdr:nvPicPr>
        <xdr:cNvPr id="1067" name="1039 Imagen" descr="laser un lado icono.png">
          <a:extLst>
            <a:ext uri="{FF2B5EF4-FFF2-40B4-BE49-F238E27FC236}">
              <a16:creationId xmlns:a16="http://schemas.microsoft.com/office/drawing/2014/main" id="{D81B8030-98D5-4225-8049-FE45349487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45720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182</xdr:row>
      <xdr:rowOff>19050</xdr:rowOff>
    </xdr:from>
    <xdr:ext cx="819150" cy="123825"/>
    <xdr:pic>
      <xdr:nvPicPr>
        <xdr:cNvPr id="1245" name="799 Imagen" descr="laser fibra icono.png">
          <a:extLst>
            <a:ext uri="{FF2B5EF4-FFF2-40B4-BE49-F238E27FC236}">
              <a16:creationId xmlns:a16="http://schemas.microsoft.com/office/drawing/2014/main" id="{EDD32002-13BF-4860-8699-927BE30451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2555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628</xdr:row>
      <xdr:rowOff>19050</xdr:rowOff>
    </xdr:from>
    <xdr:ext cx="847346" cy="121920"/>
    <xdr:pic>
      <xdr:nvPicPr>
        <xdr:cNvPr id="1229" name="Imagen 122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24725" y="886968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173</xdr:row>
      <xdr:rowOff>19050</xdr:rowOff>
    </xdr:from>
    <xdr:ext cx="819150" cy="123825"/>
    <xdr:pic>
      <xdr:nvPicPr>
        <xdr:cNvPr id="148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25098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173</xdr:row>
      <xdr:rowOff>28575</xdr:rowOff>
    </xdr:from>
    <xdr:ext cx="342900" cy="104775"/>
    <xdr:pic>
      <xdr:nvPicPr>
        <xdr:cNvPr id="1484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9555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265</xdr:row>
      <xdr:rowOff>28575</xdr:rowOff>
    </xdr:from>
    <xdr:ext cx="342900" cy="104775"/>
    <xdr:pic>
      <xdr:nvPicPr>
        <xdr:cNvPr id="1428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9476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248</xdr:row>
      <xdr:rowOff>28575</xdr:rowOff>
    </xdr:from>
    <xdr:ext cx="342900" cy="104775"/>
    <xdr:pic>
      <xdr:nvPicPr>
        <xdr:cNvPr id="1437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8615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247</xdr:row>
      <xdr:rowOff>19050</xdr:rowOff>
    </xdr:from>
    <xdr:ext cx="819150" cy="123825"/>
    <xdr:pic>
      <xdr:nvPicPr>
        <xdr:cNvPr id="148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5004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247</xdr:row>
      <xdr:rowOff>28575</xdr:rowOff>
    </xdr:from>
    <xdr:ext cx="342900" cy="104775"/>
    <xdr:pic>
      <xdr:nvPicPr>
        <xdr:cNvPr id="1487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0139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57150</xdr:colOff>
      <xdr:row>247</xdr:row>
      <xdr:rowOff>19050</xdr:rowOff>
    </xdr:from>
    <xdr:to>
      <xdr:col>26</xdr:col>
      <xdr:colOff>0</xdr:colOff>
      <xdr:row>247</xdr:row>
      <xdr:rowOff>142875</xdr:rowOff>
    </xdr:to>
    <xdr:pic>
      <xdr:nvPicPr>
        <xdr:cNvPr id="1489" name="702 Imagen" descr="laser fibra icono.png">
          <a:extLst>
            <a:ext uri="{FF2B5EF4-FFF2-40B4-BE49-F238E27FC236}">
              <a16:creationId xmlns:a16="http://schemas.microsoft.com/office/drawing/2014/main" id="{A84E498A-D1D2-406F-9CCF-947161A9D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34851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24</xdr:col>
      <xdr:colOff>57150</xdr:colOff>
      <xdr:row>249</xdr:row>
      <xdr:rowOff>28575</xdr:rowOff>
    </xdr:from>
    <xdr:to>
      <xdr:col>26</xdr:col>
      <xdr:colOff>0</xdr:colOff>
      <xdr:row>250</xdr:row>
      <xdr:rowOff>0</xdr:rowOff>
    </xdr:to>
    <xdr:pic>
      <xdr:nvPicPr>
        <xdr:cNvPr id="1496" name="702 Imagen" descr="laser fibra icono.png">
          <a:extLst>
            <a:ext uri="{FF2B5EF4-FFF2-40B4-BE49-F238E27FC236}">
              <a16:creationId xmlns:a16="http://schemas.microsoft.com/office/drawing/2014/main" id="{A84E498A-D1D2-406F-9CCF-947161A9D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35166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729</xdr:row>
      <xdr:rowOff>19050</xdr:rowOff>
    </xdr:from>
    <xdr:ext cx="819150" cy="123825"/>
    <xdr:pic>
      <xdr:nvPicPr>
        <xdr:cNvPr id="1498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2936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708</xdr:row>
      <xdr:rowOff>19050</xdr:rowOff>
    </xdr:from>
    <xdr:ext cx="819150" cy="123825"/>
    <xdr:pic>
      <xdr:nvPicPr>
        <xdr:cNvPr id="1507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1717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708</xdr:row>
      <xdr:rowOff>28575</xdr:rowOff>
    </xdr:from>
    <xdr:ext cx="342900" cy="104775"/>
    <xdr:pic>
      <xdr:nvPicPr>
        <xdr:cNvPr id="1508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7270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725</xdr:row>
      <xdr:rowOff>19050</xdr:rowOff>
    </xdr:from>
    <xdr:ext cx="819150" cy="123825"/>
    <xdr:pic>
      <xdr:nvPicPr>
        <xdr:cNvPr id="1509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1412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725</xdr:row>
      <xdr:rowOff>28575</xdr:rowOff>
    </xdr:from>
    <xdr:ext cx="342900" cy="104775"/>
    <xdr:pic>
      <xdr:nvPicPr>
        <xdr:cNvPr id="1510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422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175</xdr:row>
      <xdr:rowOff>19050</xdr:rowOff>
    </xdr:from>
    <xdr:ext cx="819150" cy="123825"/>
    <xdr:pic>
      <xdr:nvPicPr>
        <xdr:cNvPr id="109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5098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207</xdr:row>
      <xdr:rowOff>28575</xdr:rowOff>
    </xdr:from>
    <xdr:ext cx="342900" cy="104775"/>
    <xdr:pic>
      <xdr:nvPicPr>
        <xdr:cNvPr id="1539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9555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208</xdr:row>
      <xdr:rowOff>28575</xdr:rowOff>
    </xdr:from>
    <xdr:ext cx="342900" cy="104775"/>
    <xdr:pic>
      <xdr:nvPicPr>
        <xdr:cNvPr id="1540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3751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207</xdr:row>
      <xdr:rowOff>19050</xdr:rowOff>
    </xdr:from>
    <xdr:to>
      <xdr:col>24</xdr:col>
      <xdr:colOff>47625</xdr:colOff>
      <xdr:row>207</xdr:row>
      <xdr:rowOff>142875</xdr:rowOff>
    </xdr:to>
    <xdr:pic>
      <xdr:nvPicPr>
        <xdr:cNvPr id="1541" name="798 Imagen" descr="laser un lado icono.png">
          <a:extLst>
            <a:ext uri="{FF2B5EF4-FFF2-40B4-BE49-F238E27FC236}">
              <a16:creationId xmlns:a16="http://schemas.microsoft.com/office/drawing/2014/main" id="{FEE13A0F-A7C3-4C88-B5E4-92FB9A0A5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936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208</xdr:row>
      <xdr:rowOff>19050</xdr:rowOff>
    </xdr:from>
    <xdr:to>
      <xdr:col>24</xdr:col>
      <xdr:colOff>47625</xdr:colOff>
      <xdr:row>208</xdr:row>
      <xdr:rowOff>142875</xdr:rowOff>
    </xdr:to>
    <xdr:pic>
      <xdr:nvPicPr>
        <xdr:cNvPr id="1542" name="798 Imagen" descr="laser un lado icono.png">
          <a:extLst>
            <a:ext uri="{FF2B5EF4-FFF2-40B4-BE49-F238E27FC236}">
              <a16:creationId xmlns:a16="http://schemas.microsoft.com/office/drawing/2014/main" id="{FEE13A0F-A7C3-4C88-B5E4-92FB9A0A5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951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452</xdr:row>
      <xdr:rowOff>19050</xdr:rowOff>
    </xdr:from>
    <xdr:ext cx="819150" cy="125505"/>
    <xdr:pic>
      <xdr:nvPicPr>
        <xdr:cNvPr id="1543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56177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452</xdr:row>
      <xdr:rowOff>28575</xdr:rowOff>
    </xdr:from>
    <xdr:ext cx="342900" cy="104775"/>
    <xdr:pic>
      <xdr:nvPicPr>
        <xdr:cNvPr id="1544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627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453</xdr:row>
      <xdr:rowOff>19050</xdr:rowOff>
    </xdr:from>
    <xdr:ext cx="819150" cy="125505"/>
    <xdr:pic>
      <xdr:nvPicPr>
        <xdr:cNvPr id="1545" name="518 Imagen" descr="laser fibra icono.png">
          <a:extLst>
            <a:ext uri="{FF2B5EF4-FFF2-40B4-BE49-F238E27FC236}">
              <a16:creationId xmlns:a16="http://schemas.microsoft.com/office/drawing/2014/main" id="{C58AC47F-3796-4DCF-A9B1-365E2E449A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57701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453</xdr:row>
      <xdr:rowOff>28575</xdr:rowOff>
    </xdr:from>
    <xdr:ext cx="342900" cy="104775"/>
    <xdr:pic>
      <xdr:nvPicPr>
        <xdr:cNvPr id="1546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57796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594</xdr:row>
      <xdr:rowOff>19050</xdr:rowOff>
    </xdr:from>
    <xdr:ext cx="847346" cy="121920"/>
    <xdr:pic>
      <xdr:nvPicPr>
        <xdr:cNvPr id="1547" name="Imagen 1546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4372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627</xdr:row>
      <xdr:rowOff>19050</xdr:rowOff>
    </xdr:from>
    <xdr:ext cx="847346" cy="121920"/>
    <xdr:pic>
      <xdr:nvPicPr>
        <xdr:cNvPr id="1549" name="Imagen 1548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02208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657</xdr:row>
      <xdr:rowOff>19050</xdr:rowOff>
    </xdr:from>
    <xdr:ext cx="847346" cy="121920"/>
    <xdr:pic>
      <xdr:nvPicPr>
        <xdr:cNvPr id="1551" name="Imagen 155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250680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588</xdr:row>
      <xdr:rowOff>19050</xdr:rowOff>
    </xdr:from>
    <xdr:ext cx="847346" cy="121920"/>
    <xdr:pic>
      <xdr:nvPicPr>
        <xdr:cNvPr id="1015" name="Imagen 101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836104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179</xdr:row>
      <xdr:rowOff>19050</xdr:rowOff>
    </xdr:from>
    <xdr:ext cx="819150" cy="123825"/>
    <xdr:pic>
      <xdr:nvPicPr>
        <xdr:cNvPr id="106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255555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8283</xdr:colOff>
      <xdr:row>184</xdr:row>
      <xdr:rowOff>16566</xdr:rowOff>
    </xdr:from>
    <xdr:ext cx="819150" cy="123825"/>
    <xdr:pic>
      <xdr:nvPicPr>
        <xdr:cNvPr id="1127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4433" y="24943491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178</xdr:row>
      <xdr:rowOff>19050</xdr:rowOff>
    </xdr:from>
    <xdr:ext cx="819150" cy="123825"/>
    <xdr:pic>
      <xdr:nvPicPr>
        <xdr:cNvPr id="121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25860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185</xdr:row>
      <xdr:rowOff>19050</xdr:rowOff>
    </xdr:from>
    <xdr:ext cx="819150" cy="123825"/>
    <xdr:pic>
      <xdr:nvPicPr>
        <xdr:cNvPr id="128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25860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101</xdr:row>
      <xdr:rowOff>19050</xdr:rowOff>
    </xdr:from>
    <xdr:ext cx="819150" cy="123825"/>
    <xdr:pic>
      <xdr:nvPicPr>
        <xdr:cNvPr id="129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16354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655</xdr:row>
      <xdr:rowOff>19050</xdr:rowOff>
    </xdr:from>
    <xdr:to>
      <xdr:col>24</xdr:col>
      <xdr:colOff>47624</xdr:colOff>
      <xdr:row>655</xdr:row>
      <xdr:rowOff>142875</xdr:rowOff>
    </xdr:to>
    <xdr:pic>
      <xdr:nvPicPr>
        <xdr:cNvPr id="153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9359265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387</xdr:row>
      <xdr:rowOff>28575</xdr:rowOff>
    </xdr:from>
    <xdr:to>
      <xdr:col>1</xdr:col>
      <xdr:colOff>0</xdr:colOff>
      <xdr:row>387</xdr:row>
      <xdr:rowOff>133350</xdr:rowOff>
    </xdr:to>
    <xdr:pic>
      <xdr:nvPicPr>
        <xdr:cNvPr id="935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7404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454</xdr:row>
      <xdr:rowOff>19050</xdr:rowOff>
    </xdr:from>
    <xdr:ext cx="819150" cy="123825"/>
    <xdr:pic>
      <xdr:nvPicPr>
        <xdr:cNvPr id="111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67141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456</xdr:row>
      <xdr:rowOff>19050</xdr:rowOff>
    </xdr:from>
    <xdr:ext cx="819150" cy="123825"/>
    <xdr:pic>
      <xdr:nvPicPr>
        <xdr:cNvPr id="1557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66989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8283</xdr:colOff>
      <xdr:row>383</xdr:row>
      <xdr:rowOff>16566</xdr:rowOff>
    </xdr:from>
    <xdr:ext cx="819150" cy="123825"/>
    <xdr:pic>
      <xdr:nvPicPr>
        <xdr:cNvPr id="155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4433" y="56423616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457</xdr:row>
      <xdr:rowOff>19050</xdr:rowOff>
    </xdr:from>
    <xdr:ext cx="819150" cy="123825"/>
    <xdr:pic>
      <xdr:nvPicPr>
        <xdr:cNvPr id="99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7294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457</xdr:row>
      <xdr:rowOff>28575</xdr:rowOff>
    </xdr:from>
    <xdr:ext cx="342900" cy="104775"/>
    <xdr:pic>
      <xdr:nvPicPr>
        <xdr:cNvPr id="998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760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535</xdr:row>
      <xdr:rowOff>19050</xdr:rowOff>
    </xdr:from>
    <xdr:ext cx="847346" cy="121920"/>
    <xdr:pic>
      <xdr:nvPicPr>
        <xdr:cNvPr id="1098" name="Imagen 109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77552550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536</xdr:row>
      <xdr:rowOff>19050</xdr:rowOff>
    </xdr:from>
    <xdr:ext cx="847346" cy="121920"/>
    <xdr:pic>
      <xdr:nvPicPr>
        <xdr:cNvPr id="1130" name="Imagen 112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34250" y="7770495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536</xdr:row>
      <xdr:rowOff>28575</xdr:rowOff>
    </xdr:from>
    <xdr:ext cx="342900" cy="104775"/>
    <xdr:pic>
      <xdr:nvPicPr>
        <xdr:cNvPr id="1052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77144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181</xdr:row>
      <xdr:rowOff>19050</xdr:rowOff>
    </xdr:from>
    <xdr:ext cx="819150" cy="123825"/>
    <xdr:pic>
      <xdr:nvPicPr>
        <xdr:cNvPr id="109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34250" y="26165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266</xdr:row>
      <xdr:rowOff>28575</xdr:rowOff>
    </xdr:from>
    <xdr:ext cx="342900" cy="104775"/>
    <xdr:pic>
      <xdr:nvPicPr>
        <xdr:cNvPr id="940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7764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266</xdr:row>
      <xdr:rowOff>19050</xdr:rowOff>
    </xdr:from>
    <xdr:to>
      <xdr:col>24</xdr:col>
      <xdr:colOff>47625</xdr:colOff>
      <xdr:row>266</xdr:row>
      <xdr:rowOff>142875</xdr:rowOff>
    </xdr:to>
    <xdr:pic>
      <xdr:nvPicPr>
        <xdr:cNvPr id="110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919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267</xdr:row>
      <xdr:rowOff>19050</xdr:rowOff>
    </xdr:from>
    <xdr:ext cx="819150" cy="123825"/>
    <xdr:pic>
      <xdr:nvPicPr>
        <xdr:cNvPr id="118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39919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102</xdr:row>
      <xdr:rowOff>19050</xdr:rowOff>
    </xdr:from>
    <xdr:ext cx="819150" cy="123825"/>
    <xdr:pic>
      <xdr:nvPicPr>
        <xdr:cNvPr id="110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6202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252</xdr:row>
      <xdr:rowOff>19050</xdr:rowOff>
    </xdr:from>
    <xdr:ext cx="819150" cy="123825"/>
    <xdr:pic>
      <xdr:nvPicPr>
        <xdr:cNvPr id="110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7785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257</xdr:row>
      <xdr:rowOff>19050</xdr:rowOff>
    </xdr:from>
    <xdr:ext cx="819149" cy="123825"/>
    <xdr:pic>
      <xdr:nvPicPr>
        <xdr:cNvPr id="119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8547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258</xdr:row>
      <xdr:rowOff>19050</xdr:rowOff>
    </xdr:from>
    <xdr:ext cx="819149" cy="123825"/>
    <xdr:pic>
      <xdr:nvPicPr>
        <xdr:cNvPr id="119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8700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259</xdr:row>
      <xdr:rowOff>19050</xdr:rowOff>
    </xdr:from>
    <xdr:ext cx="819149" cy="123825"/>
    <xdr:pic>
      <xdr:nvPicPr>
        <xdr:cNvPr id="121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88524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260</xdr:row>
      <xdr:rowOff>19050</xdr:rowOff>
    </xdr:from>
    <xdr:ext cx="819149" cy="123825"/>
    <xdr:pic>
      <xdr:nvPicPr>
        <xdr:cNvPr id="1239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0048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261</xdr:row>
      <xdr:rowOff>19050</xdr:rowOff>
    </xdr:from>
    <xdr:ext cx="819149" cy="123825"/>
    <xdr:pic>
      <xdr:nvPicPr>
        <xdr:cNvPr id="139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1572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263</xdr:row>
      <xdr:rowOff>19050</xdr:rowOff>
    </xdr:from>
    <xdr:ext cx="819149" cy="123825"/>
    <xdr:pic>
      <xdr:nvPicPr>
        <xdr:cNvPr id="141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4620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262</xdr:row>
      <xdr:rowOff>19050</xdr:rowOff>
    </xdr:from>
    <xdr:ext cx="819149" cy="123825"/>
    <xdr:pic>
      <xdr:nvPicPr>
        <xdr:cNvPr id="156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3096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264</xdr:row>
      <xdr:rowOff>19050</xdr:rowOff>
    </xdr:from>
    <xdr:ext cx="819149" cy="123825"/>
    <xdr:pic>
      <xdr:nvPicPr>
        <xdr:cNvPr id="156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6144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265</xdr:row>
      <xdr:rowOff>19050</xdr:rowOff>
    </xdr:from>
    <xdr:ext cx="819149" cy="123825"/>
    <xdr:pic>
      <xdr:nvPicPr>
        <xdr:cNvPr id="156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97668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493</xdr:row>
      <xdr:rowOff>28575</xdr:rowOff>
    </xdr:from>
    <xdr:ext cx="342900" cy="104775"/>
    <xdr:pic>
      <xdr:nvPicPr>
        <xdr:cNvPr id="1137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4184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494</xdr:row>
      <xdr:rowOff>28575</xdr:rowOff>
    </xdr:from>
    <xdr:ext cx="342900" cy="104775"/>
    <xdr:pic>
      <xdr:nvPicPr>
        <xdr:cNvPr id="1175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4184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493</xdr:row>
      <xdr:rowOff>19050</xdr:rowOff>
    </xdr:from>
    <xdr:to>
      <xdr:col>24</xdr:col>
      <xdr:colOff>47625</xdr:colOff>
      <xdr:row>493</xdr:row>
      <xdr:rowOff>142875</xdr:rowOff>
    </xdr:to>
    <xdr:pic>
      <xdr:nvPicPr>
        <xdr:cNvPr id="1246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1408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494</xdr:row>
      <xdr:rowOff>19050</xdr:rowOff>
    </xdr:from>
    <xdr:to>
      <xdr:col>24</xdr:col>
      <xdr:colOff>47625</xdr:colOff>
      <xdr:row>494</xdr:row>
      <xdr:rowOff>142875</xdr:rowOff>
    </xdr:to>
    <xdr:pic>
      <xdr:nvPicPr>
        <xdr:cNvPr id="1265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1561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495</xdr:row>
      <xdr:rowOff>28575</xdr:rowOff>
    </xdr:from>
    <xdr:ext cx="342900" cy="104775"/>
    <xdr:pic>
      <xdr:nvPicPr>
        <xdr:cNvPr id="1364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570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495</xdr:row>
      <xdr:rowOff>19050</xdr:rowOff>
    </xdr:from>
    <xdr:ext cx="819150" cy="123825"/>
    <xdr:pic>
      <xdr:nvPicPr>
        <xdr:cNvPr id="1366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1561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496</xdr:row>
      <xdr:rowOff>28575</xdr:rowOff>
    </xdr:from>
    <xdr:ext cx="342900" cy="104775"/>
    <xdr:pic>
      <xdr:nvPicPr>
        <xdr:cNvPr id="1415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723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496</xdr:row>
      <xdr:rowOff>19050</xdr:rowOff>
    </xdr:from>
    <xdr:ext cx="819150" cy="123825"/>
    <xdr:pic>
      <xdr:nvPicPr>
        <xdr:cNvPr id="1430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1713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249</xdr:row>
      <xdr:rowOff>19050</xdr:rowOff>
    </xdr:from>
    <xdr:ext cx="819150" cy="123825"/>
    <xdr:pic>
      <xdr:nvPicPr>
        <xdr:cNvPr id="143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7328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24</xdr:col>
      <xdr:colOff>57150</xdr:colOff>
      <xdr:row>248</xdr:row>
      <xdr:rowOff>28575</xdr:rowOff>
    </xdr:from>
    <xdr:to>
      <xdr:col>26</xdr:col>
      <xdr:colOff>0</xdr:colOff>
      <xdr:row>249</xdr:row>
      <xdr:rowOff>0</xdr:rowOff>
    </xdr:to>
    <xdr:pic>
      <xdr:nvPicPr>
        <xdr:cNvPr id="1448" name="702 Imagen" descr="laser fibra icono.png">
          <a:extLst>
            <a:ext uri="{FF2B5EF4-FFF2-40B4-BE49-F238E27FC236}">
              <a16:creationId xmlns:a16="http://schemas.microsoft.com/office/drawing/2014/main" id="{A84E498A-D1D2-406F-9CCF-947161A9D7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371856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248</xdr:row>
      <xdr:rowOff>19050</xdr:rowOff>
    </xdr:from>
    <xdr:ext cx="819150" cy="123825"/>
    <xdr:pic>
      <xdr:nvPicPr>
        <xdr:cNvPr id="148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7176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280</xdr:row>
      <xdr:rowOff>19050</xdr:rowOff>
    </xdr:from>
    <xdr:to>
      <xdr:col>24</xdr:col>
      <xdr:colOff>47625</xdr:colOff>
      <xdr:row>280</xdr:row>
      <xdr:rowOff>142875</xdr:rowOff>
    </xdr:to>
    <xdr:pic>
      <xdr:nvPicPr>
        <xdr:cNvPr id="148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22052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281</xdr:row>
      <xdr:rowOff>19050</xdr:rowOff>
    </xdr:from>
    <xdr:to>
      <xdr:col>24</xdr:col>
      <xdr:colOff>47625</xdr:colOff>
      <xdr:row>281</xdr:row>
      <xdr:rowOff>142875</xdr:rowOff>
    </xdr:to>
    <xdr:pic>
      <xdr:nvPicPr>
        <xdr:cNvPr id="148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2357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327</xdr:row>
      <xdr:rowOff>19050</xdr:rowOff>
    </xdr:from>
    <xdr:ext cx="828675" cy="123825"/>
    <xdr:pic>
      <xdr:nvPicPr>
        <xdr:cNvPr id="1492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83012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361</xdr:row>
      <xdr:rowOff>19050</xdr:rowOff>
    </xdr:from>
    <xdr:to>
      <xdr:col>24</xdr:col>
      <xdr:colOff>47625</xdr:colOff>
      <xdr:row>361</xdr:row>
      <xdr:rowOff>142875</xdr:rowOff>
    </xdr:to>
    <xdr:pic>
      <xdr:nvPicPr>
        <xdr:cNvPr id="152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378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362</xdr:row>
      <xdr:rowOff>19050</xdr:rowOff>
    </xdr:from>
    <xdr:to>
      <xdr:col>24</xdr:col>
      <xdr:colOff>47625</xdr:colOff>
      <xdr:row>362</xdr:row>
      <xdr:rowOff>142875</xdr:rowOff>
    </xdr:to>
    <xdr:pic>
      <xdr:nvPicPr>
        <xdr:cNvPr id="153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530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363</xdr:row>
      <xdr:rowOff>19050</xdr:rowOff>
    </xdr:from>
    <xdr:to>
      <xdr:col>24</xdr:col>
      <xdr:colOff>47625</xdr:colOff>
      <xdr:row>363</xdr:row>
      <xdr:rowOff>142875</xdr:rowOff>
    </xdr:to>
    <xdr:pic>
      <xdr:nvPicPr>
        <xdr:cNvPr id="1563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682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364</xdr:row>
      <xdr:rowOff>19050</xdr:rowOff>
    </xdr:from>
    <xdr:to>
      <xdr:col>24</xdr:col>
      <xdr:colOff>47625</xdr:colOff>
      <xdr:row>364</xdr:row>
      <xdr:rowOff>142875</xdr:rowOff>
    </xdr:to>
    <xdr:pic>
      <xdr:nvPicPr>
        <xdr:cNvPr id="156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3835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359</xdr:row>
      <xdr:rowOff>19050</xdr:rowOff>
    </xdr:from>
    <xdr:to>
      <xdr:col>24</xdr:col>
      <xdr:colOff>47625</xdr:colOff>
      <xdr:row>359</xdr:row>
      <xdr:rowOff>142875</xdr:rowOff>
    </xdr:to>
    <xdr:pic>
      <xdr:nvPicPr>
        <xdr:cNvPr id="156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2920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576</xdr:row>
      <xdr:rowOff>0</xdr:rowOff>
    </xdr:from>
    <xdr:to>
      <xdr:col>24</xdr:col>
      <xdr:colOff>48389</xdr:colOff>
      <xdr:row>576</xdr:row>
      <xdr:rowOff>121920</xdr:rowOff>
    </xdr:to>
    <xdr:pic>
      <xdr:nvPicPr>
        <xdr:cNvPr id="938" name="Imagen 937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4191475"/>
          <a:ext cx="819914" cy="121920"/>
        </a:xfrm>
        <a:prstGeom prst="rect">
          <a:avLst/>
        </a:prstGeom>
      </xdr:spPr>
    </xdr:pic>
    <xdr:clientData/>
  </xdr:twoCellAnchor>
  <xdr:twoCellAnchor editAs="oneCell">
    <xdr:from>
      <xdr:col>23</xdr:col>
      <xdr:colOff>9525</xdr:colOff>
      <xdr:row>419</xdr:row>
      <xdr:rowOff>19050</xdr:rowOff>
    </xdr:from>
    <xdr:to>
      <xdr:col>24</xdr:col>
      <xdr:colOff>47625</xdr:colOff>
      <xdr:row>419</xdr:row>
      <xdr:rowOff>142875</xdr:rowOff>
    </xdr:to>
    <xdr:pic>
      <xdr:nvPicPr>
        <xdr:cNvPr id="94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1960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9525</xdr:colOff>
      <xdr:row>420</xdr:row>
      <xdr:rowOff>19050</xdr:rowOff>
    </xdr:from>
    <xdr:to>
      <xdr:col>24</xdr:col>
      <xdr:colOff>47625</xdr:colOff>
      <xdr:row>420</xdr:row>
      <xdr:rowOff>142875</xdr:rowOff>
    </xdr:to>
    <xdr:pic>
      <xdr:nvPicPr>
        <xdr:cNvPr id="100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2112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108</xdr:row>
      <xdr:rowOff>19050</xdr:rowOff>
    </xdr:from>
    <xdr:ext cx="819150" cy="123825"/>
    <xdr:pic>
      <xdr:nvPicPr>
        <xdr:cNvPr id="1037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6811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108</xdr:row>
      <xdr:rowOff>19050</xdr:rowOff>
    </xdr:from>
    <xdr:ext cx="819149" cy="123825"/>
    <xdr:pic>
      <xdr:nvPicPr>
        <xdr:cNvPr id="1084" name="903 Imagen" descr="FULL PRINT ICONO.png">
          <a:extLst>
            <a:ext uri="{FF2B5EF4-FFF2-40B4-BE49-F238E27FC236}">
              <a16:creationId xmlns:a16="http://schemas.microsoft.com/office/drawing/2014/main" id="{98E801DF-0E4E-44F0-8E33-01E1ACC6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68116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108</xdr:row>
      <xdr:rowOff>28575</xdr:rowOff>
    </xdr:from>
    <xdr:ext cx="342900" cy="104775"/>
    <xdr:pic>
      <xdr:nvPicPr>
        <xdr:cNvPr id="1090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259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109</xdr:row>
      <xdr:rowOff>19050</xdr:rowOff>
    </xdr:from>
    <xdr:ext cx="819150" cy="123825"/>
    <xdr:pic>
      <xdr:nvPicPr>
        <xdr:cNvPr id="1091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711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109</xdr:row>
      <xdr:rowOff>28575</xdr:rowOff>
    </xdr:from>
    <xdr:ext cx="342900" cy="104775"/>
    <xdr:pic>
      <xdr:nvPicPr>
        <xdr:cNvPr id="1177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259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110</xdr:row>
      <xdr:rowOff>19050</xdr:rowOff>
    </xdr:from>
    <xdr:ext cx="819150" cy="123825"/>
    <xdr:pic>
      <xdr:nvPicPr>
        <xdr:cNvPr id="1183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7116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110</xdr:row>
      <xdr:rowOff>19050</xdr:rowOff>
    </xdr:from>
    <xdr:ext cx="819149" cy="123825"/>
    <xdr:pic>
      <xdr:nvPicPr>
        <xdr:cNvPr id="1198" name="903 Imagen" descr="FULL PRINT ICONO.png">
          <a:extLst>
            <a:ext uri="{FF2B5EF4-FFF2-40B4-BE49-F238E27FC236}">
              <a16:creationId xmlns:a16="http://schemas.microsoft.com/office/drawing/2014/main" id="{98E801DF-0E4E-44F0-8E33-01E1ACC6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71164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110</xdr:row>
      <xdr:rowOff>28575</xdr:rowOff>
    </xdr:from>
    <xdr:ext cx="342900" cy="104775"/>
    <xdr:pic>
      <xdr:nvPicPr>
        <xdr:cNvPr id="1211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1259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111</xdr:row>
      <xdr:rowOff>19050</xdr:rowOff>
    </xdr:from>
    <xdr:ext cx="819150" cy="123825"/>
    <xdr:pic>
      <xdr:nvPicPr>
        <xdr:cNvPr id="1352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7268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111</xdr:row>
      <xdr:rowOff>28575</xdr:rowOff>
    </xdr:from>
    <xdr:ext cx="342900" cy="104775"/>
    <xdr:pic>
      <xdr:nvPicPr>
        <xdr:cNvPr id="1454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278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8</xdr:col>
      <xdr:colOff>0</xdr:colOff>
      <xdr:row>50</xdr:row>
      <xdr:rowOff>19050</xdr:rowOff>
    </xdr:from>
    <xdr:to>
      <xdr:col>10</xdr:col>
      <xdr:colOff>400049</xdr:colOff>
      <xdr:row>50</xdr:row>
      <xdr:rowOff>142875</xdr:rowOff>
    </xdr:to>
    <xdr:pic>
      <xdr:nvPicPr>
        <xdr:cNvPr id="1516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0" y="79248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0</xdr:colOff>
      <xdr:row>51</xdr:row>
      <xdr:rowOff>19050</xdr:rowOff>
    </xdr:from>
    <xdr:to>
      <xdr:col>10</xdr:col>
      <xdr:colOff>400049</xdr:colOff>
      <xdr:row>51</xdr:row>
      <xdr:rowOff>142875</xdr:rowOff>
    </xdr:to>
    <xdr:pic>
      <xdr:nvPicPr>
        <xdr:cNvPr id="1519" name="739 Imagen" descr="CONSULTAR ICONO.png">
          <a:extLst>
            <a:ext uri="{FF2B5EF4-FFF2-40B4-BE49-F238E27FC236}">
              <a16:creationId xmlns:a16="http://schemas.microsoft.com/office/drawing/2014/main" id="{C255D5C9-44EB-4885-88E1-E908F7A2C0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76650" y="80772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597</xdr:row>
      <xdr:rowOff>28575</xdr:rowOff>
    </xdr:from>
    <xdr:to>
      <xdr:col>1</xdr:col>
      <xdr:colOff>0</xdr:colOff>
      <xdr:row>597</xdr:row>
      <xdr:rowOff>133350</xdr:rowOff>
    </xdr:to>
    <xdr:pic>
      <xdr:nvPicPr>
        <xdr:cNvPr id="1136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7728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325</xdr:row>
      <xdr:rowOff>19050</xdr:rowOff>
    </xdr:from>
    <xdr:ext cx="828675" cy="123825"/>
    <xdr:pic>
      <xdr:nvPicPr>
        <xdr:cNvPr id="1383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76916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325</xdr:row>
      <xdr:rowOff>19050</xdr:rowOff>
    </xdr:from>
    <xdr:ext cx="502919" cy="121920"/>
    <xdr:pic>
      <xdr:nvPicPr>
        <xdr:cNvPr id="1521" name="Imagen 1520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7691675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325</xdr:row>
      <xdr:rowOff>28575</xdr:rowOff>
    </xdr:from>
    <xdr:ext cx="342900" cy="104775"/>
    <xdr:pic>
      <xdr:nvPicPr>
        <xdr:cNvPr id="1553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701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322</xdr:row>
      <xdr:rowOff>28575</xdr:rowOff>
    </xdr:from>
    <xdr:to>
      <xdr:col>1</xdr:col>
      <xdr:colOff>0</xdr:colOff>
      <xdr:row>322</xdr:row>
      <xdr:rowOff>133350</xdr:rowOff>
    </xdr:to>
    <xdr:pic>
      <xdr:nvPicPr>
        <xdr:cNvPr id="1450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5488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320</xdr:row>
      <xdr:rowOff>28575</xdr:rowOff>
    </xdr:from>
    <xdr:to>
      <xdr:col>1</xdr:col>
      <xdr:colOff>0</xdr:colOff>
      <xdr:row>320</xdr:row>
      <xdr:rowOff>133350</xdr:rowOff>
    </xdr:to>
    <xdr:pic>
      <xdr:nvPicPr>
        <xdr:cNvPr id="1554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2440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257</xdr:row>
      <xdr:rowOff>28575</xdr:rowOff>
    </xdr:from>
    <xdr:to>
      <xdr:col>1</xdr:col>
      <xdr:colOff>0</xdr:colOff>
      <xdr:row>257</xdr:row>
      <xdr:rowOff>133350</xdr:rowOff>
    </xdr:to>
    <xdr:pic>
      <xdr:nvPicPr>
        <xdr:cNvPr id="1555" name="235 Imagen" descr="oferta icono.png">
          <a:extLst>
            <a:ext uri="{FF2B5EF4-FFF2-40B4-BE49-F238E27FC236}">
              <a16:creationId xmlns:a16="http://schemas.microsoft.com/office/drawing/2014/main" id="{9E3CA306-CFC8-4AA4-8FCC-5F7C665F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1668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633</xdr:row>
      <xdr:rowOff>28575</xdr:rowOff>
    </xdr:from>
    <xdr:to>
      <xdr:col>1</xdr:col>
      <xdr:colOff>0</xdr:colOff>
      <xdr:row>633</xdr:row>
      <xdr:rowOff>133350</xdr:rowOff>
    </xdr:to>
    <xdr:pic>
      <xdr:nvPicPr>
        <xdr:cNvPr id="1556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4116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14</xdr:row>
      <xdr:rowOff>19050</xdr:rowOff>
    </xdr:from>
    <xdr:ext cx="819150" cy="123825"/>
    <xdr:pic>
      <xdr:nvPicPr>
        <xdr:cNvPr id="1134" name="1043 Imagen" descr="laser un lado icono.png">
          <a:extLst>
            <a:ext uri="{FF2B5EF4-FFF2-40B4-BE49-F238E27FC236}">
              <a16:creationId xmlns:a16="http://schemas.microsoft.com/office/drawing/2014/main" id="{0508D9DB-36AF-46F0-BBE6-08EBC09F4D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4384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28575</xdr:rowOff>
    </xdr:from>
    <xdr:ext cx="342900" cy="104775"/>
    <xdr:pic>
      <xdr:nvPicPr>
        <xdr:cNvPr id="1223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479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296</xdr:row>
      <xdr:rowOff>19050</xdr:rowOff>
    </xdr:from>
    <xdr:ext cx="819150" cy="123825"/>
    <xdr:pic>
      <xdr:nvPicPr>
        <xdr:cNvPr id="1568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6167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296</xdr:row>
      <xdr:rowOff>19050</xdr:rowOff>
    </xdr:from>
    <xdr:ext cx="502919" cy="121920"/>
    <xdr:pic>
      <xdr:nvPicPr>
        <xdr:cNvPr id="1569" name="Imagen 1568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6167675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296</xdr:row>
      <xdr:rowOff>28575</xdr:rowOff>
    </xdr:from>
    <xdr:ext cx="342900" cy="104775"/>
    <xdr:pic>
      <xdr:nvPicPr>
        <xdr:cNvPr id="1570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5008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409</xdr:row>
      <xdr:rowOff>19050</xdr:rowOff>
    </xdr:from>
    <xdr:ext cx="819150" cy="123825"/>
    <xdr:pic>
      <xdr:nvPicPr>
        <xdr:cNvPr id="1571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9016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409</xdr:row>
      <xdr:rowOff>28575</xdr:rowOff>
    </xdr:from>
    <xdr:ext cx="342900" cy="104775"/>
    <xdr:pic>
      <xdr:nvPicPr>
        <xdr:cNvPr id="1572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90264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426</xdr:row>
      <xdr:rowOff>28575</xdr:rowOff>
    </xdr:from>
    <xdr:to>
      <xdr:col>1</xdr:col>
      <xdr:colOff>0</xdr:colOff>
      <xdr:row>426</xdr:row>
      <xdr:rowOff>133350</xdr:rowOff>
    </xdr:to>
    <xdr:pic>
      <xdr:nvPicPr>
        <xdr:cNvPr id="1573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3188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410</xdr:row>
      <xdr:rowOff>28575</xdr:rowOff>
    </xdr:from>
    <xdr:to>
      <xdr:col>1</xdr:col>
      <xdr:colOff>0</xdr:colOff>
      <xdr:row>410</xdr:row>
      <xdr:rowOff>133350</xdr:rowOff>
    </xdr:to>
    <xdr:pic>
      <xdr:nvPicPr>
        <xdr:cNvPr id="1574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0932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504</xdr:row>
      <xdr:rowOff>19050</xdr:rowOff>
    </xdr:from>
    <xdr:ext cx="819149" cy="123825"/>
    <xdr:pic>
      <xdr:nvPicPr>
        <xdr:cNvPr id="157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30853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626</xdr:row>
      <xdr:rowOff>19050</xdr:rowOff>
    </xdr:from>
    <xdr:ext cx="847346" cy="121920"/>
    <xdr:pic>
      <xdr:nvPicPr>
        <xdr:cNvPr id="1578" name="Imagen 157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294495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626</xdr:row>
      <xdr:rowOff>28575</xdr:rowOff>
    </xdr:from>
    <xdr:ext cx="342900" cy="104775"/>
    <xdr:pic>
      <xdr:nvPicPr>
        <xdr:cNvPr id="1579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9544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605</xdr:row>
      <xdr:rowOff>19050</xdr:rowOff>
    </xdr:from>
    <xdr:ext cx="847346" cy="121920"/>
    <xdr:pic>
      <xdr:nvPicPr>
        <xdr:cNvPr id="944" name="Imagen 94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2640150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605</xdr:row>
      <xdr:rowOff>28575</xdr:rowOff>
    </xdr:from>
    <xdr:ext cx="342900" cy="104775"/>
    <xdr:pic>
      <xdr:nvPicPr>
        <xdr:cNvPr id="983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6496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564</xdr:row>
      <xdr:rowOff>19050</xdr:rowOff>
    </xdr:from>
    <xdr:ext cx="819914" cy="121920"/>
    <xdr:pic>
      <xdr:nvPicPr>
        <xdr:cNvPr id="991" name="Imagen 990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4039075"/>
          <a:ext cx="819914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314</xdr:row>
      <xdr:rowOff>19050</xdr:rowOff>
    </xdr:from>
    <xdr:ext cx="847346" cy="121920"/>
    <xdr:pic>
      <xdr:nvPicPr>
        <xdr:cNvPr id="1020" name="Imagen 101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3485197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314</xdr:row>
      <xdr:rowOff>28575</xdr:rowOff>
    </xdr:from>
    <xdr:ext cx="342900" cy="104775"/>
    <xdr:pic>
      <xdr:nvPicPr>
        <xdr:cNvPr id="1028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0916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95250</xdr:colOff>
      <xdr:row>314</xdr:row>
      <xdr:rowOff>19050</xdr:rowOff>
    </xdr:from>
    <xdr:ext cx="502919" cy="121920"/>
    <xdr:pic>
      <xdr:nvPicPr>
        <xdr:cNvPr id="1142" name="Imagen 1141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0" y="470820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295</xdr:row>
      <xdr:rowOff>19050</xdr:rowOff>
    </xdr:from>
    <xdr:ext cx="847346" cy="121920"/>
    <xdr:pic>
      <xdr:nvPicPr>
        <xdr:cNvPr id="1152" name="Imagen 1151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4723447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295</xdr:row>
      <xdr:rowOff>28575</xdr:rowOff>
    </xdr:from>
    <xdr:ext cx="342900" cy="104775"/>
    <xdr:pic>
      <xdr:nvPicPr>
        <xdr:cNvPr id="1286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2440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95250</xdr:colOff>
      <xdr:row>295</xdr:row>
      <xdr:rowOff>19050</xdr:rowOff>
    </xdr:from>
    <xdr:ext cx="502919" cy="121920"/>
    <xdr:pic>
      <xdr:nvPicPr>
        <xdr:cNvPr id="1338" name="Imagen 1337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0" y="472344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665</xdr:row>
      <xdr:rowOff>19050</xdr:rowOff>
    </xdr:from>
    <xdr:ext cx="819150" cy="123825"/>
    <xdr:pic>
      <xdr:nvPicPr>
        <xdr:cNvPr id="1051" name="415 Imagen" descr="sublimacion icono.png">
          <a:extLst>
            <a:ext uri="{FF2B5EF4-FFF2-40B4-BE49-F238E27FC236}">
              <a16:creationId xmlns:a16="http://schemas.microsoft.com/office/drawing/2014/main" id="{D459F3CF-05E6-44A1-9789-E68EB58C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60024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665</xdr:row>
      <xdr:rowOff>28575</xdr:rowOff>
    </xdr:from>
    <xdr:ext cx="342900" cy="104775"/>
    <xdr:pic>
      <xdr:nvPicPr>
        <xdr:cNvPr id="1365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1644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61</xdr:row>
      <xdr:rowOff>19050</xdr:rowOff>
    </xdr:from>
    <xdr:ext cx="819150" cy="123825"/>
    <xdr:pic>
      <xdr:nvPicPr>
        <xdr:cNvPr id="1370" name="923 Imagen" descr="seri icono.png">
          <a:extLst>
            <a:ext uri="{FF2B5EF4-FFF2-40B4-BE49-F238E27FC236}">
              <a16:creationId xmlns:a16="http://schemas.microsoft.com/office/drawing/2014/main" id="{C3A9516D-C078-4003-B87E-2EAA6E62EB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60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61</xdr:row>
      <xdr:rowOff>19050</xdr:rowOff>
    </xdr:from>
    <xdr:ext cx="819150" cy="123825"/>
    <xdr:pic>
      <xdr:nvPicPr>
        <xdr:cNvPr id="1472" name="924 Imagen" descr="seri icono.png">
          <a:extLst>
            <a:ext uri="{FF2B5EF4-FFF2-40B4-BE49-F238E27FC236}">
              <a16:creationId xmlns:a16="http://schemas.microsoft.com/office/drawing/2014/main" id="{D9C0E8C5-2563-4D54-94CE-0BAFABFDD8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6012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415</xdr:row>
      <xdr:rowOff>19050</xdr:rowOff>
    </xdr:from>
    <xdr:ext cx="819150" cy="123825"/>
    <xdr:pic>
      <xdr:nvPicPr>
        <xdr:cNvPr id="1580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0845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415</xdr:row>
      <xdr:rowOff>28575</xdr:rowOff>
    </xdr:from>
    <xdr:ext cx="342900" cy="104775"/>
    <xdr:pic>
      <xdr:nvPicPr>
        <xdr:cNvPr id="1581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817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604</xdr:row>
      <xdr:rowOff>28575</xdr:rowOff>
    </xdr:from>
    <xdr:to>
      <xdr:col>1</xdr:col>
      <xdr:colOff>0</xdr:colOff>
      <xdr:row>604</xdr:row>
      <xdr:rowOff>133350</xdr:rowOff>
    </xdr:to>
    <xdr:pic>
      <xdr:nvPicPr>
        <xdr:cNvPr id="951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7063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592</xdr:row>
      <xdr:rowOff>28575</xdr:rowOff>
    </xdr:from>
    <xdr:to>
      <xdr:col>1</xdr:col>
      <xdr:colOff>0</xdr:colOff>
      <xdr:row>592</xdr:row>
      <xdr:rowOff>133350</xdr:rowOff>
    </xdr:to>
    <xdr:pic>
      <xdr:nvPicPr>
        <xdr:cNvPr id="979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1823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636</xdr:row>
      <xdr:rowOff>28575</xdr:rowOff>
    </xdr:from>
    <xdr:to>
      <xdr:col>1</xdr:col>
      <xdr:colOff>0</xdr:colOff>
      <xdr:row>636</xdr:row>
      <xdr:rowOff>133350</xdr:rowOff>
    </xdr:to>
    <xdr:pic>
      <xdr:nvPicPr>
        <xdr:cNvPr id="1582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8879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628</xdr:row>
      <xdr:rowOff>28575</xdr:rowOff>
    </xdr:from>
    <xdr:to>
      <xdr:col>1</xdr:col>
      <xdr:colOff>0</xdr:colOff>
      <xdr:row>628</xdr:row>
      <xdr:rowOff>133350</xdr:rowOff>
    </xdr:to>
    <xdr:pic>
      <xdr:nvPicPr>
        <xdr:cNvPr id="1583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26687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112</xdr:row>
      <xdr:rowOff>19050</xdr:rowOff>
    </xdr:from>
    <xdr:ext cx="819150" cy="123825"/>
    <xdr:pic>
      <xdr:nvPicPr>
        <xdr:cNvPr id="1585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7421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112</xdr:row>
      <xdr:rowOff>19050</xdr:rowOff>
    </xdr:from>
    <xdr:ext cx="819149" cy="123825"/>
    <xdr:pic>
      <xdr:nvPicPr>
        <xdr:cNvPr id="1586" name="903 Imagen" descr="FULL PRINT ICONO.png">
          <a:extLst>
            <a:ext uri="{FF2B5EF4-FFF2-40B4-BE49-F238E27FC236}">
              <a16:creationId xmlns:a16="http://schemas.microsoft.com/office/drawing/2014/main" id="{98E801DF-0E4E-44F0-8E33-01E1ACC6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74212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112</xdr:row>
      <xdr:rowOff>28575</xdr:rowOff>
    </xdr:from>
    <xdr:ext cx="342900" cy="104775"/>
    <xdr:pic>
      <xdr:nvPicPr>
        <xdr:cNvPr id="1587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307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113</xdr:row>
      <xdr:rowOff>19050</xdr:rowOff>
    </xdr:from>
    <xdr:ext cx="819150" cy="123825"/>
    <xdr:pic>
      <xdr:nvPicPr>
        <xdr:cNvPr id="1588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75736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113</xdr:row>
      <xdr:rowOff>28575</xdr:rowOff>
    </xdr:from>
    <xdr:ext cx="342900" cy="104775"/>
    <xdr:pic>
      <xdr:nvPicPr>
        <xdr:cNvPr id="1589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5831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114</xdr:row>
      <xdr:rowOff>19050</xdr:rowOff>
    </xdr:from>
    <xdr:ext cx="819150" cy="123825"/>
    <xdr:pic>
      <xdr:nvPicPr>
        <xdr:cNvPr id="1590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77260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114</xdr:row>
      <xdr:rowOff>19050</xdr:rowOff>
    </xdr:from>
    <xdr:ext cx="819149" cy="123825"/>
    <xdr:pic>
      <xdr:nvPicPr>
        <xdr:cNvPr id="1591" name="903 Imagen" descr="FULL PRINT ICONO.png">
          <a:extLst>
            <a:ext uri="{FF2B5EF4-FFF2-40B4-BE49-F238E27FC236}">
              <a16:creationId xmlns:a16="http://schemas.microsoft.com/office/drawing/2014/main" id="{98E801DF-0E4E-44F0-8E33-01E1ACC6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77260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114</xdr:row>
      <xdr:rowOff>28575</xdr:rowOff>
    </xdr:from>
    <xdr:ext cx="342900" cy="104775"/>
    <xdr:pic>
      <xdr:nvPicPr>
        <xdr:cNvPr id="1592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735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115</xdr:row>
      <xdr:rowOff>19050</xdr:rowOff>
    </xdr:from>
    <xdr:ext cx="819150" cy="123825"/>
    <xdr:pic>
      <xdr:nvPicPr>
        <xdr:cNvPr id="1593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78784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115</xdr:row>
      <xdr:rowOff>28575</xdr:rowOff>
    </xdr:from>
    <xdr:ext cx="342900" cy="104775"/>
    <xdr:pic>
      <xdr:nvPicPr>
        <xdr:cNvPr id="1594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879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116</xdr:row>
      <xdr:rowOff>19050</xdr:rowOff>
    </xdr:from>
    <xdr:ext cx="819150" cy="123825"/>
    <xdr:pic>
      <xdr:nvPicPr>
        <xdr:cNvPr id="1595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80308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57150</xdr:colOff>
      <xdr:row>116</xdr:row>
      <xdr:rowOff>19050</xdr:rowOff>
    </xdr:from>
    <xdr:ext cx="819149" cy="123825"/>
    <xdr:pic>
      <xdr:nvPicPr>
        <xdr:cNvPr id="1596" name="903 Imagen" descr="FULL PRINT ICONO.png">
          <a:extLst>
            <a:ext uri="{FF2B5EF4-FFF2-40B4-BE49-F238E27FC236}">
              <a16:creationId xmlns:a16="http://schemas.microsoft.com/office/drawing/2014/main" id="{98E801DF-0E4E-44F0-8E33-01E1ACC69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2400" y="1803082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116</xdr:row>
      <xdr:rowOff>28575</xdr:rowOff>
    </xdr:from>
    <xdr:ext cx="342900" cy="104775"/>
    <xdr:pic>
      <xdr:nvPicPr>
        <xdr:cNvPr id="1597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040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117</xdr:row>
      <xdr:rowOff>19050</xdr:rowOff>
    </xdr:from>
    <xdr:ext cx="819150" cy="123825"/>
    <xdr:pic>
      <xdr:nvPicPr>
        <xdr:cNvPr id="1598" name="899 Imagen" descr="sublimacion icono.png">
          <a:extLst>
            <a:ext uri="{FF2B5EF4-FFF2-40B4-BE49-F238E27FC236}">
              <a16:creationId xmlns:a16="http://schemas.microsoft.com/office/drawing/2014/main" id="{DF329583-7022-43C4-83E8-BEA0FE104B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81832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117</xdr:row>
      <xdr:rowOff>28575</xdr:rowOff>
    </xdr:from>
    <xdr:ext cx="342900" cy="104775"/>
    <xdr:pic>
      <xdr:nvPicPr>
        <xdr:cNvPr id="1599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1927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246</xdr:row>
      <xdr:rowOff>19050</xdr:rowOff>
    </xdr:from>
    <xdr:ext cx="819149" cy="123825"/>
    <xdr:pic>
      <xdr:nvPicPr>
        <xdr:cNvPr id="105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8395275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246</xdr:row>
      <xdr:rowOff>19050</xdr:rowOff>
    </xdr:from>
    <xdr:ext cx="342900" cy="104775"/>
    <xdr:pic>
      <xdr:nvPicPr>
        <xdr:cNvPr id="1158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39527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610</xdr:row>
      <xdr:rowOff>19050</xdr:rowOff>
    </xdr:from>
    <xdr:ext cx="847346" cy="121920"/>
    <xdr:pic>
      <xdr:nvPicPr>
        <xdr:cNvPr id="1476" name="Imagen 147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94302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611</xdr:row>
      <xdr:rowOff>19050</xdr:rowOff>
    </xdr:from>
    <xdr:ext cx="847346" cy="121920"/>
    <xdr:pic>
      <xdr:nvPicPr>
        <xdr:cNvPr id="1600" name="Imagen 159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9582625"/>
          <a:ext cx="847346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647</xdr:row>
      <xdr:rowOff>19050</xdr:rowOff>
    </xdr:from>
    <xdr:ext cx="847346" cy="121920"/>
    <xdr:pic>
      <xdr:nvPicPr>
        <xdr:cNvPr id="1601" name="Imagen 160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50690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647</xdr:row>
      <xdr:rowOff>28575</xdr:rowOff>
    </xdr:from>
    <xdr:ext cx="342900" cy="104775"/>
    <xdr:pic>
      <xdr:nvPicPr>
        <xdr:cNvPr id="1602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078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168</xdr:row>
      <xdr:rowOff>28575</xdr:rowOff>
    </xdr:from>
    <xdr:to>
      <xdr:col>1</xdr:col>
      <xdr:colOff>0</xdr:colOff>
      <xdr:row>168</xdr:row>
      <xdr:rowOff>133350</xdr:rowOff>
    </xdr:to>
    <xdr:pic>
      <xdr:nvPicPr>
        <xdr:cNvPr id="953" name="240 Imagen" descr="oferta icono.png">
          <a:extLst>
            <a:ext uri="{FF2B5EF4-FFF2-40B4-BE49-F238E27FC236}">
              <a16:creationId xmlns:a16="http://schemas.microsoft.com/office/drawing/2014/main" id="{8651C8C1-883D-49E3-AEF7-6E97CDEF1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1747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658</xdr:row>
      <xdr:rowOff>19050</xdr:rowOff>
    </xdr:from>
    <xdr:ext cx="847346" cy="121920"/>
    <xdr:pic>
      <xdr:nvPicPr>
        <xdr:cNvPr id="1314" name="Imagen 1313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65346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658</xdr:row>
      <xdr:rowOff>28575</xdr:rowOff>
    </xdr:from>
    <xdr:ext cx="342900" cy="104775"/>
    <xdr:pic>
      <xdr:nvPicPr>
        <xdr:cNvPr id="1323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3917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676</xdr:row>
      <xdr:rowOff>20292</xdr:rowOff>
    </xdr:from>
    <xdr:ext cx="819150" cy="123825"/>
    <xdr:pic>
      <xdr:nvPicPr>
        <xdr:cNvPr id="1335" name="439 Imagen" descr="sublimacion icono.png">
          <a:extLst>
            <a:ext uri="{FF2B5EF4-FFF2-40B4-BE49-F238E27FC236}">
              <a16:creationId xmlns:a16="http://schemas.microsoft.com/office/drawing/2014/main" id="{0FA9E6BF-97F1-48FB-A837-659B6D7AA1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97803942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676</xdr:row>
      <xdr:rowOff>28575</xdr:rowOff>
    </xdr:from>
    <xdr:ext cx="342900" cy="104775"/>
    <xdr:pic>
      <xdr:nvPicPr>
        <xdr:cNvPr id="1533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832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215</xdr:row>
      <xdr:rowOff>19050</xdr:rowOff>
    </xdr:from>
    <xdr:ext cx="819150" cy="123825"/>
    <xdr:pic>
      <xdr:nvPicPr>
        <xdr:cNvPr id="936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37851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215</xdr:row>
      <xdr:rowOff>28575</xdr:rowOff>
    </xdr:from>
    <xdr:ext cx="342900" cy="104775"/>
    <xdr:pic>
      <xdr:nvPicPr>
        <xdr:cNvPr id="992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327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484</xdr:row>
      <xdr:rowOff>19050</xdr:rowOff>
    </xdr:from>
    <xdr:ext cx="819150" cy="123825"/>
    <xdr:pic>
      <xdr:nvPicPr>
        <xdr:cNvPr id="1068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646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484</xdr:row>
      <xdr:rowOff>28575</xdr:rowOff>
    </xdr:from>
    <xdr:ext cx="342900" cy="104775"/>
    <xdr:pic>
      <xdr:nvPicPr>
        <xdr:cNvPr id="1079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08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486</xdr:row>
      <xdr:rowOff>28575</xdr:rowOff>
    </xdr:from>
    <xdr:ext cx="342900" cy="104775"/>
    <xdr:pic>
      <xdr:nvPicPr>
        <xdr:cNvPr id="1537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08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486</xdr:row>
      <xdr:rowOff>28575</xdr:rowOff>
    </xdr:from>
    <xdr:ext cx="819150" cy="125505"/>
    <xdr:pic>
      <xdr:nvPicPr>
        <xdr:cNvPr id="1548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7096125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489</xdr:row>
      <xdr:rowOff>19050</xdr:rowOff>
    </xdr:from>
    <xdr:ext cx="819150" cy="123825"/>
    <xdr:pic>
      <xdr:nvPicPr>
        <xdr:cNvPr id="1552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799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489</xdr:row>
      <xdr:rowOff>28575</xdr:rowOff>
    </xdr:from>
    <xdr:ext cx="342900" cy="104775"/>
    <xdr:pic>
      <xdr:nvPicPr>
        <xdr:cNvPr id="1567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08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171</xdr:row>
      <xdr:rowOff>28575</xdr:rowOff>
    </xdr:from>
    <xdr:ext cx="342900" cy="104775"/>
    <xdr:pic>
      <xdr:nvPicPr>
        <xdr:cNvPr id="1603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0891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171</xdr:row>
      <xdr:rowOff>19050</xdr:rowOff>
    </xdr:from>
    <xdr:to>
      <xdr:col>24</xdr:col>
      <xdr:colOff>47625</xdr:colOff>
      <xdr:row>171</xdr:row>
      <xdr:rowOff>142875</xdr:rowOff>
    </xdr:to>
    <xdr:pic>
      <xdr:nvPicPr>
        <xdr:cNvPr id="160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67747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334</xdr:row>
      <xdr:rowOff>19050</xdr:rowOff>
    </xdr:from>
    <xdr:ext cx="819150" cy="123825"/>
    <xdr:pic>
      <xdr:nvPicPr>
        <xdr:cNvPr id="1605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00253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334</xdr:row>
      <xdr:rowOff>19050</xdr:rowOff>
    </xdr:from>
    <xdr:ext cx="502919" cy="121920"/>
    <xdr:pic>
      <xdr:nvPicPr>
        <xdr:cNvPr id="1606" name="Imagen 1605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50025300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334</xdr:row>
      <xdr:rowOff>28575</xdr:rowOff>
    </xdr:from>
    <xdr:ext cx="342900" cy="104775"/>
    <xdr:pic>
      <xdr:nvPicPr>
        <xdr:cNvPr id="1607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8824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160</xdr:row>
      <xdr:rowOff>19050</xdr:rowOff>
    </xdr:from>
    <xdr:ext cx="819150" cy="123825"/>
    <xdr:pic>
      <xdr:nvPicPr>
        <xdr:cNvPr id="1608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662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160</xdr:row>
      <xdr:rowOff>28575</xdr:rowOff>
    </xdr:from>
    <xdr:ext cx="342900" cy="104775"/>
    <xdr:pic>
      <xdr:nvPicPr>
        <xdr:cNvPr id="1609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2603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294</xdr:row>
      <xdr:rowOff>19050</xdr:rowOff>
    </xdr:from>
    <xdr:ext cx="847346" cy="121920"/>
    <xdr:pic>
      <xdr:nvPicPr>
        <xdr:cNvPr id="1030" name="Imagen 1029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4494847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294</xdr:row>
      <xdr:rowOff>28575</xdr:rowOff>
    </xdr:from>
    <xdr:ext cx="342900" cy="104775"/>
    <xdr:pic>
      <xdr:nvPicPr>
        <xdr:cNvPr id="1212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9580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95250</xdr:colOff>
      <xdr:row>294</xdr:row>
      <xdr:rowOff>19050</xdr:rowOff>
    </xdr:from>
    <xdr:ext cx="502919" cy="121920"/>
    <xdr:pic>
      <xdr:nvPicPr>
        <xdr:cNvPr id="1322" name="Imagen 1321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10500" y="449484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328</xdr:row>
      <xdr:rowOff>19050</xdr:rowOff>
    </xdr:from>
    <xdr:ext cx="828675" cy="123825"/>
    <xdr:pic>
      <xdr:nvPicPr>
        <xdr:cNvPr id="1334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84536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328</xdr:row>
      <xdr:rowOff>19050</xdr:rowOff>
    </xdr:from>
    <xdr:ext cx="502919" cy="121920"/>
    <xdr:pic>
      <xdr:nvPicPr>
        <xdr:cNvPr id="1426" name="Imagen 1425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8453675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328</xdr:row>
      <xdr:rowOff>28575</xdr:rowOff>
    </xdr:from>
    <xdr:ext cx="342900" cy="104775"/>
    <xdr:pic>
      <xdr:nvPicPr>
        <xdr:cNvPr id="1610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0728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329</xdr:row>
      <xdr:rowOff>19050</xdr:rowOff>
    </xdr:from>
    <xdr:ext cx="819150" cy="123825"/>
    <xdr:pic>
      <xdr:nvPicPr>
        <xdr:cNvPr id="1611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9215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329</xdr:row>
      <xdr:rowOff>19050</xdr:rowOff>
    </xdr:from>
    <xdr:ext cx="502919" cy="121920"/>
    <xdr:pic>
      <xdr:nvPicPr>
        <xdr:cNvPr id="1612" name="Imagen 1611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9215675"/>
          <a:ext cx="502919" cy="121920"/>
        </a:xfrm>
        <a:prstGeom prst="rect">
          <a:avLst/>
        </a:prstGeom>
      </xdr:spPr>
    </xdr:pic>
    <xdr:clientData/>
  </xdr:oneCellAnchor>
  <xdr:oneCellAnchor>
    <xdr:from>
      <xdr:col>23</xdr:col>
      <xdr:colOff>9525</xdr:colOff>
      <xdr:row>598</xdr:row>
      <xdr:rowOff>19050</xdr:rowOff>
    </xdr:from>
    <xdr:ext cx="847346" cy="121920"/>
    <xdr:pic>
      <xdr:nvPicPr>
        <xdr:cNvPr id="1613" name="Imagen 161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80586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598</xdr:row>
      <xdr:rowOff>28575</xdr:rowOff>
    </xdr:from>
    <xdr:ext cx="342900" cy="104775"/>
    <xdr:pic>
      <xdr:nvPicPr>
        <xdr:cNvPr id="1614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8982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487</xdr:row>
      <xdr:rowOff>19050</xdr:rowOff>
    </xdr:from>
    <xdr:ext cx="819150" cy="125505"/>
    <xdr:pic>
      <xdr:nvPicPr>
        <xdr:cNvPr id="1615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1866125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491</xdr:row>
      <xdr:rowOff>19050</xdr:rowOff>
    </xdr:from>
    <xdr:ext cx="819150" cy="123825"/>
    <xdr:pic>
      <xdr:nvPicPr>
        <xdr:cNvPr id="1616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1866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485</xdr:row>
      <xdr:rowOff>28575</xdr:rowOff>
    </xdr:from>
    <xdr:ext cx="342900" cy="104775"/>
    <xdr:pic>
      <xdr:nvPicPr>
        <xdr:cNvPr id="1618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570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485</xdr:row>
      <xdr:rowOff>28575</xdr:rowOff>
    </xdr:from>
    <xdr:ext cx="819150" cy="125505"/>
    <xdr:pic>
      <xdr:nvPicPr>
        <xdr:cNvPr id="1619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7157085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482</xdr:row>
      <xdr:rowOff>28575</xdr:rowOff>
    </xdr:from>
    <xdr:ext cx="342900" cy="104775"/>
    <xdr:pic>
      <xdr:nvPicPr>
        <xdr:cNvPr id="1620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723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482</xdr:row>
      <xdr:rowOff>19050</xdr:rowOff>
    </xdr:from>
    <xdr:ext cx="819150" cy="125505"/>
    <xdr:pic>
      <xdr:nvPicPr>
        <xdr:cNvPr id="1621" name="307 Imagen" descr="laser icono.png">
          <a:extLst>
            <a:ext uri="{FF2B5EF4-FFF2-40B4-BE49-F238E27FC236}">
              <a16:creationId xmlns:a16="http://schemas.microsoft.com/office/drawing/2014/main" id="{B46A3E30-272A-4AF5-A52A-8526A015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3894950"/>
          <a:ext cx="819150" cy="125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490</xdr:row>
      <xdr:rowOff>19050</xdr:rowOff>
    </xdr:from>
    <xdr:ext cx="819150" cy="123825"/>
    <xdr:pic>
      <xdr:nvPicPr>
        <xdr:cNvPr id="1204" name="365 Imagen" descr="laser fibra icono.png">
          <a:extLst>
            <a:ext uri="{FF2B5EF4-FFF2-40B4-BE49-F238E27FC236}">
              <a16:creationId xmlns:a16="http://schemas.microsoft.com/office/drawing/2014/main" id="{6239FBFC-C360-4BB2-83CA-3710A8BAD1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2170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490</xdr:row>
      <xdr:rowOff>28575</xdr:rowOff>
    </xdr:from>
    <xdr:ext cx="342900" cy="104775"/>
    <xdr:pic>
      <xdr:nvPicPr>
        <xdr:cNvPr id="1213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1804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731</xdr:row>
      <xdr:rowOff>19050</xdr:rowOff>
    </xdr:from>
    <xdr:ext cx="819150" cy="123825"/>
    <xdr:pic>
      <xdr:nvPicPr>
        <xdr:cNvPr id="1214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82706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731</xdr:row>
      <xdr:rowOff>28575</xdr:rowOff>
    </xdr:from>
    <xdr:ext cx="342900" cy="104775"/>
    <xdr:pic>
      <xdr:nvPicPr>
        <xdr:cNvPr id="1220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280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728</xdr:row>
      <xdr:rowOff>19050</xdr:rowOff>
    </xdr:from>
    <xdr:ext cx="819150" cy="123825"/>
    <xdr:pic>
      <xdr:nvPicPr>
        <xdr:cNvPr id="1451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84230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728</xdr:row>
      <xdr:rowOff>28575</xdr:rowOff>
    </xdr:from>
    <xdr:ext cx="342900" cy="104775"/>
    <xdr:pic>
      <xdr:nvPicPr>
        <xdr:cNvPr id="1456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81278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333</xdr:row>
      <xdr:rowOff>19050</xdr:rowOff>
    </xdr:from>
    <xdr:ext cx="819150" cy="123825"/>
    <xdr:pic>
      <xdr:nvPicPr>
        <xdr:cNvPr id="1057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04825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333</xdr:row>
      <xdr:rowOff>19050</xdr:rowOff>
    </xdr:from>
    <xdr:ext cx="502919" cy="121920"/>
    <xdr:pic>
      <xdr:nvPicPr>
        <xdr:cNvPr id="1331" name="Imagen 1330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50482500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333</xdr:row>
      <xdr:rowOff>28575</xdr:rowOff>
    </xdr:from>
    <xdr:ext cx="342900" cy="104775"/>
    <xdr:pic>
      <xdr:nvPicPr>
        <xdr:cNvPr id="1439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1872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340</xdr:row>
      <xdr:rowOff>19050</xdr:rowOff>
    </xdr:from>
    <xdr:ext cx="819150" cy="123825"/>
    <xdr:pic>
      <xdr:nvPicPr>
        <xdr:cNvPr id="1463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01777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340</xdr:row>
      <xdr:rowOff>19050</xdr:rowOff>
    </xdr:from>
    <xdr:ext cx="502919" cy="121920"/>
    <xdr:pic>
      <xdr:nvPicPr>
        <xdr:cNvPr id="1495" name="Imagen 1494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50177700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340</xdr:row>
      <xdr:rowOff>28575</xdr:rowOff>
    </xdr:from>
    <xdr:ext cx="342900" cy="104775"/>
    <xdr:pic>
      <xdr:nvPicPr>
        <xdr:cNvPr id="1502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1872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341</xdr:row>
      <xdr:rowOff>19050</xdr:rowOff>
    </xdr:from>
    <xdr:ext cx="502919" cy="121920"/>
    <xdr:pic>
      <xdr:nvPicPr>
        <xdr:cNvPr id="1577" name="Imagen 1576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51244500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341</xdr:row>
      <xdr:rowOff>28575</xdr:rowOff>
    </xdr:from>
    <xdr:ext cx="342900" cy="104775"/>
    <xdr:pic>
      <xdr:nvPicPr>
        <xdr:cNvPr id="1617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254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341</xdr:row>
      <xdr:rowOff>19050</xdr:rowOff>
    </xdr:from>
    <xdr:to>
      <xdr:col>24</xdr:col>
      <xdr:colOff>47625</xdr:colOff>
      <xdr:row>341</xdr:row>
      <xdr:rowOff>142875</xdr:rowOff>
    </xdr:to>
    <xdr:pic>
      <xdr:nvPicPr>
        <xdr:cNvPr id="1623" name="594 Imagen" descr="laser fibra icono.png">
          <a:extLst>
            <a:ext uri="{FF2B5EF4-FFF2-40B4-BE49-F238E27FC236}">
              <a16:creationId xmlns:a16="http://schemas.microsoft.com/office/drawing/2014/main" id="{94254448-E95B-4D55-94D6-FFC50B0E8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51396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310</xdr:row>
      <xdr:rowOff>28575</xdr:rowOff>
    </xdr:from>
    <xdr:to>
      <xdr:col>1</xdr:col>
      <xdr:colOff>0</xdr:colOff>
      <xdr:row>310</xdr:row>
      <xdr:rowOff>133350</xdr:rowOff>
    </xdr:to>
    <xdr:pic>
      <xdr:nvPicPr>
        <xdr:cNvPr id="1624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0916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292</xdr:row>
      <xdr:rowOff>19050</xdr:rowOff>
    </xdr:from>
    <xdr:ext cx="828675" cy="123825"/>
    <xdr:pic>
      <xdr:nvPicPr>
        <xdr:cNvPr id="1625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61676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292</xdr:row>
      <xdr:rowOff>19050</xdr:rowOff>
    </xdr:from>
    <xdr:ext cx="502919" cy="121920"/>
    <xdr:pic>
      <xdr:nvPicPr>
        <xdr:cNvPr id="1626" name="Imagen 1625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6167675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292</xdr:row>
      <xdr:rowOff>28575</xdr:rowOff>
    </xdr:from>
    <xdr:ext cx="342900" cy="104775"/>
    <xdr:pic>
      <xdr:nvPicPr>
        <xdr:cNvPr id="1576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653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330</xdr:row>
      <xdr:rowOff>19050</xdr:rowOff>
    </xdr:from>
    <xdr:ext cx="828675" cy="123825"/>
    <xdr:pic>
      <xdr:nvPicPr>
        <xdr:cNvPr id="1627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98729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330</xdr:row>
      <xdr:rowOff>19050</xdr:rowOff>
    </xdr:from>
    <xdr:ext cx="502919" cy="121920"/>
    <xdr:pic>
      <xdr:nvPicPr>
        <xdr:cNvPr id="1628" name="Imagen 1627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9872900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330</xdr:row>
      <xdr:rowOff>28575</xdr:rowOff>
    </xdr:from>
    <xdr:ext cx="342900" cy="104775"/>
    <xdr:pic>
      <xdr:nvPicPr>
        <xdr:cNvPr id="1629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8824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331</xdr:row>
      <xdr:rowOff>19050</xdr:rowOff>
    </xdr:from>
    <xdr:ext cx="828675" cy="123825"/>
    <xdr:pic>
      <xdr:nvPicPr>
        <xdr:cNvPr id="1630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9872900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331</xdr:row>
      <xdr:rowOff>19050</xdr:rowOff>
    </xdr:from>
    <xdr:ext cx="502919" cy="121920"/>
    <xdr:pic>
      <xdr:nvPicPr>
        <xdr:cNvPr id="1631" name="Imagen 1630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9872900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331</xdr:row>
      <xdr:rowOff>28575</xdr:rowOff>
    </xdr:from>
    <xdr:ext cx="342900" cy="104775"/>
    <xdr:pic>
      <xdr:nvPicPr>
        <xdr:cNvPr id="1632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8824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656</xdr:row>
      <xdr:rowOff>19050</xdr:rowOff>
    </xdr:from>
    <xdr:ext cx="847346" cy="121920"/>
    <xdr:pic>
      <xdr:nvPicPr>
        <xdr:cNvPr id="1633" name="Imagen 163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70502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656</xdr:row>
      <xdr:rowOff>28575</xdr:rowOff>
    </xdr:from>
    <xdr:ext cx="342900" cy="104775"/>
    <xdr:pic>
      <xdr:nvPicPr>
        <xdr:cNvPr id="1634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0597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329</xdr:row>
      <xdr:rowOff>28575</xdr:rowOff>
    </xdr:from>
    <xdr:to>
      <xdr:col>1</xdr:col>
      <xdr:colOff>0</xdr:colOff>
      <xdr:row>329</xdr:row>
      <xdr:rowOff>133350</xdr:rowOff>
    </xdr:to>
    <xdr:pic>
      <xdr:nvPicPr>
        <xdr:cNvPr id="1635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34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326</xdr:row>
      <xdr:rowOff>19050</xdr:rowOff>
    </xdr:from>
    <xdr:ext cx="828675" cy="123825"/>
    <xdr:pic>
      <xdr:nvPicPr>
        <xdr:cNvPr id="1636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79964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326</xdr:row>
      <xdr:rowOff>19050</xdr:rowOff>
    </xdr:from>
    <xdr:ext cx="502919" cy="121920"/>
    <xdr:pic>
      <xdr:nvPicPr>
        <xdr:cNvPr id="1637" name="Imagen 1636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7996475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326</xdr:row>
      <xdr:rowOff>28575</xdr:rowOff>
    </xdr:from>
    <xdr:ext cx="342900" cy="104775"/>
    <xdr:pic>
      <xdr:nvPicPr>
        <xdr:cNvPr id="1639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730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419</xdr:row>
      <xdr:rowOff>28575</xdr:rowOff>
    </xdr:from>
    <xdr:to>
      <xdr:col>1</xdr:col>
      <xdr:colOff>0</xdr:colOff>
      <xdr:row>419</xdr:row>
      <xdr:rowOff>133350</xdr:rowOff>
    </xdr:to>
    <xdr:pic>
      <xdr:nvPicPr>
        <xdr:cNvPr id="1470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103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444</xdr:row>
      <xdr:rowOff>28575</xdr:rowOff>
    </xdr:from>
    <xdr:to>
      <xdr:col>1</xdr:col>
      <xdr:colOff>0</xdr:colOff>
      <xdr:row>444</xdr:row>
      <xdr:rowOff>133350</xdr:rowOff>
    </xdr:to>
    <xdr:pic>
      <xdr:nvPicPr>
        <xdr:cNvPr id="1638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7913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401</xdr:row>
      <xdr:rowOff>19050</xdr:rowOff>
    </xdr:from>
    <xdr:ext cx="819150" cy="123825"/>
    <xdr:pic>
      <xdr:nvPicPr>
        <xdr:cNvPr id="1135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60540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401</xdr:row>
      <xdr:rowOff>28575</xdr:rowOff>
    </xdr:from>
    <xdr:ext cx="342900" cy="104775"/>
    <xdr:pic>
      <xdr:nvPicPr>
        <xdr:cNvPr id="1186" name="258 Imagen" descr="nuevo icono.png">
          <a:extLst>
            <a:ext uri="{FF2B5EF4-FFF2-40B4-BE49-F238E27FC236}">
              <a16:creationId xmlns:a16="http://schemas.microsoft.com/office/drawing/2014/main" id="{3C2A2AD4-685E-42C3-B5B0-480D96EABE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028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8283</xdr:colOff>
      <xdr:row>172</xdr:row>
      <xdr:rowOff>16566</xdr:rowOff>
    </xdr:from>
    <xdr:ext cx="819150" cy="123825"/>
    <xdr:pic>
      <xdr:nvPicPr>
        <xdr:cNvPr id="1640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2483" y="25095891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172</xdr:row>
      <xdr:rowOff>28575</xdr:rowOff>
    </xdr:from>
    <xdr:ext cx="342900" cy="104775"/>
    <xdr:pic>
      <xdr:nvPicPr>
        <xdr:cNvPr id="1641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1079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223</xdr:row>
      <xdr:rowOff>19050</xdr:rowOff>
    </xdr:from>
    <xdr:ext cx="819150" cy="123825"/>
    <xdr:pic>
      <xdr:nvPicPr>
        <xdr:cNvPr id="1642" name="754 Imagen" descr="seri icono.png">
          <a:extLst>
            <a:ext uri="{FF2B5EF4-FFF2-40B4-BE49-F238E27FC236}">
              <a16:creationId xmlns:a16="http://schemas.microsoft.com/office/drawing/2014/main" id="{E7BD849F-C43A-4214-B60F-94F6C439AF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42423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293</xdr:row>
      <xdr:rowOff>19050</xdr:rowOff>
    </xdr:from>
    <xdr:ext cx="502919" cy="121920"/>
    <xdr:pic>
      <xdr:nvPicPr>
        <xdr:cNvPr id="1644" name="Imagen 1643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4948475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293</xdr:row>
      <xdr:rowOff>28575</xdr:rowOff>
    </xdr:from>
    <xdr:ext cx="342900" cy="104775"/>
    <xdr:pic>
      <xdr:nvPicPr>
        <xdr:cNvPr id="1645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9580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293</xdr:row>
      <xdr:rowOff>19050</xdr:rowOff>
    </xdr:from>
    <xdr:ext cx="819150" cy="123825"/>
    <xdr:pic>
      <xdr:nvPicPr>
        <xdr:cNvPr id="1646" name="608 Imagen" descr="laser icono.png">
          <a:extLst>
            <a:ext uri="{FF2B5EF4-FFF2-40B4-BE49-F238E27FC236}">
              <a16:creationId xmlns:a16="http://schemas.microsoft.com/office/drawing/2014/main" id="{D3F68CA1-17C7-434F-BE29-631E9D8808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51008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291</xdr:row>
      <xdr:rowOff>19050</xdr:rowOff>
    </xdr:from>
    <xdr:ext cx="828675" cy="123825"/>
    <xdr:pic>
      <xdr:nvPicPr>
        <xdr:cNvPr id="1647" name="589 Imagen" descr="laser fibra icono.png">
          <a:extLst>
            <a:ext uri="{FF2B5EF4-FFF2-40B4-BE49-F238E27FC236}">
              <a16:creationId xmlns:a16="http://schemas.microsoft.com/office/drawing/2014/main" id="{F93AC8A6-CC1B-40DD-A8E3-6CDEB7A13B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6777275"/>
          <a:ext cx="8286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24</xdr:col>
      <xdr:colOff>76200</xdr:colOff>
      <xdr:row>291</xdr:row>
      <xdr:rowOff>19050</xdr:rowOff>
    </xdr:from>
    <xdr:ext cx="502919" cy="121920"/>
    <xdr:pic>
      <xdr:nvPicPr>
        <xdr:cNvPr id="1648" name="Imagen 1647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1450" y="46777275"/>
          <a:ext cx="502919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291</xdr:row>
      <xdr:rowOff>28575</xdr:rowOff>
    </xdr:from>
    <xdr:ext cx="342900" cy="104775"/>
    <xdr:pic>
      <xdr:nvPicPr>
        <xdr:cNvPr id="1649" name="261 Imagen" descr="nuevo icono.png">
          <a:extLst>
            <a:ext uri="{FF2B5EF4-FFF2-40B4-BE49-F238E27FC236}">
              <a16:creationId xmlns:a16="http://schemas.microsoft.com/office/drawing/2014/main" id="{204D8D91-A921-45D4-8F26-5DB5B202B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9580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362</xdr:row>
      <xdr:rowOff>28575</xdr:rowOff>
    </xdr:from>
    <xdr:to>
      <xdr:col>1</xdr:col>
      <xdr:colOff>0</xdr:colOff>
      <xdr:row>362</xdr:row>
      <xdr:rowOff>133350</xdr:rowOff>
    </xdr:to>
    <xdr:pic>
      <xdr:nvPicPr>
        <xdr:cNvPr id="1650" name="222 Imagen" descr="oferta icono.png">
          <a:extLst>
            <a:ext uri="{FF2B5EF4-FFF2-40B4-BE49-F238E27FC236}">
              <a16:creationId xmlns:a16="http://schemas.microsoft.com/office/drawing/2014/main" id="{3E96CCA1-0FD5-4D0A-BD9D-85B022678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8260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644</xdr:row>
      <xdr:rowOff>19050</xdr:rowOff>
    </xdr:from>
    <xdr:ext cx="847346" cy="121920"/>
    <xdr:pic>
      <xdr:nvPicPr>
        <xdr:cNvPr id="1103" name="Imagen 1102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17162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644</xdr:row>
      <xdr:rowOff>28575</xdr:rowOff>
    </xdr:from>
    <xdr:ext cx="342900" cy="104775"/>
    <xdr:pic>
      <xdr:nvPicPr>
        <xdr:cNvPr id="1180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907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645</xdr:row>
      <xdr:rowOff>19050</xdr:rowOff>
    </xdr:from>
    <xdr:ext cx="847346" cy="121920"/>
    <xdr:pic>
      <xdr:nvPicPr>
        <xdr:cNvPr id="1205" name="Imagen 120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68978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645</xdr:row>
      <xdr:rowOff>28575</xdr:rowOff>
    </xdr:from>
    <xdr:ext cx="342900" cy="104775"/>
    <xdr:pic>
      <xdr:nvPicPr>
        <xdr:cNvPr id="1387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6907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646</xdr:row>
      <xdr:rowOff>19050</xdr:rowOff>
    </xdr:from>
    <xdr:ext cx="847346" cy="121920"/>
    <xdr:pic>
      <xdr:nvPicPr>
        <xdr:cNvPr id="1395" name="Imagen 1394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70502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646</xdr:row>
      <xdr:rowOff>28575</xdr:rowOff>
    </xdr:from>
    <xdr:ext cx="342900" cy="104775"/>
    <xdr:pic>
      <xdr:nvPicPr>
        <xdr:cNvPr id="1527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0597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648</xdr:row>
      <xdr:rowOff>19050</xdr:rowOff>
    </xdr:from>
    <xdr:ext cx="847346" cy="121920"/>
    <xdr:pic>
      <xdr:nvPicPr>
        <xdr:cNvPr id="1566" name="Imagen 1565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72026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648</xdr:row>
      <xdr:rowOff>28575</xdr:rowOff>
    </xdr:from>
    <xdr:ext cx="342900" cy="104775"/>
    <xdr:pic>
      <xdr:nvPicPr>
        <xdr:cNvPr id="1643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2121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649</xdr:row>
      <xdr:rowOff>19050</xdr:rowOff>
    </xdr:from>
    <xdr:ext cx="847346" cy="121920"/>
    <xdr:pic>
      <xdr:nvPicPr>
        <xdr:cNvPr id="1651" name="Imagen 1650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975074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649</xdr:row>
      <xdr:rowOff>28575</xdr:rowOff>
    </xdr:from>
    <xdr:ext cx="342900" cy="104775"/>
    <xdr:pic>
      <xdr:nvPicPr>
        <xdr:cNvPr id="1652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5169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593</xdr:row>
      <xdr:rowOff>19050</xdr:rowOff>
    </xdr:from>
    <xdr:ext cx="847346" cy="121920"/>
    <xdr:pic>
      <xdr:nvPicPr>
        <xdr:cNvPr id="1108" name="Imagen 1107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3725" y="89735025"/>
          <a:ext cx="847346" cy="12192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593</xdr:row>
      <xdr:rowOff>28575</xdr:rowOff>
    </xdr:from>
    <xdr:ext cx="342900" cy="104775"/>
    <xdr:pic>
      <xdr:nvPicPr>
        <xdr:cNvPr id="1653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97445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459</xdr:row>
      <xdr:rowOff>19050</xdr:rowOff>
    </xdr:from>
    <xdr:ext cx="819150" cy="123825"/>
    <xdr:pic>
      <xdr:nvPicPr>
        <xdr:cNvPr id="1654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189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459</xdr:row>
      <xdr:rowOff>28575</xdr:rowOff>
    </xdr:from>
    <xdr:ext cx="342900" cy="104775"/>
    <xdr:pic>
      <xdr:nvPicPr>
        <xdr:cNvPr id="1655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3516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460</xdr:row>
      <xdr:rowOff>19050</xdr:rowOff>
    </xdr:from>
    <xdr:ext cx="819150" cy="123825"/>
    <xdr:pic>
      <xdr:nvPicPr>
        <xdr:cNvPr id="1656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3421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460</xdr:row>
      <xdr:rowOff>28575</xdr:rowOff>
    </xdr:from>
    <xdr:ext cx="342900" cy="104775"/>
    <xdr:pic>
      <xdr:nvPicPr>
        <xdr:cNvPr id="1657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3516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461</xdr:row>
      <xdr:rowOff>19050</xdr:rowOff>
    </xdr:from>
    <xdr:ext cx="819150" cy="123825"/>
    <xdr:pic>
      <xdr:nvPicPr>
        <xdr:cNvPr id="1658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494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461</xdr:row>
      <xdr:rowOff>28575</xdr:rowOff>
    </xdr:from>
    <xdr:ext cx="342900" cy="104775"/>
    <xdr:pic>
      <xdr:nvPicPr>
        <xdr:cNvPr id="1659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5040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462</xdr:row>
      <xdr:rowOff>19050</xdr:rowOff>
    </xdr:from>
    <xdr:ext cx="819150" cy="123825"/>
    <xdr:pic>
      <xdr:nvPicPr>
        <xdr:cNvPr id="1660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6469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462</xdr:row>
      <xdr:rowOff>28575</xdr:rowOff>
    </xdr:from>
    <xdr:ext cx="342900" cy="104775"/>
    <xdr:pic>
      <xdr:nvPicPr>
        <xdr:cNvPr id="1661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6564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463</xdr:row>
      <xdr:rowOff>19050</xdr:rowOff>
    </xdr:from>
    <xdr:ext cx="819150" cy="123825"/>
    <xdr:pic>
      <xdr:nvPicPr>
        <xdr:cNvPr id="1662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7993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463</xdr:row>
      <xdr:rowOff>28575</xdr:rowOff>
    </xdr:from>
    <xdr:ext cx="342900" cy="104775"/>
    <xdr:pic>
      <xdr:nvPicPr>
        <xdr:cNvPr id="1663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8088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464</xdr:row>
      <xdr:rowOff>19050</xdr:rowOff>
    </xdr:from>
    <xdr:ext cx="819150" cy="123825"/>
    <xdr:pic>
      <xdr:nvPicPr>
        <xdr:cNvPr id="1664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09517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464</xdr:row>
      <xdr:rowOff>28575</xdr:rowOff>
    </xdr:from>
    <xdr:ext cx="342900" cy="104775"/>
    <xdr:pic>
      <xdr:nvPicPr>
        <xdr:cNvPr id="1665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09612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666</xdr:row>
      <xdr:rowOff>19050</xdr:rowOff>
    </xdr:from>
    <xdr:ext cx="819150" cy="123825"/>
    <xdr:pic>
      <xdr:nvPicPr>
        <xdr:cNvPr id="1666" name="415 Imagen" descr="sublimacion icono.png">
          <a:extLst>
            <a:ext uri="{FF2B5EF4-FFF2-40B4-BE49-F238E27FC236}">
              <a16:creationId xmlns:a16="http://schemas.microsoft.com/office/drawing/2014/main" id="{D459F3CF-05E6-44A1-9789-E68EB58CB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21461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666</xdr:row>
      <xdr:rowOff>28575</xdr:rowOff>
    </xdr:from>
    <xdr:ext cx="342900" cy="104775"/>
    <xdr:pic>
      <xdr:nvPicPr>
        <xdr:cNvPr id="1667" name="247 Imagen" descr="nuevo icono.png">
          <a:extLst>
            <a:ext uri="{FF2B5EF4-FFF2-40B4-BE49-F238E27FC236}">
              <a16:creationId xmlns:a16="http://schemas.microsoft.com/office/drawing/2014/main" id="{9C35268E-76DA-496E-BEEF-ECD5B7F64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1556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677</xdr:row>
      <xdr:rowOff>19050</xdr:rowOff>
    </xdr:from>
    <xdr:to>
      <xdr:col>24</xdr:col>
      <xdr:colOff>47625</xdr:colOff>
      <xdr:row>677</xdr:row>
      <xdr:rowOff>142875</xdr:rowOff>
    </xdr:to>
    <xdr:pic>
      <xdr:nvPicPr>
        <xdr:cNvPr id="1668" name="453 Imagen" descr="sublimacion icono.png">
          <a:extLst>
            <a:ext uri="{FF2B5EF4-FFF2-40B4-BE49-F238E27FC236}">
              <a16:creationId xmlns:a16="http://schemas.microsoft.com/office/drawing/2014/main" id="{36BC524F-6013-42AB-8516-3E71E83AF8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39749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214</xdr:row>
      <xdr:rowOff>19050</xdr:rowOff>
    </xdr:from>
    <xdr:ext cx="819150" cy="123825"/>
    <xdr:pic>
      <xdr:nvPicPr>
        <xdr:cNvPr id="162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33327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214</xdr:row>
      <xdr:rowOff>28575</xdr:rowOff>
    </xdr:from>
    <xdr:ext cx="342900" cy="104775"/>
    <xdr:pic>
      <xdr:nvPicPr>
        <xdr:cNvPr id="1669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3375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465</xdr:row>
      <xdr:rowOff>19050</xdr:rowOff>
    </xdr:from>
    <xdr:ext cx="819150" cy="123825"/>
    <xdr:pic>
      <xdr:nvPicPr>
        <xdr:cNvPr id="1670" name="932 Imagen" descr="tampo icono.png">
          <a:extLst>
            <a:ext uri="{FF2B5EF4-FFF2-40B4-BE49-F238E27FC236}">
              <a16:creationId xmlns:a16="http://schemas.microsoft.com/office/drawing/2014/main" id="{BFCD1E29-A275-4935-A4E4-4755BF583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7125652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465</xdr:row>
      <xdr:rowOff>28575</xdr:rowOff>
    </xdr:from>
    <xdr:ext cx="342900" cy="104775"/>
    <xdr:pic>
      <xdr:nvPicPr>
        <xdr:cNvPr id="1671" name="247 Imagen" descr="nuevo icono.png">
          <a:extLst>
            <a:ext uri="{FF2B5EF4-FFF2-40B4-BE49-F238E27FC236}">
              <a16:creationId xmlns:a16="http://schemas.microsoft.com/office/drawing/2014/main" id="{D18BE403-B8EC-4ED4-ADAB-3FF1224643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12660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9525</xdr:colOff>
      <xdr:row>64</xdr:row>
      <xdr:rowOff>19050</xdr:rowOff>
    </xdr:from>
    <xdr:ext cx="819149" cy="123825"/>
    <xdr:pic>
      <xdr:nvPicPr>
        <xdr:cNvPr id="1672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10363200"/>
          <a:ext cx="819149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64</xdr:row>
      <xdr:rowOff>28575</xdr:rowOff>
    </xdr:from>
    <xdr:ext cx="342900" cy="104775"/>
    <xdr:pic>
      <xdr:nvPicPr>
        <xdr:cNvPr id="1673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2203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206</xdr:row>
      <xdr:rowOff>28575</xdr:rowOff>
    </xdr:from>
    <xdr:to>
      <xdr:col>1</xdr:col>
      <xdr:colOff>0</xdr:colOff>
      <xdr:row>206</xdr:row>
      <xdr:rowOff>133350</xdr:rowOff>
    </xdr:to>
    <xdr:pic>
      <xdr:nvPicPr>
        <xdr:cNvPr id="1058" name="240 Imagen" descr="oferta icono.png">
          <a:extLst>
            <a:ext uri="{FF2B5EF4-FFF2-40B4-BE49-F238E27FC236}">
              <a16:creationId xmlns:a16="http://schemas.microsoft.com/office/drawing/2014/main" id="{8651C8C1-883D-49E3-AEF7-6E97CDEF1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8135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270</xdr:row>
      <xdr:rowOff>28575</xdr:rowOff>
    </xdr:from>
    <xdr:to>
      <xdr:col>1</xdr:col>
      <xdr:colOff>0</xdr:colOff>
      <xdr:row>270</xdr:row>
      <xdr:rowOff>133350</xdr:rowOff>
    </xdr:to>
    <xdr:pic>
      <xdr:nvPicPr>
        <xdr:cNvPr id="1536" name="235 Imagen" descr="oferta icono.png">
          <a:extLst>
            <a:ext uri="{FF2B5EF4-FFF2-40B4-BE49-F238E27FC236}">
              <a16:creationId xmlns:a16="http://schemas.microsoft.com/office/drawing/2014/main" id="{9E3CA306-CFC8-4AA4-8FCC-5F7C665FB7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6052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607</xdr:row>
      <xdr:rowOff>28575</xdr:rowOff>
    </xdr:from>
    <xdr:to>
      <xdr:col>1</xdr:col>
      <xdr:colOff>0</xdr:colOff>
      <xdr:row>607</xdr:row>
      <xdr:rowOff>133350</xdr:rowOff>
    </xdr:to>
    <xdr:pic>
      <xdr:nvPicPr>
        <xdr:cNvPr id="1674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4021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634</xdr:row>
      <xdr:rowOff>28575</xdr:rowOff>
    </xdr:from>
    <xdr:to>
      <xdr:col>1</xdr:col>
      <xdr:colOff>0</xdr:colOff>
      <xdr:row>634</xdr:row>
      <xdr:rowOff>133350</xdr:rowOff>
    </xdr:to>
    <xdr:pic>
      <xdr:nvPicPr>
        <xdr:cNvPr id="1675" name="241 Imagen" descr="oferta icono.png">
          <a:extLst>
            <a:ext uri="{FF2B5EF4-FFF2-40B4-BE49-F238E27FC236}">
              <a16:creationId xmlns:a16="http://schemas.microsoft.com/office/drawing/2014/main" id="{0920FD20-6E04-45AE-9228-EC9AF85872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766935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28575</xdr:rowOff>
    </xdr:from>
    <xdr:ext cx="342900" cy="104775"/>
    <xdr:pic>
      <xdr:nvPicPr>
        <xdr:cNvPr id="1676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4325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23</xdr:col>
      <xdr:colOff>9525</xdr:colOff>
      <xdr:row>24</xdr:row>
      <xdr:rowOff>19050</xdr:rowOff>
    </xdr:from>
    <xdr:to>
      <xdr:col>24</xdr:col>
      <xdr:colOff>47625</xdr:colOff>
      <xdr:row>24</xdr:row>
      <xdr:rowOff>142875</xdr:rowOff>
    </xdr:to>
    <xdr:pic>
      <xdr:nvPicPr>
        <xdr:cNvPr id="1003" name="1057 Imagen" descr="laser fibra icono.png">
          <a:extLst>
            <a:ext uri="{FF2B5EF4-FFF2-40B4-BE49-F238E27FC236}">
              <a16:creationId xmlns:a16="http://schemas.microsoft.com/office/drawing/2014/main" id="{5DC52DFE-C891-4C06-AADA-8EBEDF0308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4114800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23</xdr:col>
      <xdr:colOff>9525</xdr:colOff>
      <xdr:row>176</xdr:row>
      <xdr:rowOff>19050</xdr:rowOff>
    </xdr:from>
    <xdr:ext cx="819150" cy="123825"/>
    <xdr:pic>
      <xdr:nvPicPr>
        <xdr:cNvPr id="1164" name="1037 Imagen" descr="digital icono.png">
          <a:extLst>
            <a:ext uri="{FF2B5EF4-FFF2-40B4-BE49-F238E27FC236}">
              <a16:creationId xmlns:a16="http://schemas.microsoft.com/office/drawing/2014/main" id="{14C12E52-ED20-4E93-9CC7-ED59E7F4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43725" y="27231975"/>
          <a:ext cx="81915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176</xdr:row>
      <xdr:rowOff>28575</xdr:rowOff>
    </xdr:from>
    <xdr:ext cx="342900" cy="104775"/>
    <xdr:pic>
      <xdr:nvPicPr>
        <xdr:cNvPr id="1170" name="272 Imagen" descr="nuevo icono.png">
          <a:extLst>
            <a:ext uri="{FF2B5EF4-FFF2-40B4-BE49-F238E27FC236}">
              <a16:creationId xmlns:a16="http://schemas.microsoft.com/office/drawing/2014/main" id="{43FCA153-6F88-4646-8CD4-020136CF3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93900"/>
          <a:ext cx="342900" cy="104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Concurrencia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jivi.com.ar/ficha.php?id=848" TargetMode="External"/><Relationship Id="rId671" Type="http://schemas.openxmlformats.org/officeDocument/2006/relationships/hyperlink" Target="https://www.jivi.com.ar/ficha.php?id=2313" TargetMode="External"/><Relationship Id="rId21" Type="http://schemas.openxmlformats.org/officeDocument/2006/relationships/hyperlink" Target="https://www.jivi.com.ar/ficha.php?id=102" TargetMode="External"/><Relationship Id="rId324" Type="http://schemas.openxmlformats.org/officeDocument/2006/relationships/hyperlink" Target="https://www.jivi.com.ar/ficha.php?id=1547" TargetMode="External"/><Relationship Id="rId531" Type="http://schemas.openxmlformats.org/officeDocument/2006/relationships/hyperlink" Target="https://www.jivi.com.ar/ficha.php?id=1258" TargetMode="External"/><Relationship Id="rId629" Type="http://schemas.openxmlformats.org/officeDocument/2006/relationships/hyperlink" Target="https://www.jivi.com.ar/ficha.php?id=2268" TargetMode="External"/><Relationship Id="rId170" Type="http://schemas.openxmlformats.org/officeDocument/2006/relationships/hyperlink" Target="https://www.jivi.com.ar/ficha.php?id=1190" TargetMode="External"/><Relationship Id="rId268" Type="http://schemas.openxmlformats.org/officeDocument/2006/relationships/hyperlink" Target="https://www.jivi.com.ar/ficha.php?id=1335" TargetMode="External"/><Relationship Id="rId475" Type="http://schemas.openxmlformats.org/officeDocument/2006/relationships/hyperlink" Target="https://www.jivi.com.ar/ficha.php?id=1308" TargetMode="External"/><Relationship Id="rId32" Type="http://schemas.openxmlformats.org/officeDocument/2006/relationships/hyperlink" Target="https://www.jivi.com.ar/ficha.php?id=112" TargetMode="External"/><Relationship Id="rId128" Type="http://schemas.openxmlformats.org/officeDocument/2006/relationships/hyperlink" Target="https://www.jivi.com.ar/ficha.php?id=948" TargetMode="External"/><Relationship Id="rId335" Type="http://schemas.openxmlformats.org/officeDocument/2006/relationships/hyperlink" Target="https://www.jivi.com.ar/ficha.php?id=1558" TargetMode="External"/><Relationship Id="rId542" Type="http://schemas.openxmlformats.org/officeDocument/2006/relationships/hyperlink" Target="https://www.jivi.com.ar/ficha.php?id=335" TargetMode="External"/><Relationship Id="rId181" Type="http://schemas.openxmlformats.org/officeDocument/2006/relationships/hyperlink" Target="https://www.jivi.com.ar/ficha.php?id=1226" TargetMode="External"/><Relationship Id="rId402" Type="http://schemas.openxmlformats.org/officeDocument/2006/relationships/hyperlink" Target="https://www.jivi.com.ar/ficha.php?id=1635" TargetMode="External"/><Relationship Id="rId279" Type="http://schemas.openxmlformats.org/officeDocument/2006/relationships/hyperlink" Target="https://www.jivi.com.ar/ficha.php?id=1471" TargetMode="External"/><Relationship Id="rId486" Type="http://schemas.openxmlformats.org/officeDocument/2006/relationships/hyperlink" Target="https://www.jivi.com.ar/ficha.php?id=1070" TargetMode="External"/><Relationship Id="rId43" Type="http://schemas.openxmlformats.org/officeDocument/2006/relationships/hyperlink" Target="https://www.jivi.com.ar/ficha.php?id=713" TargetMode="External"/><Relationship Id="rId139" Type="http://schemas.openxmlformats.org/officeDocument/2006/relationships/hyperlink" Target="https://www.jivi.com.ar/ficha.php?id=1023" TargetMode="External"/><Relationship Id="rId346" Type="http://schemas.openxmlformats.org/officeDocument/2006/relationships/hyperlink" Target="https://www.jivi.com.ar/ficha.php?id=1408" TargetMode="External"/><Relationship Id="rId553" Type="http://schemas.openxmlformats.org/officeDocument/2006/relationships/hyperlink" Target="https://www.jivi.com.ar/ficha.php?id=1280" TargetMode="External"/><Relationship Id="rId192" Type="http://schemas.openxmlformats.org/officeDocument/2006/relationships/hyperlink" Target="https://www.jivi.com.ar/ficha.php?id=1268" TargetMode="External"/><Relationship Id="rId206" Type="http://schemas.openxmlformats.org/officeDocument/2006/relationships/hyperlink" Target="https://www.jivi.com.ar/ficha.php?id=1333" TargetMode="External"/><Relationship Id="rId413" Type="http://schemas.openxmlformats.org/officeDocument/2006/relationships/hyperlink" Target="https://www.jivi.com.ar/ficha.php?id=1667" TargetMode="External"/><Relationship Id="rId497" Type="http://schemas.openxmlformats.org/officeDocument/2006/relationships/hyperlink" Target="https://www.jivi.com.ar/ficha.php?id=149" TargetMode="External"/><Relationship Id="rId620" Type="http://schemas.openxmlformats.org/officeDocument/2006/relationships/hyperlink" Target="https://www.jivi.com.ar/ficha.php?id=2213" TargetMode="External"/><Relationship Id="rId357" Type="http://schemas.openxmlformats.org/officeDocument/2006/relationships/hyperlink" Target="https://www.jivi.com.ar/ficha.php?id=1294" TargetMode="External"/><Relationship Id="rId54" Type="http://schemas.openxmlformats.org/officeDocument/2006/relationships/hyperlink" Target="https://www.jivi.com.ar/ficha.php?id=121" TargetMode="External"/><Relationship Id="rId217" Type="http://schemas.openxmlformats.org/officeDocument/2006/relationships/hyperlink" Target="https://www.jivi.com.ar/ficha.php?id=1378" TargetMode="External"/><Relationship Id="rId564" Type="http://schemas.openxmlformats.org/officeDocument/2006/relationships/hyperlink" Target="https://www.jivi.com.ar/ficha.php?id=971" TargetMode="External"/><Relationship Id="rId424" Type="http://schemas.openxmlformats.org/officeDocument/2006/relationships/hyperlink" Target="https://www.jivi.com.ar/ficha.php?id=1699" TargetMode="External"/><Relationship Id="rId631" Type="http://schemas.openxmlformats.org/officeDocument/2006/relationships/hyperlink" Target="https://www.jivi.com.ar/ficha.php?id=2270" TargetMode="External"/><Relationship Id="rId270" Type="http://schemas.openxmlformats.org/officeDocument/2006/relationships/hyperlink" Target="https://www.jivi.com.ar/ficha.php?id=1354" TargetMode="External"/><Relationship Id="rId65" Type="http://schemas.openxmlformats.org/officeDocument/2006/relationships/hyperlink" Target="https://www.jivi.com.ar/ficha.php?id=548" TargetMode="External"/><Relationship Id="rId130" Type="http://schemas.openxmlformats.org/officeDocument/2006/relationships/hyperlink" Target="https://www.jivi.com.ar/ficha.php?id=955" TargetMode="External"/><Relationship Id="rId368" Type="http://schemas.openxmlformats.org/officeDocument/2006/relationships/hyperlink" Target="https://www.jivi.com.ar/ficha.php?id=1586" TargetMode="External"/><Relationship Id="rId575" Type="http://schemas.openxmlformats.org/officeDocument/2006/relationships/hyperlink" Target="https://www.jivi.com.ar/ficha.php?id=2069" TargetMode="External"/><Relationship Id="rId228" Type="http://schemas.openxmlformats.org/officeDocument/2006/relationships/hyperlink" Target="https://www.jivi.com.ar/ficha.php?id=1394" TargetMode="External"/><Relationship Id="rId435" Type="http://schemas.openxmlformats.org/officeDocument/2006/relationships/hyperlink" Target="https://www.jivi.com.ar/ficha.php?id=1722" TargetMode="External"/><Relationship Id="rId642" Type="http://schemas.openxmlformats.org/officeDocument/2006/relationships/hyperlink" Target="https://www.jivi.com.ar/ficha.php?id=2277" TargetMode="External"/><Relationship Id="rId281" Type="http://schemas.openxmlformats.org/officeDocument/2006/relationships/hyperlink" Target="htthttps://www.jivi.com.ar/ficha.php?id=1476" TargetMode="External"/><Relationship Id="rId502" Type="http://schemas.openxmlformats.org/officeDocument/2006/relationships/hyperlink" Target="https://www.jivi.com.ar/ficha.php?id=666" TargetMode="External"/><Relationship Id="rId76" Type="http://schemas.openxmlformats.org/officeDocument/2006/relationships/hyperlink" Target="https://www.jivi.com.ar/ficha.php?id=393" TargetMode="External"/><Relationship Id="rId141" Type="http://schemas.openxmlformats.org/officeDocument/2006/relationships/hyperlink" Target="https://www.jivi.com.ar/ficha.php?id=647" TargetMode="External"/><Relationship Id="rId379" Type="http://schemas.openxmlformats.org/officeDocument/2006/relationships/hyperlink" Target="https://www.jivi.com.ar/ficha.php?id=1599" TargetMode="External"/><Relationship Id="rId586" Type="http://schemas.openxmlformats.org/officeDocument/2006/relationships/hyperlink" Target="https://www.jivi.com.ar/ficha.php?id=2097" TargetMode="External"/><Relationship Id="rId7" Type="http://schemas.openxmlformats.org/officeDocument/2006/relationships/hyperlink" Target="https://www.jivi.com.ar/ficha.php?id=724" TargetMode="External"/><Relationship Id="rId239" Type="http://schemas.openxmlformats.org/officeDocument/2006/relationships/hyperlink" Target="https://www.jivi.com.ar/ficha.php?id=376" TargetMode="External"/><Relationship Id="rId446" Type="http://schemas.openxmlformats.org/officeDocument/2006/relationships/hyperlink" Target="https://www.jivi.com.ar/ficha.php?id=1740" TargetMode="External"/><Relationship Id="rId653" Type="http://schemas.openxmlformats.org/officeDocument/2006/relationships/hyperlink" Target="https://www.jivi.com.ar/ficha.php?id=2055" TargetMode="External"/><Relationship Id="rId292" Type="http://schemas.openxmlformats.org/officeDocument/2006/relationships/hyperlink" Target="https://www.jivi.com.ar/ficha.php?id=1492" TargetMode="External"/><Relationship Id="rId306" Type="http://schemas.openxmlformats.org/officeDocument/2006/relationships/hyperlink" Target="https://www.jivi.com.ar/ficha.php?id=1508" TargetMode="External"/><Relationship Id="rId87" Type="http://schemas.openxmlformats.org/officeDocument/2006/relationships/hyperlink" Target="https://www.jivi.com.ar/ficha.php?id=158" TargetMode="External"/><Relationship Id="rId513" Type="http://schemas.openxmlformats.org/officeDocument/2006/relationships/hyperlink" Target="https://www.jivi.com.ar/ficha.php?id=1380" TargetMode="External"/><Relationship Id="rId597" Type="http://schemas.openxmlformats.org/officeDocument/2006/relationships/hyperlink" Target="https://www.jivi.com.ar/ficha.php?id=2178" TargetMode="External"/><Relationship Id="rId152" Type="http://schemas.openxmlformats.org/officeDocument/2006/relationships/hyperlink" Target="https://www.jivi.com.ar/ficha.php?id=1116" TargetMode="External"/><Relationship Id="rId457" Type="http://schemas.openxmlformats.org/officeDocument/2006/relationships/hyperlink" Target="https://www.jivi.com.ar/ficha.php?id=1750" TargetMode="External"/><Relationship Id="rId664" Type="http://schemas.openxmlformats.org/officeDocument/2006/relationships/hyperlink" Target="https://www.jivi.com.ar/ficha.php?id=1319" TargetMode="External"/><Relationship Id="rId14" Type="http://schemas.openxmlformats.org/officeDocument/2006/relationships/hyperlink" Target="https://www.jivi.com.ar/ficha.php?id=92" TargetMode="External"/><Relationship Id="rId317" Type="http://schemas.openxmlformats.org/officeDocument/2006/relationships/hyperlink" Target="https://www.jivi.com.ar/ficha.php?id=1535" TargetMode="External"/><Relationship Id="rId524" Type="http://schemas.openxmlformats.org/officeDocument/2006/relationships/hyperlink" Target="https://www.jivi.com.ar/ficha.php?id=1998" TargetMode="External"/><Relationship Id="rId98" Type="http://schemas.openxmlformats.org/officeDocument/2006/relationships/hyperlink" Target="http://whttps/www.jivi.com.ar/ficha.php?id=253" TargetMode="External"/><Relationship Id="rId163" Type="http://schemas.openxmlformats.org/officeDocument/2006/relationships/hyperlink" Target="https://www.jivi.com.ar/ficha.php?id=488" TargetMode="External"/><Relationship Id="rId370" Type="http://schemas.openxmlformats.org/officeDocument/2006/relationships/hyperlink" Target="https://www.jivi.com.ar/ficha.php?id=1588" TargetMode="External"/><Relationship Id="rId230" Type="http://schemas.openxmlformats.org/officeDocument/2006/relationships/hyperlink" Target="https://www.jivi.com.ar/ficha.php?id=1399" TargetMode="External"/><Relationship Id="rId468" Type="http://schemas.openxmlformats.org/officeDocument/2006/relationships/hyperlink" Target="https://www.jivi.com.ar/ficha.php?id=1736" TargetMode="External"/><Relationship Id="rId675" Type="http://schemas.openxmlformats.org/officeDocument/2006/relationships/hyperlink" Target="https://www.jivi.com.ar/ficha.php?id=2328" TargetMode="External"/><Relationship Id="rId25" Type="http://schemas.openxmlformats.org/officeDocument/2006/relationships/hyperlink" Target="https://www.jivi.com.ar/ficha.php?id=106" TargetMode="External"/><Relationship Id="rId328" Type="http://schemas.openxmlformats.org/officeDocument/2006/relationships/hyperlink" Target="https://www.jivi.com.ar/ficha.php?id=1551" TargetMode="External"/><Relationship Id="rId535" Type="http://schemas.openxmlformats.org/officeDocument/2006/relationships/hyperlink" Target="https://www.jivi.com.ar/ficha.php?id=2011" TargetMode="External"/><Relationship Id="rId174" Type="http://schemas.openxmlformats.org/officeDocument/2006/relationships/hyperlink" Target="https://www.jivi.com.ar/ficha.php?id=1219" TargetMode="External"/><Relationship Id="rId381" Type="http://schemas.openxmlformats.org/officeDocument/2006/relationships/hyperlink" Target="https://www.jivi.com.ar/ficha.php?id=1603" TargetMode="External"/><Relationship Id="rId602" Type="http://schemas.openxmlformats.org/officeDocument/2006/relationships/hyperlink" Target="https://www.jivi.com.ar/ficha.php?id=2231" TargetMode="External"/><Relationship Id="rId241" Type="http://schemas.openxmlformats.org/officeDocument/2006/relationships/hyperlink" Target="https://www.jivi.com.ar/ficha.php?id=1393" TargetMode="External"/><Relationship Id="rId479" Type="http://schemas.openxmlformats.org/officeDocument/2006/relationships/hyperlink" Target="https://www.jivi.com.ar/ficha.php?id=1447" TargetMode="External"/><Relationship Id="rId36" Type="http://schemas.openxmlformats.org/officeDocument/2006/relationships/hyperlink" Target="https://www.jivi.com.ar/ficha.php?id=117" TargetMode="External"/><Relationship Id="rId339" Type="http://schemas.openxmlformats.org/officeDocument/2006/relationships/hyperlink" Target="https://www.jivi.com.ar/ficha.php?id=1066" TargetMode="External"/><Relationship Id="rId546" Type="http://schemas.openxmlformats.org/officeDocument/2006/relationships/hyperlink" Target="https://www.jivi.com.ar/ficha.php?id=2040" TargetMode="External"/><Relationship Id="rId101" Type="http://schemas.openxmlformats.org/officeDocument/2006/relationships/hyperlink" Target="https://www.jivi.com.ar/ficha.php?id=220" TargetMode="External"/><Relationship Id="rId185" Type="http://schemas.openxmlformats.org/officeDocument/2006/relationships/hyperlink" Target="https://www.jivi.com.ar/ficha.php?id=920" TargetMode="External"/><Relationship Id="rId406" Type="http://schemas.openxmlformats.org/officeDocument/2006/relationships/hyperlink" Target="https://www.jivi.com.ar/ficha.php?id=1644" TargetMode="External"/><Relationship Id="rId392" Type="http://schemas.openxmlformats.org/officeDocument/2006/relationships/hyperlink" Target="https://www.jivi.com.ar/ficha.php?id=1612" TargetMode="External"/><Relationship Id="rId613" Type="http://schemas.openxmlformats.org/officeDocument/2006/relationships/hyperlink" Target="https://www.jivi.com.ar/ficha.php?id=2206" TargetMode="External"/><Relationship Id="rId252" Type="http://schemas.openxmlformats.org/officeDocument/2006/relationships/hyperlink" Target="https://www.jivi.com.ar/ficha.php?id=1421" TargetMode="External"/><Relationship Id="rId47" Type="http://schemas.openxmlformats.org/officeDocument/2006/relationships/hyperlink" Target="https://www.jivi.com.ar/ficha.php?id=406" TargetMode="External"/><Relationship Id="rId112" Type="http://schemas.openxmlformats.org/officeDocument/2006/relationships/hyperlink" Target="https://www.jivi.com.ar/ficha.php?id=707" TargetMode="External"/><Relationship Id="rId557" Type="http://schemas.openxmlformats.org/officeDocument/2006/relationships/hyperlink" Target="https://www.jivi.com.ar/articulos.php?search=1066" TargetMode="External"/><Relationship Id="rId196" Type="http://schemas.openxmlformats.org/officeDocument/2006/relationships/hyperlink" Target="https://www.jivi.com.ar/ficha.php?id=1607" TargetMode="External"/><Relationship Id="rId417" Type="http://schemas.openxmlformats.org/officeDocument/2006/relationships/hyperlink" Target="https://www.jivi.com.ar/ficha.php?id=1672" TargetMode="External"/><Relationship Id="rId624" Type="http://schemas.openxmlformats.org/officeDocument/2006/relationships/hyperlink" Target="https://www.jivi.com.ar/ficha.php?id=2233" TargetMode="External"/><Relationship Id="rId263" Type="http://schemas.openxmlformats.org/officeDocument/2006/relationships/hyperlink" Target="https://www.jivi.com.ar/ficha.php?id=1442" TargetMode="External"/><Relationship Id="rId470" Type="http://schemas.openxmlformats.org/officeDocument/2006/relationships/hyperlink" Target="https://www.jivi.com.ar/ficha.php?id=1781" TargetMode="External"/><Relationship Id="rId58" Type="http://schemas.openxmlformats.org/officeDocument/2006/relationships/hyperlink" Target="https://www.jivi.com.ar/ficha.php?id=125" TargetMode="External"/><Relationship Id="rId123" Type="http://schemas.openxmlformats.org/officeDocument/2006/relationships/hyperlink" Target="https://www.jivi.com.ar/ficha.php?id=886" TargetMode="External"/><Relationship Id="rId330" Type="http://schemas.openxmlformats.org/officeDocument/2006/relationships/hyperlink" Target="https://www.jivi.com.ar/ficha.php?id=1311" TargetMode="External"/><Relationship Id="rId568" Type="http://schemas.openxmlformats.org/officeDocument/2006/relationships/hyperlink" Target="https://www.jivi.com.ar/ficha.php?id=2062" TargetMode="External"/><Relationship Id="rId428" Type="http://schemas.openxmlformats.org/officeDocument/2006/relationships/hyperlink" Target="https://www.jivi.com.ar/ficha.php?id=1528" TargetMode="External"/><Relationship Id="rId635" Type="http://schemas.openxmlformats.org/officeDocument/2006/relationships/hyperlink" Target="https://www.jivi.com.ar/ficha.php?id=2273" TargetMode="External"/><Relationship Id="rId274" Type="http://schemas.openxmlformats.org/officeDocument/2006/relationships/hyperlink" Target="https://www.jivi.com.ar/ficha.php?id=1323" TargetMode="External"/><Relationship Id="rId481" Type="http://schemas.openxmlformats.org/officeDocument/2006/relationships/hyperlink" Target="https://www.jivi.com.ar/ficha.php?id=1128" TargetMode="External"/><Relationship Id="rId69" Type="http://schemas.openxmlformats.org/officeDocument/2006/relationships/hyperlink" Target="https://www.jivi.com.ar/ficha.php?id=134" TargetMode="External"/><Relationship Id="rId134" Type="http://schemas.openxmlformats.org/officeDocument/2006/relationships/hyperlink" Target="https://www.jivi.com.ar/ficha.php?id=973" TargetMode="External"/><Relationship Id="rId579" Type="http://schemas.openxmlformats.org/officeDocument/2006/relationships/hyperlink" Target="https://www.jivi.com.ar/ficha.php?id=2084" TargetMode="External"/><Relationship Id="rId341" Type="http://schemas.openxmlformats.org/officeDocument/2006/relationships/hyperlink" Target="https://www.jivi.com.ar/ficha.php?id=1563" TargetMode="External"/><Relationship Id="rId439" Type="http://schemas.openxmlformats.org/officeDocument/2006/relationships/hyperlink" Target="https://www.jivi.com.ar/ficha.php?id=1728" TargetMode="External"/><Relationship Id="rId646" Type="http://schemas.openxmlformats.org/officeDocument/2006/relationships/hyperlink" Target="https://www.jivi.com.ar/ficha.php?id=1445" TargetMode="External"/><Relationship Id="rId201" Type="http://schemas.openxmlformats.org/officeDocument/2006/relationships/hyperlink" Target="https://www.jivi.com.ar/ficha.php?id=1287" TargetMode="External"/><Relationship Id="rId285" Type="http://schemas.openxmlformats.org/officeDocument/2006/relationships/hyperlink" Target="https://www.jivi.com.ar/ficha.php?id=1478" TargetMode="External"/><Relationship Id="rId506" Type="http://schemas.openxmlformats.org/officeDocument/2006/relationships/hyperlink" Target="https://www.jivi.com.ar/ficha.php?id=1520" TargetMode="External"/><Relationship Id="rId38" Type="http://schemas.openxmlformats.org/officeDocument/2006/relationships/hyperlink" Target="https://www.jivi.com.ar/ficha.php?id=400" TargetMode="External"/><Relationship Id="rId103" Type="http://schemas.openxmlformats.org/officeDocument/2006/relationships/hyperlink" Target="https://www.jivi.com.ar/ficha.php?id=398" TargetMode="External"/><Relationship Id="rId310" Type="http://schemas.openxmlformats.org/officeDocument/2006/relationships/hyperlink" Target="https://www.jivi.com.ar/ficha.php?id=1516" TargetMode="External"/><Relationship Id="rId492" Type="http://schemas.openxmlformats.org/officeDocument/2006/relationships/hyperlink" Target="https://www.jivi.com.ar/ficha.php?id=1544" TargetMode="External"/><Relationship Id="rId548" Type="http://schemas.openxmlformats.org/officeDocument/2006/relationships/hyperlink" Target="https://www.jivi.com.ar/ficha.php?id=2042" TargetMode="External"/><Relationship Id="rId91" Type="http://schemas.openxmlformats.org/officeDocument/2006/relationships/hyperlink" Target="https://www.jivi.com.ar/ficha.php?id=246" TargetMode="External"/><Relationship Id="rId145" Type="http://schemas.openxmlformats.org/officeDocument/2006/relationships/hyperlink" Target="https://www.jivi.com.ar/ficha.php?id=1094" TargetMode="External"/><Relationship Id="rId187" Type="http://schemas.openxmlformats.org/officeDocument/2006/relationships/hyperlink" Target="https://www.jivi.com.ar/ficha.php?id=1248" TargetMode="External"/><Relationship Id="rId352" Type="http://schemas.openxmlformats.org/officeDocument/2006/relationships/hyperlink" Target="https://www.jivi.com.ar/ficha.php?id=1570" TargetMode="External"/><Relationship Id="rId394" Type="http://schemas.openxmlformats.org/officeDocument/2006/relationships/hyperlink" Target="https://www.jivi.com.ar/ficha.php?id=1452" TargetMode="External"/><Relationship Id="rId408" Type="http://schemas.openxmlformats.org/officeDocument/2006/relationships/hyperlink" Target="https://www.jivi.com.ar/ficha.php?id=1640" TargetMode="External"/><Relationship Id="rId615" Type="http://schemas.openxmlformats.org/officeDocument/2006/relationships/hyperlink" Target="https://www.jivi.com.ar/ficha.php?id=2208" TargetMode="External"/><Relationship Id="rId212" Type="http://schemas.openxmlformats.org/officeDocument/2006/relationships/hyperlink" Target="https://www.jivi.com.ar/ficha.php?id=1365" TargetMode="External"/><Relationship Id="rId254" Type="http://schemas.openxmlformats.org/officeDocument/2006/relationships/hyperlink" Target="https://www.jivi.com.ar/ficha.php?id=1423" TargetMode="External"/><Relationship Id="rId657" Type="http://schemas.openxmlformats.org/officeDocument/2006/relationships/hyperlink" Target="https://www.jivi.com.ar/ficha.php?id=2296" TargetMode="External"/><Relationship Id="rId49" Type="http://schemas.openxmlformats.org/officeDocument/2006/relationships/hyperlink" Target="https://www.jivi.com.ar/ficha.php?id=408" TargetMode="External"/><Relationship Id="rId114" Type="http://schemas.openxmlformats.org/officeDocument/2006/relationships/hyperlink" Target="https://www.jivi.com.ar/ficha.php?id=709" TargetMode="External"/><Relationship Id="rId296" Type="http://schemas.openxmlformats.org/officeDocument/2006/relationships/hyperlink" Target="https://www.jivi.com.ar/ficha.php?id=1496" TargetMode="External"/><Relationship Id="rId461" Type="http://schemas.openxmlformats.org/officeDocument/2006/relationships/hyperlink" Target="https://www.jivi.com.ar/ficha.php?id=1310" TargetMode="External"/><Relationship Id="rId517" Type="http://schemas.openxmlformats.org/officeDocument/2006/relationships/hyperlink" Target="https://www.jivi.com.ar/ficha.php?id=1579" TargetMode="External"/><Relationship Id="rId559" Type="http://schemas.openxmlformats.org/officeDocument/2006/relationships/hyperlink" Target="https://www.jivi.com.ar/ficha.php?id=1416" TargetMode="External"/><Relationship Id="rId60" Type="http://schemas.openxmlformats.org/officeDocument/2006/relationships/hyperlink" Target="https://www.jivi.com.ar/ficha.php?id=4" TargetMode="External"/><Relationship Id="rId156" Type="http://schemas.openxmlformats.org/officeDocument/2006/relationships/hyperlink" Target="https://www.jivi.com.ar/ficha.php?id=1157" TargetMode="External"/><Relationship Id="rId198" Type="http://schemas.openxmlformats.org/officeDocument/2006/relationships/hyperlink" Target="https://www.jivi.com.ar/ficha.php?id=1303" TargetMode="External"/><Relationship Id="rId321" Type="http://schemas.openxmlformats.org/officeDocument/2006/relationships/hyperlink" Target="https://www.jivi.com.ar/ficha.php?id=1541" TargetMode="External"/><Relationship Id="rId363" Type="http://schemas.openxmlformats.org/officeDocument/2006/relationships/hyperlink" Target="https://www.jivi.com.ar/ficha.php?id=1576" TargetMode="External"/><Relationship Id="rId419" Type="http://schemas.openxmlformats.org/officeDocument/2006/relationships/hyperlink" Target="https://www.jivi.com.ar/ficha.php?id=1691" TargetMode="External"/><Relationship Id="rId570" Type="http://schemas.openxmlformats.org/officeDocument/2006/relationships/hyperlink" Target="https://www.jivi.com.ar/ficha.php?id=1391" TargetMode="External"/><Relationship Id="rId626" Type="http://schemas.openxmlformats.org/officeDocument/2006/relationships/hyperlink" Target="https://www.jivi.com.ar/ficha.php?id=1251" TargetMode="External"/><Relationship Id="rId223" Type="http://schemas.openxmlformats.org/officeDocument/2006/relationships/hyperlink" Target="https://www.jivi.com.ar/ficha.php?id=1387" TargetMode="External"/><Relationship Id="rId430" Type="http://schemas.openxmlformats.org/officeDocument/2006/relationships/hyperlink" Target="https://www.jivi.com.ar/ficha.php?id=977" TargetMode="External"/><Relationship Id="rId668" Type="http://schemas.openxmlformats.org/officeDocument/2006/relationships/hyperlink" Target="https://www.jivi.com.ar/ficha.php?id=2309" TargetMode="External"/><Relationship Id="rId18" Type="http://schemas.openxmlformats.org/officeDocument/2006/relationships/hyperlink" Target="https://www.jivi.com.ar/ficha.php?id=99" TargetMode="External"/><Relationship Id="rId265" Type="http://schemas.openxmlformats.org/officeDocument/2006/relationships/hyperlink" Target="https://www.jivi.com.ar/ficha.php?id=216" TargetMode="External"/><Relationship Id="rId472" Type="http://schemas.openxmlformats.org/officeDocument/2006/relationships/hyperlink" Target="https://www.jivi.com.ar/ficha.php?id=1340" TargetMode="External"/><Relationship Id="rId528" Type="http://schemas.openxmlformats.org/officeDocument/2006/relationships/hyperlink" Target="https://www.jivi.com.ar/ficha.php?id=1245" TargetMode="External"/><Relationship Id="rId125" Type="http://schemas.openxmlformats.org/officeDocument/2006/relationships/hyperlink" Target="https://www.jivi.com.ar/ficha.php?id=926" TargetMode="External"/><Relationship Id="rId167" Type="http://schemas.openxmlformats.org/officeDocument/2006/relationships/hyperlink" Target="https://www.jivi.com.ar/ficha.php?id=1183" TargetMode="External"/><Relationship Id="rId332" Type="http://schemas.openxmlformats.org/officeDocument/2006/relationships/hyperlink" Target="https://www.jivi.com.ar/ficha.php?id=1554" TargetMode="External"/><Relationship Id="rId374" Type="http://schemas.openxmlformats.org/officeDocument/2006/relationships/hyperlink" Target="https://www.jivi.com.ar/ficha.php?id=1592" TargetMode="External"/><Relationship Id="rId581" Type="http://schemas.openxmlformats.org/officeDocument/2006/relationships/hyperlink" Target="https://www.jivi.com.ar/ficha.php?id=1001" TargetMode="External"/><Relationship Id="rId71" Type="http://schemas.openxmlformats.org/officeDocument/2006/relationships/hyperlink" Target="https://www.jivi.com.ar/ficha.php?id=145" TargetMode="External"/><Relationship Id="rId234" Type="http://schemas.openxmlformats.org/officeDocument/2006/relationships/hyperlink" Target="https://www.jivi.com.ar/ficha.php?id=1392" TargetMode="External"/><Relationship Id="rId637" Type="http://schemas.openxmlformats.org/officeDocument/2006/relationships/hyperlink" Target="https://www.jivi.com.ar/ficha.php?id=1140" TargetMode="External"/><Relationship Id="rId679" Type="http://schemas.openxmlformats.org/officeDocument/2006/relationships/vmlDrawing" Target="../drawings/vmlDrawing1.vml"/><Relationship Id="rId2" Type="http://schemas.openxmlformats.org/officeDocument/2006/relationships/hyperlink" Target="https://www.jivi.com.ar/ficha.php?id=660" TargetMode="External"/><Relationship Id="rId29" Type="http://schemas.openxmlformats.org/officeDocument/2006/relationships/hyperlink" Target="https://www.jivi.com.ar/ficha.php?id=110" TargetMode="External"/><Relationship Id="rId276" Type="http://schemas.openxmlformats.org/officeDocument/2006/relationships/hyperlink" Target="https://www.jivi.com.ar/ficha.php?id=1463" TargetMode="External"/><Relationship Id="rId441" Type="http://schemas.openxmlformats.org/officeDocument/2006/relationships/hyperlink" Target="https://www.jivi.com.ar/ficha.php?id=1730" TargetMode="External"/><Relationship Id="rId483" Type="http://schemas.openxmlformats.org/officeDocument/2006/relationships/hyperlink" Target="https://www.jivi.com.ar/ficha.php?id=1804" TargetMode="External"/><Relationship Id="rId539" Type="http://schemas.openxmlformats.org/officeDocument/2006/relationships/hyperlink" Target="https://www.jivi.com.ar/ficha.php?id=2018" TargetMode="External"/><Relationship Id="rId40" Type="http://schemas.openxmlformats.org/officeDocument/2006/relationships/hyperlink" Target="https://www.jivi.com.ar/ficha.php?id=402" TargetMode="External"/><Relationship Id="rId136" Type="http://schemas.openxmlformats.org/officeDocument/2006/relationships/hyperlink" Target="https://www.jivi.com.ar/ficha.php?id=1006" TargetMode="External"/><Relationship Id="rId178" Type="http://schemas.openxmlformats.org/officeDocument/2006/relationships/hyperlink" Target="https://www.jivi.com.ar/ficha.php?id=904" TargetMode="External"/><Relationship Id="rId301" Type="http://schemas.openxmlformats.org/officeDocument/2006/relationships/hyperlink" Target="https://www.jivi.com.ar/ficha.php?id=1502" TargetMode="External"/><Relationship Id="rId343" Type="http://schemas.openxmlformats.org/officeDocument/2006/relationships/hyperlink" Target="https://www.jivi.com.ar/ficha.php?id=790" TargetMode="External"/><Relationship Id="rId550" Type="http://schemas.openxmlformats.org/officeDocument/2006/relationships/hyperlink" Target="https://www.jivi.com.ar/ficha.php?id=249" TargetMode="External"/><Relationship Id="rId82" Type="http://schemas.openxmlformats.org/officeDocument/2006/relationships/hyperlink" Target="https://www.jivi.com.ar/ficha.php?id=166" TargetMode="External"/><Relationship Id="rId203" Type="http://schemas.openxmlformats.org/officeDocument/2006/relationships/hyperlink" Target="https://www.jivi.com.ar/ficha.php?id=1314" TargetMode="External"/><Relationship Id="rId385" Type="http://schemas.openxmlformats.org/officeDocument/2006/relationships/hyperlink" Target="https://www.jivi.com.ar/ficha.php?id=1424" TargetMode="External"/><Relationship Id="rId592" Type="http://schemas.openxmlformats.org/officeDocument/2006/relationships/hyperlink" Target="https://www.jivi.com.ar/ficha.php?id=2146" TargetMode="External"/><Relationship Id="rId606" Type="http://schemas.openxmlformats.org/officeDocument/2006/relationships/hyperlink" Target="https://www.jivi.com.ar/ficha.php?id=2225" TargetMode="External"/><Relationship Id="rId648" Type="http://schemas.openxmlformats.org/officeDocument/2006/relationships/hyperlink" Target="https://www.jivi.com.ar/ficha.php?id=2287" TargetMode="External"/><Relationship Id="rId245" Type="http://schemas.openxmlformats.org/officeDocument/2006/relationships/hyperlink" Target="https://www.jivi.com.ar/ficha.php?id=1356" TargetMode="External"/><Relationship Id="rId287" Type="http://schemas.openxmlformats.org/officeDocument/2006/relationships/hyperlink" Target="https://www.jivi.com.ar/ficha.php?id=1480" TargetMode="External"/><Relationship Id="rId410" Type="http://schemas.openxmlformats.org/officeDocument/2006/relationships/hyperlink" Target="https://www.jivi.com.ar/ficha.php?id=1660" TargetMode="External"/><Relationship Id="rId452" Type="http://schemas.openxmlformats.org/officeDocument/2006/relationships/hyperlink" Target="https://www.jivi.com.ar/ficha.php?id=1746" TargetMode="External"/><Relationship Id="rId494" Type="http://schemas.openxmlformats.org/officeDocument/2006/relationships/hyperlink" Target="https://www.jivi.com.ar/ficha.php?id=1556" TargetMode="External"/><Relationship Id="rId508" Type="http://schemas.openxmlformats.org/officeDocument/2006/relationships/hyperlink" Target="https://www.jivi.com.ar/ficha.php?id=1443" TargetMode="External"/><Relationship Id="rId105" Type="http://schemas.openxmlformats.org/officeDocument/2006/relationships/hyperlink" Target="https://www.jivi.com.ar/ficha.php?id=566" TargetMode="External"/><Relationship Id="rId147" Type="http://schemas.openxmlformats.org/officeDocument/2006/relationships/hyperlink" Target="https://www.jivi.com.ar/ficha.php?id=1097" TargetMode="External"/><Relationship Id="rId312" Type="http://schemas.openxmlformats.org/officeDocument/2006/relationships/hyperlink" Target="https://www.jivi.com.ar/ficha.php?id=1523" TargetMode="External"/><Relationship Id="rId354" Type="http://schemas.openxmlformats.org/officeDocument/2006/relationships/hyperlink" Target="https://www.jivi.com.ar/ficha.php?id=1518" TargetMode="External"/><Relationship Id="rId51" Type="http://schemas.openxmlformats.org/officeDocument/2006/relationships/hyperlink" Target="https://www.jivi.com.ar/ficha.php?id=118" TargetMode="External"/><Relationship Id="rId93" Type="http://schemas.openxmlformats.org/officeDocument/2006/relationships/hyperlink" Target="https://www.jivi.com.ar/ficha.php?id=728" TargetMode="External"/><Relationship Id="rId189" Type="http://schemas.openxmlformats.org/officeDocument/2006/relationships/hyperlink" Target="https://www.jivi.com.ar/ficha.php?id=1124" TargetMode="External"/><Relationship Id="rId396" Type="http://schemas.openxmlformats.org/officeDocument/2006/relationships/hyperlink" Target="https://www.jivi.com.ar/ficha.php?id=1618" TargetMode="External"/><Relationship Id="rId561" Type="http://schemas.openxmlformats.org/officeDocument/2006/relationships/hyperlink" Target="https://www.jivi.com.ar/ficha.php?id=2052" TargetMode="External"/><Relationship Id="rId617" Type="http://schemas.openxmlformats.org/officeDocument/2006/relationships/hyperlink" Target="https://www.jivi.com.ar/ficha.php?id=2210" TargetMode="External"/><Relationship Id="rId659" Type="http://schemas.openxmlformats.org/officeDocument/2006/relationships/hyperlink" Target="https://www.jivi.com.ar/ficha.php?id=2298" TargetMode="External"/><Relationship Id="rId214" Type="http://schemas.openxmlformats.org/officeDocument/2006/relationships/hyperlink" Target="https://www.jivi.com.ar/registro.php" TargetMode="External"/><Relationship Id="rId256" Type="http://schemas.openxmlformats.org/officeDocument/2006/relationships/hyperlink" Target="https://www.jivi.com.ar/ficha.php?id=1426" TargetMode="External"/><Relationship Id="rId298" Type="http://schemas.openxmlformats.org/officeDocument/2006/relationships/hyperlink" Target="httphttps://www.jivi.com.ar/ficha.php?id=1498" TargetMode="External"/><Relationship Id="rId421" Type="http://schemas.openxmlformats.org/officeDocument/2006/relationships/hyperlink" Target="https://www.jivi.com.ar/ficha.php?id=36" TargetMode="External"/><Relationship Id="rId463" Type="http://schemas.openxmlformats.org/officeDocument/2006/relationships/hyperlink" Target="https://www.jivi.com.ar/ficha.php?id=76" TargetMode="External"/><Relationship Id="rId519" Type="http://schemas.openxmlformats.org/officeDocument/2006/relationships/hyperlink" Target="https://www.jivi.com.ar/ficha.php?id=1911" TargetMode="External"/><Relationship Id="rId670" Type="http://schemas.openxmlformats.org/officeDocument/2006/relationships/hyperlink" Target="https://www.jivi.com.ar/ficha.php?id=2310" TargetMode="External"/><Relationship Id="rId116" Type="http://schemas.openxmlformats.org/officeDocument/2006/relationships/hyperlink" Target="https://www.jivi.com.ar/ficha.php?id=846" TargetMode="External"/><Relationship Id="rId158" Type="http://schemas.openxmlformats.org/officeDocument/2006/relationships/hyperlink" Target="hhttps://www.jivi.com.ar/ficha.php?id=1155" TargetMode="External"/><Relationship Id="rId323" Type="http://schemas.openxmlformats.org/officeDocument/2006/relationships/hyperlink" Target="https://www.jivi.com.ar/ficha.php?id=1545" TargetMode="External"/><Relationship Id="rId530" Type="http://schemas.openxmlformats.org/officeDocument/2006/relationships/hyperlink" Target="https://www.jivi.com.ar/ficha.php?id=2007" TargetMode="External"/><Relationship Id="rId20" Type="http://schemas.openxmlformats.org/officeDocument/2006/relationships/hyperlink" Target="https://www.jivi.com.ar/ficha.php?id=101" TargetMode="External"/><Relationship Id="rId62" Type="http://schemas.openxmlformats.org/officeDocument/2006/relationships/hyperlink" Target="https://www.jivi.com.ar/ficha.php?id=209" TargetMode="External"/><Relationship Id="rId365" Type="http://schemas.openxmlformats.org/officeDocument/2006/relationships/hyperlink" Target="https://www.jivi.com.ar/ficha.php?id=1581" TargetMode="External"/><Relationship Id="rId572" Type="http://schemas.openxmlformats.org/officeDocument/2006/relationships/hyperlink" Target="https://www.jivi.com.ar/ficha.php?id=2067" TargetMode="External"/><Relationship Id="rId628" Type="http://schemas.openxmlformats.org/officeDocument/2006/relationships/hyperlink" Target="https://www.jivi.com.ar/ficha.php?id=2266" TargetMode="External"/><Relationship Id="rId225" Type="http://schemas.openxmlformats.org/officeDocument/2006/relationships/hyperlink" Target="https://www.jivi.com.ar/ficha.php?id=363" TargetMode="External"/><Relationship Id="rId267" Type="http://schemas.openxmlformats.org/officeDocument/2006/relationships/hyperlink" Target="https://www.jivi.com.ar/ficha.php?id=1334" TargetMode="External"/><Relationship Id="rId432" Type="http://schemas.openxmlformats.org/officeDocument/2006/relationships/hyperlink" Target="https://www.jivi.com.ar/ficha.php?id=1456" TargetMode="External"/><Relationship Id="rId474" Type="http://schemas.openxmlformats.org/officeDocument/2006/relationships/hyperlink" Target="https://www.jivi.com.ar/ficha.php?id=1487" TargetMode="External"/><Relationship Id="rId127" Type="http://schemas.openxmlformats.org/officeDocument/2006/relationships/hyperlink" Target="https://www.jivi.com.ar/ficha.php?id=247" TargetMode="External"/><Relationship Id="rId31" Type="http://schemas.openxmlformats.org/officeDocument/2006/relationships/hyperlink" Target="https://www.jivi.com.ar/ficha.php?id=113" TargetMode="External"/><Relationship Id="rId73" Type="http://schemas.openxmlformats.org/officeDocument/2006/relationships/hyperlink" Target="https://www.jivi.com.ar/ficha.php?id=19" TargetMode="External"/><Relationship Id="rId169" Type="http://schemas.openxmlformats.org/officeDocument/2006/relationships/hyperlink" Target="https://www.jivi.com.ar/ficha.php?id=349" TargetMode="External"/><Relationship Id="rId334" Type="http://schemas.openxmlformats.org/officeDocument/2006/relationships/hyperlink" Target="https://www.jivi.com.ar/ficha.php?id=1557" TargetMode="External"/><Relationship Id="rId376" Type="http://schemas.openxmlformats.org/officeDocument/2006/relationships/hyperlink" Target="https://www.jivi.com.ar/ficha.php?id=1595" TargetMode="External"/><Relationship Id="rId541" Type="http://schemas.openxmlformats.org/officeDocument/2006/relationships/hyperlink" Target="https://www.jivi.com.ar/ficha.php?id=2026" TargetMode="External"/><Relationship Id="rId583" Type="http://schemas.openxmlformats.org/officeDocument/2006/relationships/hyperlink" Target="https://www.jivi.com.ar/ficha.php?id=1512" TargetMode="External"/><Relationship Id="rId639" Type="http://schemas.openxmlformats.org/officeDocument/2006/relationships/hyperlink" Target="https://www.jivi.com.ar/ficha.php?id=1655" TargetMode="External"/><Relationship Id="rId4" Type="http://schemas.openxmlformats.org/officeDocument/2006/relationships/hyperlink" Target="https://www.jivi.com.ar/ficha.php?id=725" TargetMode="External"/><Relationship Id="rId180" Type="http://schemas.openxmlformats.org/officeDocument/2006/relationships/hyperlink" Target="https://www.jivi.com.ar/ficha.php?id=1225" TargetMode="External"/><Relationship Id="rId236" Type="http://schemas.openxmlformats.org/officeDocument/2006/relationships/hyperlink" Target="https://www.jivi.com.ar/ficha.php?id=1110" TargetMode="External"/><Relationship Id="rId278" Type="http://schemas.openxmlformats.org/officeDocument/2006/relationships/hyperlink" Target="https://www.jivi.com.ar/ficha.php?id=1467" TargetMode="External"/><Relationship Id="rId401" Type="http://schemas.openxmlformats.org/officeDocument/2006/relationships/hyperlink" Target="https://www.jivi.com.ar/ficha.php?id=1634" TargetMode="External"/><Relationship Id="rId443" Type="http://schemas.openxmlformats.org/officeDocument/2006/relationships/hyperlink" Target="https://www.jivi.com.ar/ficha.php?id=1732" TargetMode="External"/><Relationship Id="rId650" Type="http://schemas.openxmlformats.org/officeDocument/2006/relationships/hyperlink" Target="https://www.jivi.com.ar/ficha.php?id=2289" TargetMode="External"/><Relationship Id="rId303" Type="http://schemas.openxmlformats.org/officeDocument/2006/relationships/hyperlink" Target="https://www.jivi.com.ar/ficha.php?id=1505" TargetMode="External"/><Relationship Id="rId485" Type="http://schemas.openxmlformats.org/officeDocument/2006/relationships/hyperlink" Target="https://www.jivi.com.ar/ficha.php?id=1342" TargetMode="External"/><Relationship Id="rId42" Type="http://schemas.openxmlformats.org/officeDocument/2006/relationships/hyperlink" Target="https://www.jivi.com.ar/ficha.php?id=638" TargetMode="External"/><Relationship Id="rId84" Type="http://schemas.openxmlformats.org/officeDocument/2006/relationships/hyperlink" Target="https://www.jivi.com.ar/ficha.php?id=168" TargetMode="External"/><Relationship Id="rId138" Type="http://schemas.openxmlformats.org/officeDocument/2006/relationships/hyperlink" Target="https://www.jivi.com.ar/ficha.php?id=251" TargetMode="External"/><Relationship Id="rId345" Type="http://schemas.openxmlformats.org/officeDocument/2006/relationships/hyperlink" Target="https://www.jivi.com.ar/ficha.php?id=1409" TargetMode="External"/><Relationship Id="rId387" Type="http://schemas.openxmlformats.org/officeDocument/2006/relationships/hyperlink" Target="https://www.jivi.com.ar/ficha.php?id=1459" TargetMode="External"/><Relationship Id="rId510" Type="http://schemas.openxmlformats.org/officeDocument/2006/relationships/hyperlink" Target="https://www.jivi.com.ar/ficha.php?id=1733" TargetMode="External"/><Relationship Id="rId552" Type="http://schemas.openxmlformats.org/officeDocument/2006/relationships/hyperlink" Target="https://www.jivi.com.ar/ficha.php?id=1390" TargetMode="External"/><Relationship Id="rId594" Type="http://schemas.openxmlformats.org/officeDocument/2006/relationships/hyperlink" Target="https://www.jivi.com.ar/ficha.php?id=2169" TargetMode="External"/><Relationship Id="rId608" Type="http://schemas.openxmlformats.org/officeDocument/2006/relationships/hyperlink" Target="https://www.jivi.com.ar/ficha.php?id=2229" TargetMode="External"/><Relationship Id="rId191" Type="http://schemas.openxmlformats.org/officeDocument/2006/relationships/hyperlink" Target="https://www.jivi.com.ar/ficha.php?id=1267" TargetMode="External"/><Relationship Id="rId205" Type="http://schemas.openxmlformats.org/officeDocument/2006/relationships/hyperlink" Target="https://www.jivi.com.ar/ficha.php?id=1344" TargetMode="External"/><Relationship Id="rId247" Type="http://schemas.openxmlformats.org/officeDocument/2006/relationships/hyperlink" Target="https://www.jivi.com.ar/ficha.php?id=1353" TargetMode="External"/><Relationship Id="rId412" Type="http://schemas.openxmlformats.org/officeDocument/2006/relationships/hyperlink" Target="https://www.jivi.com.ar/ficha.php?id=1666" TargetMode="External"/><Relationship Id="rId107" Type="http://schemas.openxmlformats.org/officeDocument/2006/relationships/hyperlink" Target="https://www.jivi.com.ar/ficha.php?id=214" TargetMode="External"/><Relationship Id="rId289" Type="http://schemas.openxmlformats.org/officeDocument/2006/relationships/hyperlink" Target="https://www.jivi.com.ar/ficha.php?id=1483" TargetMode="External"/><Relationship Id="rId454" Type="http://schemas.openxmlformats.org/officeDocument/2006/relationships/hyperlink" Target="https://www.jivi.com.ar/ficha.php?id=1748" TargetMode="External"/><Relationship Id="rId496" Type="http://schemas.openxmlformats.org/officeDocument/2006/relationships/hyperlink" Target="https://www.jivi.com.ar/ficha.php?id=1491" TargetMode="External"/><Relationship Id="rId661" Type="http://schemas.openxmlformats.org/officeDocument/2006/relationships/hyperlink" Target="https://www.jivi.com.ar/ficha.php?id=2300" TargetMode="External"/><Relationship Id="rId11" Type="http://schemas.openxmlformats.org/officeDocument/2006/relationships/hyperlink" Target="https://www.jivi.com.ar/ficha.php?id=650" TargetMode="External"/><Relationship Id="rId53" Type="http://schemas.openxmlformats.org/officeDocument/2006/relationships/hyperlink" Target="https://www.jivi.com.ar/ficha.php?id=120" TargetMode="External"/><Relationship Id="rId149" Type="http://schemas.openxmlformats.org/officeDocument/2006/relationships/hyperlink" Target="https://www.jivi.com.ar/ficha.php?id=885" TargetMode="External"/><Relationship Id="rId314" Type="http://schemas.openxmlformats.org/officeDocument/2006/relationships/hyperlink" Target="https://www.jivi.com.ar/ficha.php?id=1527" TargetMode="External"/><Relationship Id="rId356" Type="http://schemas.openxmlformats.org/officeDocument/2006/relationships/hyperlink" Target="https://www.jivi.com.ar/ficha.php?id=1573" TargetMode="External"/><Relationship Id="rId398" Type="http://schemas.openxmlformats.org/officeDocument/2006/relationships/hyperlink" Target="https://www.jivi.com.ar/ficha.php?id=1620" TargetMode="External"/><Relationship Id="rId521" Type="http://schemas.openxmlformats.org/officeDocument/2006/relationships/hyperlink" Target="https://www.jivi.com.ar/ficha.php?id=1912" TargetMode="External"/><Relationship Id="rId563" Type="http://schemas.openxmlformats.org/officeDocument/2006/relationships/hyperlink" Target="https://www.jivi.com.ar/ficha.php?id=2058" TargetMode="External"/><Relationship Id="rId619" Type="http://schemas.openxmlformats.org/officeDocument/2006/relationships/hyperlink" Target="https://www.jivi.com.ar/ficha.php?id=2212" TargetMode="External"/><Relationship Id="rId95" Type="http://schemas.openxmlformats.org/officeDocument/2006/relationships/hyperlink" Target="https://www.jivi.com.ar/ficha.php?id=181" TargetMode="External"/><Relationship Id="rId160" Type="http://schemas.openxmlformats.org/officeDocument/2006/relationships/hyperlink" Target="https://www.jivi.com.ar/ficha.php?id=1168" TargetMode="External"/><Relationship Id="rId216" Type="http://schemas.openxmlformats.org/officeDocument/2006/relationships/hyperlink" Target="https://www.jivi.com.ar/ficha.php?id=1372" TargetMode="External"/><Relationship Id="rId423" Type="http://schemas.openxmlformats.org/officeDocument/2006/relationships/hyperlink" Target="https://www.jivi.com.ar/ficha.php?id=1698" TargetMode="External"/><Relationship Id="rId258" Type="http://schemas.openxmlformats.org/officeDocument/2006/relationships/hyperlink" Target="https://www.jivi.com.ar/ficha.php?id=1432" TargetMode="External"/><Relationship Id="rId465" Type="http://schemas.openxmlformats.org/officeDocument/2006/relationships/hyperlink" Target="https://www.jivi.com.ar/ficha.php?id=2202" TargetMode="External"/><Relationship Id="rId630" Type="http://schemas.openxmlformats.org/officeDocument/2006/relationships/hyperlink" Target="http://www.jivi.com.ar/ficha.php?id=1522" TargetMode="External"/><Relationship Id="rId672" Type="http://schemas.openxmlformats.org/officeDocument/2006/relationships/hyperlink" Target="https://www.jivi.com.ar/ficha.php?id=2325" TargetMode="External"/><Relationship Id="rId22" Type="http://schemas.openxmlformats.org/officeDocument/2006/relationships/hyperlink" Target="https://www.jivi.com.ar/ficha.php?id=103" TargetMode="External"/><Relationship Id="rId64" Type="http://schemas.openxmlformats.org/officeDocument/2006/relationships/hyperlink" Target="https://www.jivi.com.ar/ficha.php?id=380" TargetMode="External"/><Relationship Id="rId118" Type="http://schemas.openxmlformats.org/officeDocument/2006/relationships/hyperlink" Target="https://www.jivi.com.ar/ficha.php?id=854" TargetMode="External"/><Relationship Id="rId325" Type="http://schemas.openxmlformats.org/officeDocument/2006/relationships/hyperlink" Target="https://www.jivi.com.ar/ficha.php?id=981" TargetMode="External"/><Relationship Id="rId367" Type="http://schemas.openxmlformats.org/officeDocument/2006/relationships/hyperlink" Target="https://www.jivi.com.ar/ficha.php?id=1584" TargetMode="External"/><Relationship Id="rId532" Type="http://schemas.openxmlformats.org/officeDocument/2006/relationships/hyperlink" Target="https://www.jivi.com.ar/ficha.php?id=2008" TargetMode="External"/><Relationship Id="rId574" Type="http://schemas.openxmlformats.org/officeDocument/2006/relationships/hyperlink" Target="https://www.jivi.com.ar/ficha.php?id=1295" TargetMode="External"/><Relationship Id="rId171" Type="http://schemas.openxmlformats.org/officeDocument/2006/relationships/hyperlink" Target="https://www.jivi.com.ar/ficha.php?id=1181" TargetMode="External"/><Relationship Id="rId227" Type="http://schemas.openxmlformats.org/officeDocument/2006/relationships/hyperlink" Target="https://www.jivi.com.ar/ficha.php?id=1343" TargetMode="External"/><Relationship Id="rId269" Type="http://schemas.openxmlformats.org/officeDocument/2006/relationships/hyperlink" Target="https://www.jivi.com.ar/ficha.php?id=1446" TargetMode="External"/><Relationship Id="rId434" Type="http://schemas.openxmlformats.org/officeDocument/2006/relationships/hyperlink" Target="https://www.jivi.com.ar/ficha.php?id=1708" TargetMode="External"/><Relationship Id="rId476" Type="http://schemas.openxmlformats.org/officeDocument/2006/relationships/hyperlink" Target="https://www.jivi.com.ar/ficha.php?id=1186" TargetMode="External"/><Relationship Id="rId641" Type="http://schemas.openxmlformats.org/officeDocument/2006/relationships/hyperlink" Target="https://www.jivi.com.ar/ficha.php?id=2275" TargetMode="External"/><Relationship Id="rId33" Type="http://schemas.openxmlformats.org/officeDocument/2006/relationships/hyperlink" Target="https://www.jivi.com.ar/ficha.php?id=114" TargetMode="External"/><Relationship Id="rId129" Type="http://schemas.openxmlformats.org/officeDocument/2006/relationships/hyperlink" Target="https://www.jivi.com.ar/ficha.php?id=954" TargetMode="External"/><Relationship Id="rId280" Type="http://schemas.openxmlformats.org/officeDocument/2006/relationships/hyperlink" Target="https://www.jivi.com.ar/ficha.php?id=1472" TargetMode="External"/><Relationship Id="rId336" Type="http://schemas.openxmlformats.org/officeDocument/2006/relationships/hyperlink" Target="https://www.jivi.com.ar/ficha.php?id=518" TargetMode="External"/><Relationship Id="rId501" Type="http://schemas.openxmlformats.org/officeDocument/2006/relationships/hyperlink" Target="https://www.jivi.com.ar/ficha.php?id=1152" TargetMode="External"/><Relationship Id="rId543" Type="http://schemas.openxmlformats.org/officeDocument/2006/relationships/hyperlink" Target="https://www.jivi.com.ar/ficha.php?id=444" TargetMode="External"/><Relationship Id="rId75" Type="http://schemas.openxmlformats.org/officeDocument/2006/relationships/hyperlink" Target="https://www.jivi.com.ar/ficha.php?id=392" TargetMode="External"/><Relationship Id="rId140" Type="http://schemas.openxmlformats.org/officeDocument/2006/relationships/hyperlink" Target="https://www.jivi.com.ar/ficha.php?id=1025" TargetMode="External"/><Relationship Id="rId182" Type="http://schemas.openxmlformats.org/officeDocument/2006/relationships/hyperlink" Target="https://www.jivi.com.ar/ficha.php?id=919" TargetMode="External"/><Relationship Id="rId378" Type="http://schemas.openxmlformats.org/officeDocument/2006/relationships/hyperlink" Target="https://www.jivi.com.ar/ficha.php?id=1598" TargetMode="External"/><Relationship Id="rId403" Type="http://schemas.openxmlformats.org/officeDocument/2006/relationships/hyperlink" Target="https://www.jivi.com.ar/ficha.php?id=968" TargetMode="External"/><Relationship Id="rId585" Type="http://schemas.openxmlformats.org/officeDocument/2006/relationships/hyperlink" Target="https://www.jivi.com.ar/ficha.php?id=1299" TargetMode="External"/><Relationship Id="rId6" Type="http://schemas.openxmlformats.org/officeDocument/2006/relationships/hyperlink" Target="https://www.jivi.com.ar/ficha.php?id=726" TargetMode="External"/><Relationship Id="rId238" Type="http://schemas.openxmlformats.org/officeDocument/2006/relationships/hyperlink" Target="https://www.jivi.com.ar/ficha.php?id=477" TargetMode="External"/><Relationship Id="rId445" Type="http://schemas.openxmlformats.org/officeDocument/2006/relationships/hyperlink" Target="https://www.jivi.com.ar/ficha.php?id=1738" TargetMode="External"/><Relationship Id="rId487" Type="http://schemas.openxmlformats.org/officeDocument/2006/relationships/hyperlink" Target="https://www.jivi.com.ar/ficha.php?id=1377" TargetMode="External"/><Relationship Id="rId610" Type="http://schemas.openxmlformats.org/officeDocument/2006/relationships/hyperlink" Target="https://www.jivi.com.ar/ficha.php?id=2226" TargetMode="External"/><Relationship Id="rId652" Type="http://schemas.openxmlformats.org/officeDocument/2006/relationships/hyperlink" Target="https://www.jivi.com.ar/ficha.php?id=2291" TargetMode="External"/><Relationship Id="rId291" Type="http://schemas.openxmlformats.org/officeDocument/2006/relationships/hyperlink" Target="https://www.jivi.com.ar/ficha.php?id=1488" TargetMode="External"/><Relationship Id="rId305" Type="http://schemas.openxmlformats.org/officeDocument/2006/relationships/hyperlink" Target="https://www.jivi.com.ar/ficha.php?id=1507" TargetMode="External"/><Relationship Id="rId347" Type="http://schemas.openxmlformats.org/officeDocument/2006/relationships/hyperlink" Target="https://www.jivi.com.ar/ficha.php?id=1564" TargetMode="External"/><Relationship Id="rId512" Type="http://schemas.openxmlformats.org/officeDocument/2006/relationships/hyperlink" Target="https://www.jivi.com.ar/ficha.php?id=1379" TargetMode="External"/><Relationship Id="rId44" Type="http://schemas.openxmlformats.org/officeDocument/2006/relationships/hyperlink" Target="https://www.jivi.com.ar/ficha.php?id=714" TargetMode="External"/><Relationship Id="rId86" Type="http://schemas.openxmlformats.org/officeDocument/2006/relationships/hyperlink" Target="https://www.jivi.com.ar/ficha.php?id=148" TargetMode="External"/><Relationship Id="rId151" Type="http://schemas.openxmlformats.org/officeDocument/2006/relationships/hyperlink" Target="https://www.jivi.com.ar/ficha.php?id=1108" TargetMode="External"/><Relationship Id="rId389" Type="http://schemas.openxmlformats.org/officeDocument/2006/relationships/hyperlink" Target="https://www.jivi.com.ar/ficha.php?id=1609" TargetMode="External"/><Relationship Id="rId554" Type="http://schemas.openxmlformats.org/officeDocument/2006/relationships/hyperlink" Target="https://www.jivi.com.ar/ficha.php?id=1278" TargetMode="External"/><Relationship Id="rId596" Type="http://schemas.openxmlformats.org/officeDocument/2006/relationships/hyperlink" Target="https://www.jivi.com.ar/ficha.php?id=2171" TargetMode="External"/><Relationship Id="rId193" Type="http://schemas.openxmlformats.org/officeDocument/2006/relationships/hyperlink" Target="https://www.jivi.com.ar/ficha.php?id=1277" TargetMode="External"/><Relationship Id="rId207" Type="http://schemas.openxmlformats.org/officeDocument/2006/relationships/hyperlink" Target="https://www.jivi.com.ar/ficha.php?id=1346" TargetMode="External"/><Relationship Id="rId249" Type="http://schemas.openxmlformats.org/officeDocument/2006/relationships/hyperlink" Target="https://www.jivi.com.ar/ficha.php?id=1418" TargetMode="External"/><Relationship Id="rId414" Type="http://schemas.openxmlformats.org/officeDocument/2006/relationships/hyperlink" Target="https://www.jivi.com.ar/ficha.php?id=1684" TargetMode="External"/><Relationship Id="rId456" Type="http://schemas.openxmlformats.org/officeDocument/2006/relationships/hyperlink" Target="https://www.jivi.com.ar/ficha.php?id=1787" TargetMode="External"/><Relationship Id="rId498" Type="http://schemas.openxmlformats.org/officeDocument/2006/relationships/hyperlink" Target="https://www.jivi.com.ar/ficha.php?id=1594" TargetMode="External"/><Relationship Id="rId621" Type="http://schemas.openxmlformats.org/officeDocument/2006/relationships/hyperlink" Target="https://www.jivi.com.ar/ficha.php?id=2214" TargetMode="External"/><Relationship Id="rId663" Type="http://schemas.openxmlformats.org/officeDocument/2006/relationships/hyperlink" Target="https://www.jivi.com.ar/ficha.php?id=2302" TargetMode="External"/><Relationship Id="rId13" Type="http://schemas.openxmlformats.org/officeDocument/2006/relationships/hyperlink" Target="https://www.jivi.com.ar/ficha.php?id=77" TargetMode="External"/><Relationship Id="rId109" Type="http://schemas.openxmlformats.org/officeDocument/2006/relationships/hyperlink" Target="https://www.jivi.com.ar/ficha.php?id=51" TargetMode="External"/><Relationship Id="rId260" Type="http://schemas.openxmlformats.org/officeDocument/2006/relationships/hyperlink" Target="https://www.jivi.com.ar/ficha.php?id=1437" TargetMode="External"/><Relationship Id="rId316" Type="http://schemas.openxmlformats.org/officeDocument/2006/relationships/hyperlink" Target="https://www.jivi.com.ar/ficha.php?id=1534" TargetMode="External"/><Relationship Id="rId523" Type="http://schemas.openxmlformats.org/officeDocument/2006/relationships/hyperlink" Target="https://www.jivi.com.ar/ficha.php?id=1566" TargetMode="External"/><Relationship Id="rId55" Type="http://schemas.openxmlformats.org/officeDocument/2006/relationships/hyperlink" Target="https://www.jivi.com.ar/ficha.php?id=122" TargetMode="External"/><Relationship Id="rId97" Type="http://schemas.openxmlformats.org/officeDocument/2006/relationships/hyperlink" Target="https://www.jivi.com.ar/ficha.php?id=473" TargetMode="External"/><Relationship Id="rId120" Type="http://schemas.openxmlformats.org/officeDocument/2006/relationships/hyperlink" Target="https://www.jivi.com.ar/ficha.php?id=888" TargetMode="External"/><Relationship Id="rId358" Type="http://schemas.openxmlformats.org/officeDocument/2006/relationships/hyperlink" Target="https://www.jivi.com.ar/ficha.php?id=1271" TargetMode="External"/><Relationship Id="rId565" Type="http://schemas.openxmlformats.org/officeDocument/2006/relationships/hyperlink" Target="https://www.jivi.com.ar/ficha.php?id=2059" TargetMode="External"/><Relationship Id="rId162" Type="http://schemas.openxmlformats.org/officeDocument/2006/relationships/hyperlink" Target="https://www.jivi.com.ar/ficha.php?id=975" TargetMode="External"/><Relationship Id="rId218" Type="http://schemas.openxmlformats.org/officeDocument/2006/relationships/hyperlink" Target="https://www.jivi.com.ar/ficha.php?id=1382" TargetMode="External"/><Relationship Id="rId425" Type="http://schemas.openxmlformats.org/officeDocument/2006/relationships/hyperlink" Target="https://www.jivi.com.ar/ficha.php?id=1510" TargetMode="External"/><Relationship Id="rId467" Type="http://schemas.openxmlformats.org/officeDocument/2006/relationships/hyperlink" Target="https://www.jivi.com.ar/ficha.php?id=1710" TargetMode="External"/><Relationship Id="rId632" Type="http://schemas.openxmlformats.org/officeDocument/2006/relationships/hyperlink" Target="https://www.jivi.com.ar/ficha.php?id=2271" TargetMode="External"/><Relationship Id="rId271" Type="http://schemas.openxmlformats.org/officeDocument/2006/relationships/hyperlink" Target="https://www.jivi.com.ar/ficha.php?id=1448" TargetMode="External"/><Relationship Id="rId674" Type="http://schemas.openxmlformats.org/officeDocument/2006/relationships/hyperlink" Target="https://www.jivi.com.ar/ficha.php?id=2327" TargetMode="External"/><Relationship Id="rId24" Type="http://schemas.openxmlformats.org/officeDocument/2006/relationships/hyperlink" Target="https://www.jivi.com.ar/ficha.php?id=105" TargetMode="External"/><Relationship Id="rId66" Type="http://schemas.openxmlformats.org/officeDocument/2006/relationships/hyperlink" Target="https://www.jivi.com.ar/ficha.php?id=501" TargetMode="External"/><Relationship Id="rId131" Type="http://schemas.openxmlformats.org/officeDocument/2006/relationships/hyperlink" Target="https://www.jivi.com.ar/ficha.php?id=956" TargetMode="External"/><Relationship Id="rId327" Type="http://schemas.openxmlformats.org/officeDocument/2006/relationships/hyperlink" Target="https://www.jivi.com.ar/ficha.php?id=1549" TargetMode="External"/><Relationship Id="rId369" Type="http://schemas.openxmlformats.org/officeDocument/2006/relationships/hyperlink" Target="https://www.jivi.com.ar/ficha.php?id=1221" TargetMode="External"/><Relationship Id="rId534" Type="http://schemas.openxmlformats.org/officeDocument/2006/relationships/hyperlink" Target="https://www.jivi.com.ar/ficha.php?id=2010" TargetMode="External"/><Relationship Id="rId576" Type="http://schemas.openxmlformats.org/officeDocument/2006/relationships/hyperlink" Target="https://www.jivi.com.ar/ficha.php?id=2070" TargetMode="External"/><Relationship Id="rId173" Type="http://schemas.openxmlformats.org/officeDocument/2006/relationships/hyperlink" Target="https://www.jivi.com.ar/ficha.php?id=1218" TargetMode="External"/><Relationship Id="rId229" Type="http://schemas.openxmlformats.org/officeDocument/2006/relationships/hyperlink" Target="https://www.jivi.com.ar/ficha.php?id=872" TargetMode="External"/><Relationship Id="rId380" Type="http://schemas.openxmlformats.org/officeDocument/2006/relationships/hyperlink" Target="https://www.jivi.com.ar/ficha.php?id=1602" TargetMode="External"/><Relationship Id="rId436" Type="http://schemas.openxmlformats.org/officeDocument/2006/relationships/hyperlink" Target="https://www.jivi.com.ar/ficha.php?id=1723" TargetMode="External"/><Relationship Id="rId601" Type="http://schemas.openxmlformats.org/officeDocument/2006/relationships/hyperlink" Target="https://www.jivi.com.ar/ficha.php?id=1454" TargetMode="External"/><Relationship Id="rId643" Type="http://schemas.openxmlformats.org/officeDocument/2006/relationships/hyperlink" Target="https://www.jivi.com.ar/ficha.php?id=2278" TargetMode="External"/><Relationship Id="rId240" Type="http://schemas.openxmlformats.org/officeDocument/2006/relationships/hyperlink" Target="https://www.jivi.com.ar/ficha.php?id=1402" TargetMode="External"/><Relationship Id="rId478" Type="http://schemas.openxmlformats.org/officeDocument/2006/relationships/hyperlink" Target="https://www.jivi.com.ar/ficha.php?id=1791" TargetMode="External"/><Relationship Id="rId35" Type="http://schemas.openxmlformats.org/officeDocument/2006/relationships/hyperlink" Target="https://www.jivi.com.ar/ficha.php?id=116" TargetMode="External"/><Relationship Id="rId77" Type="http://schemas.openxmlformats.org/officeDocument/2006/relationships/hyperlink" Target="https://www.jivi.com.ar/ficha.php?id=135" TargetMode="External"/><Relationship Id="rId100" Type="http://schemas.openxmlformats.org/officeDocument/2006/relationships/hyperlink" Target="https://www.jivi.com.ar/ficha.php?id=23" TargetMode="External"/><Relationship Id="rId282" Type="http://schemas.openxmlformats.org/officeDocument/2006/relationships/hyperlink" Target="https://www.jivi.com.ar/ficha.php?id=995" TargetMode="External"/><Relationship Id="rId338" Type="http://schemas.openxmlformats.org/officeDocument/2006/relationships/hyperlink" Target="https://www.jivi.com.ar/ficha.php?id=26" TargetMode="External"/><Relationship Id="rId503" Type="http://schemas.openxmlformats.org/officeDocument/2006/relationships/hyperlink" Target="https://www.jivi.com.ar/ficha.php?id=1077" TargetMode="External"/><Relationship Id="rId545" Type="http://schemas.openxmlformats.org/officeDocument/2006/relationships/hyperlink" Target="https://www.jivi.com.ar/ficha.php?id=2035" TargetMode="External"/><Relationship Id="rId587" Type="http://schemas.openxmlformats.org/officeDocument/2006/relationships/hyperlink" Target="https://www.jivi.com.ar/ficha.php?id=2101" TargetMode="External"/><Relationship Id="rId8" Type="http://schemas.openxmlformats.org/officeDocument/2006/relationships/hyperlink" Target="https://www.jivi.com.ar/ficha.php?id=41" TargetMode="External"/><Relationship Id="rId142" Type="http://schemas.openxmlformats.org/officeDocument/2006/relationships/hyperlink" Target="https://www.jivi.com.ar/ficha.php?id=1049" TargetMode="External"/><Relationship Id="rId184" Type="http://schemas.openxmlformats.org/officeDocument/2006/relationships/hyperlink" Target="https://www.jivi.com.ar/ficha.php?id=883" TargetMode="External"/><Relationship Id="rId391" Type="http://schemas.openxmlformats.org/officeDocument/2006/relationships/hyperlink" Target="https://www.jivi.com.ar/ficha.php?id=1611" TargetMode="External"/><Relationship Id="rId405" Type="http://schemas.openxmlformats.org/officeDocument/2006/relationships/hyperlink" Target="https://www.jivi.com.ar/ficha.php?id=1642" TargetMode="External"/><Relationship Id="rId447" Type="http://schemas.openxmlformats.org/officeDocument/2006/relationships/hyperlink" Target="https://www.jivi.com.ar/ficha.php?id=1742" TargetMode="External"/><Relationship Id="rId612" Type="http://schemas.openxmlformats.org/officeDocument/2006/relationships/hyperlink" Target="https://www.jivi.com.ar/ficha.php?id=2205" TargetMode="External"/><Relationship Id="rId251" Type="http://schemas.openxmlformats.org/officeDocument/2006/relationships/hyperlink" Target="https://www.jivi.com.ar/ficha.php?id=1420" TargetMode="External"/><Relationship Id="rId489" Type="http://schemas.openxmlformats.org/officeDocument/2006/relationships/hyperlink" Target="https://www.jivi.com.ar/ficha.php?id=1131" TargetMode="External"/><Relationship Id="rId654" Type="http://schemas.openxmlformats.org/officeDocument/2006/relationships/hyperlink" Target="https://www.jivi.com.ar/ficha.php?id=2292" TargetMode="External"/><Relationship Id="rId46" Type="http://schemas.openxmlformats.org/officeDocument/2006/relationships/hyperlink" Target="https://www.jivi.com.ar/ficha.php?id=405" TargetMode="External"/><Relationship Id="rId293" Type="http://schemas.openxmlformats.org/officeDocument/2006/relationships/hyperlink" Target="https://www.jivi.com.ar/ficha.php?id=1493" TargetMode="External"/><Relationship Id="rId307" Type="http://schemas.openxmlformats.org/officeDocument/2006/relationships/hyperlink" Target="https://www.jivi.com.ar/ficha.php?id=1509" TargetMode="External"/><Relationship Id="rId349" Type="http://schemas.openxmlformats.org/officeDocument/2006/relationships/hyperlink" Target="https://www.jivi.com.ar/ficha.php?id=1567" TargetMode="External"/><Relationship Id="rId514" Type="http://schemas.openxmlformats.org/officeDocument/2006/relationships/hyperlink" Target="https://www.jivi.com.ar/ficha.php?id=1840" TargetMode="External"/><Relationship Id="rId556" Type="http://schemas.openxmlformats.org/officeDocument/2006/relationships/hyperlink" Target="https://www.jivi.com.ar/ficha.php?id=1410" TargetMode="External"/><Relationship Id="rId88" Type="http://schemas.openxmlformats.org/officeDocument/2006/relationships/hyperlink" Target="https://www.jivi.com.ar/ficha.php?id=621" TargetMode="External"/><Relationship Id="rId111" Type="http://schemas.openxmlformats.org/officeDocument/2006/relationships/hyperlink" Target="https://www.jivi.com.ar/ficha.php?id=809" TargetMode="External"/><Relationship Id="rId153" Type="http://schemas.openxmlformats.org/officeDocument/2006/relationships/hyperlink" Target="https://www.jivi.com.ar/ficha.php?id=1119" TargetMode="External"/><Relationship Id="rId195" Type="http://schemas.openxmlformats.org/officeDocument/2006/relationships/hyperlink" Target="https://www.jivi.com.ar/ficha.php?id=378" TargetMode="External"/><Relationship Id="rId209" Type="http://schemas.openxmlformats.org/officeDocument/2006/relationships/hyperlink" Target="https://www.jivi.com.ar/ficha.php?id=1348" TargetMode="External"/><Relationship Id="rId360" Type="http://schemas.openxmlformats.org/officeDocument/2006/relationships/hyperlink" Target="https://www.jivi.com.ar/ficha.php?id=1139" TargetMode="External"/><Relationship Id="rId416" Type="http://schemas.openxmlformats.org/officeDocument/2006/relationships/hyperlink" Target="https://www.jivi.com.ar/ficha.php?id=1687" TargetMode="External"/><Relationship Id="rId598" Type="http://schemas.openxmlformats.org/officeDocument/2006/relationships/hyperlink" Target="https://www.jivi.com.ar/ficha.php?id=2105" TargetMode="External"/><Relationship Id="rId220" Type="http://schemas.openxmlformats.org/officeDocument/2006/relationships/hyperlink" Target="https://www.jivi.com.ar/ficha.php?id=1384" TargetMode="External"/><Relationship Id="rId458" Type="http://schemas.openxmlformats.org/officeDocument/2006/relationships/hyperlink" Target="https://www.jivi.com.ar/ficha.php?id=1751" TargetMode="External"/><Relationship Id="rId623" Type="http://schemas.openxmlformats.org/officeDocument/2006/relationships/hyperlink" Target="https://www.jivi.com.ar/ficha.php?id=2216" TargetMode="External"/><Relationship Id="rId665" Type="http://schemas.openxmlformats.org/officeDocument/2006/relationships/hyperlink" Target="https://www.jivi.com.ar/ficha.php?id=2306" TargetMode="External"/><Relationship Id="rId15" Type="http://schemas.openxmlformats.org/officeDocument/2006/relationships/hyperlink" Target="https://www.jivi.com.ar/ficha.php?id=96" TargetMode="External"/><Relationship Id="rId57" Type="http://schemas.openxmlformats.org/officeDocument/2006/relationships/hyperlink" Target="https://www.jivi.com.ar/ficha.php?id=124" TargetMode="External"/><Relationship Id="rId262" Type="http://schemas.openxmlformats.org/officeDocument/2006/relationships/hyperlink" Target="https://www.jivi.com.ar/ficha.php?id=1439" TargetMode="External"/><Relationship Id="rId318" Type="http://schemas.openxmlformats.org/officeDocument/2006/relationships/hyperlink" Target="https://www.jivi.com.ar/ficha.php?id=1536" TargetMode="External"/><Relationship Id="rId525" Type="http://schemas.openxmlformats.org/officeDocument/2006/relationships/hyperlink" Target="https://www.jivi.com.ar/ficha.php?id=1411" TargetMode="External"/><Relationship Id="rId567" Type="http://schemas.openxmlformats.org/officeDocument/2006/relationships/hyperlink" Target="https://www.jivi.com.ar/ficha.php?id=2061" TargetMode="External"/><Relationship Id="rId99" Type="http://schemas.openxmlformats.org/officeDocument/2006/relationships/hyperlink" Target="https://www.jivi.com.ar/ficha.php?id=252" TargetMode="External"/><Relationship Id="rId122" Type="http://schemas.openxmlformats.org/officeDocument/2006/relationships/hyperlink" Target="https://www.jivi.com.ar/ficha.php?id=903" TargetMode="External"/><Relationship Id="rId164" Type="http://schemas.openxmlformats.org/officeDocument/2006/relationships/hyperlink" Target="https://www.jivi.com.ar/ficha.php?id=1175" TargetMode="External"/><Relationship Id="rId371" Type="http://schemas.openxmlformats.org/officeDocument/2006/relationships/hyperlink" Target="https://www.jivi.com.ar/ficha.php?id=1589" TargetMode="External"/><Relationship Id="rId427" Type="http://schemas.openxmlformats.org/officeDocument/2006/relationships/hyperlink" Target="https://www.jivi.com.ar/ficha.php?id=1531" TargetMode="External"/><Relationship Id="rId469" Type="http://schemas.openxmlformats.org/officeDocument/2006/relationships/hyperlink" Target="https://www.jivi.com.ar/ficha.php?id=1737" TargetMode="External"/><Relationship Id="rId634" Type="http://schemas.openxmlformats.org/officeDocument/2006/relationships/hyperlink" Target="https://www.jivi.com.ar/ficha.php?id=914" TargetMode="External"/><Relationship Id="rId676" Type="http://schemas.openxmlformats.org/officeDocument/2006/relationships/hyperlink" Target="https://www.jivi.com.ar/ficha.php?id=1369" TargetMode="External"/><Relationship Id="rId26" Type="http://schemas.openxmlformats.org/officeDocument/2006/relationships/hyperlink" Target="https://www.jivi.com.ar/ficha.php?id=107" TargetMode="External"/><Relationship Id="rId231" Type="http://schemas.openxmlformats.org/officeDocument/2006/relationships/hyperlink" Target="https://www.jivi.com.ar/ficha.php?id=1262" TargetMode="External"/><Relationship Id="rId273" Type="http://schemas.openxmlformats.org/officeDocument/2006/relationships/hyperlink" Target="https://www.jivi.com.ar/ficha.php?id=1560" TargetMode="External"/><Relationship Id="rId329" Type="http://schemas.openxmlformats.org/officeDocument/2006/relationships/hyperlink" Target="https://www.jivi.com.ar/ficha.php?id=1552" TargetMode="External"/><Relationship Id="rId480" Type="http://schemas.openxmlformats.org/officeDocument/2006/relationships/hyperlink" Target="https://www.jivi.com.ar/ficha.php?id=1087" TargetMode="External"/><Relationship Id="rId536" Type="http://schemas.openxmlformats.org/officeDocument/2006/relationships/hyperlink" Target="https://www.jivi.com.ar/ficha.php?id=2012" TargetMode="External"/><Relationship Id="rId68" Type="http://schemas.openxmlformats.org/officeDocument/2006/relationships/hyperlink" Target="https://www.jivi.com.ar/ficha.php?id=326" TargetMode="External"/><Relationship Id="rId133" Type="http://schemas.openxmlformats.org/officeDocument/2006/relationships/hyperlink" Target="https://www.jivi.com.ar/ficha.php?id=967" TargetMode="External"/><Relationship Id="rId175" Type="http://schemas.openxmlformats.org/officeDocument/2006/relationships/hyperlink" Target="https://www.jivi.com.ar/ficha.php?id=1220" TargetMode="External"/><Relationship Id="rId340" Type="http://schemas.openxmlformats.org/officeDocument/2006/relationships/hyperlink" Target="https://www.jivi.com.ar/ficha.php?id=1562" TargetMode="External"/><Relationship Id="rId578" Type="http://schemas.openxmlformats.org/officeDocument/2006/relationships/hyperlink" Target="https://www.jivi.com.ar/ficha.php?id=1266" TargetMode="External"/><Relationship Id="rId200" Type="http://schemas.openxmlformats.org/officeDocument/2006/relationships/hyperlink" Target="https://www.jivi.com.ar/ficha.php?id=1306" TargetMode="External"/><Relationship Id="rId382" Type="http://schemas.openxmlformats.org/officeDocument/2006/relationships/hyperlink" Target="https://www.jivi.com.ar/ficha.php?id=1701" TargetMode="External"/><Relationship Id="rId438" Type="http://schemas.openxmlformats.org/officeDocument/2006/relationships/hyperlink" Target="https://www.jivi.com.ar/ficha.php?id=1727" TargetMode="External"/><Relationship Id="rId603" Type="http://schemas.openxmlformats.org/officeDocument/2006/relationships/hyperlink" Target="https://www.jivi.com.ar/ficha.php?id=2230" TargetMode="External"/><Relationship Id="rId645" Type="http://schemas.openxmlformats.org/officeDocument/2006/relationships/hyperlink" Target="https://www.jivi.com.ar/ficha.php?id=2281" TargetMode="External"/><Relationship Id="rId242" Type="http://schemas.openxmlformats.org/officeDocument/2006/relationships/hyperlink" Target="https://www.jivi.com.ar/ficha.php?id=1405" TargetMode="External"/><Relationship Id="rId284" Type="http://schemas.openxmlformats.org/officeDocument/2006/relationships/hyperlink" Target="https://www.jivi.com.ar/ficha.php?id=835" TargetMode="External"/><Relationship Id="rId491" Type="http://schemas.openxmlformats.org/officeDocument/2006/relationships/hyperlink" Target="https://www.jivi.com.ar/ficha.php?id=1820" TargetMode="External"/><Relationship Id="rId505" Type="http://schemas.openxmlformats.org/officeDocument/2006/relationships/hyperlink" Target="https://www.jivi.com.ar/ficha.php?id=1616" TargetMode="External"/><Relationship Id="rId37" Type="http://schemas.openxmlformats.org/officeDocument/2006/relationships/hyperlink" Target="https://www.jivi.com.ar/ficha.php?id=399" TargetMode="External"/><Relationship Id="rId79" Type="http://schemas.openxmlformats.org/officeDocument/2006/relationships/hyperlink" Target="https://www.jivi.com.ar/ficha.php?id=137" TargetMode="External"/><Relationship Id="rId102" Type="http://schemas.openxmlformats.org/officeDocument/2006/relationships/hyperlink" Target="https://www.jivi.com.ar/ficha.php?id=221" TargetMode="External"/><Relationship Id="rId144" Type="http://schemas.openxmlformats.org/officeDocument/2006/relationships/hyperlink" Target="https://www.jivi.com.ar/ficha.php?id=1095" TargetMode="External"/><Relationship Id="rId547" Type="http://schemas.openxmlformats.org/officeDocument/2006/relationships/hyperlink" Target="https://www.jivi.com.ar/ficha.php?id=1662" TargetMode="External"/><Relationship Id="rId589" Type="http://schemas.openxmlformats.org/officeDocument/2006/relationships/hyperlink" Target="https://www.jivi.com.ar/ficha.php?id=698" TargetMode="External"/><Relationship Id="rId90" Type="http://schemas.openxmlformats.org/officeDocument/2006/relationships/hyperlink" Target="https://www.jivi.com.ar/ficha.php?id=456" TargetMode="External"/><Relationship Id="rId186" Type="http://schemas.openxmlformats.org/officeDocument/2006/relationships/hyperlink" Target="https://jivi.com.ar/ficha.php?id=89" TargetMode="External"/><Relationship Id="rId351" Type="http://schemas.openxmlformats.org/officeDocument/2006/relationships/hyperlink" Target="https://www.jivi.com.ar/ficha.php?id=1569" TargetMode="External"/><Relationship Id="rId393" Type="http://schemas.openxmlformats.org/officeDocument/2006/relationships/hyperlink" Target="https://www.jivi.com.ar/ficha.php?id=1614" TargetMode="External"/><Relationship Id="rId407" Type="http://schemas.openxmlformats.org/officeDocument/2006/relationships/hyperlink" Target="https://www.jivi.com.ar/ficha.php?id=1641" TargetMode="External"/><Relationship Id="rId449" Type="http://schemas.openxmlformats.org/officeDocument/2006/relationships/hyperlink" Target="https://www.jivi.com.ar/ficha.php?id=1743" TargetMode="External"/><Relationship Id="rId614" Type="http://schemas.openxmlformats.org/officeDocument/2006/relationships/hyperlink" Target="https://www.jivi.com.ar/ficha.php?id=2207" TargetMode="External"/><Relationship Id="rId656" Type="http://schemas.openxmlformats.org/officeDocument/2006/relationships/hyperlink" Target="https://www.jivi.com.ar/ficha.php?id=2295" TargetMode="External"/><Relationship Id="rId211" Type="http://schemas.openxmlformats.org/officeDocument/2006/relationships/hyperlink" Target="https://www.jivi.com.ar/ficha.php?id=1360" TargetMode="External"/><Relationship Id="rId253" Type="http://schemas.openxmlformats.org/officeDocument/2006/relationships/hyperlink" Target="https://www.jivi.com.ar/ficha.php?id=1422" TargetMode="External"/><Relationship Id="rId295" Type="http://schemas.openxmlformats.org/officeDocument/2006/relationships/hyperlink" Target="https://www.jivi.com.ar/ficha.php?id=1495" TargetMode="External"/><Relationship Id="rId309" Type="http://schemas.openxmlformats.org/officeDocument/2006/relationships/hyperlink" Target="https://www.jivi.com.ar/ficha.php?id=1515" TargetMode="External"/><Relationship Id="rId460" Type="http://schemas.openxmlformats.org/officeDocument/2006/relationships/hyperlink" Target="https://www.jivi.com.ar/ficha.php?id=1776" TargetMode="External"/><Relationship Id="rId516" Type="http://schemas.openxmlformats.org/officeDocument/2006/relationships/hyperlink" Target="https://www.jivi.com.ar/ficha.php?id=1886" TargetMode="External"/><Relationship Id="rId48" Type="http://schemas.openxmlformats.org/officeDocument/2006/relationships/hyperlink" Target="https://www.jivi.com.ar/ficha.php?id=407" TargetMode="External"/><Relationship Id="rId113" Type="http://schemas.openxmlformats.org/officeDocument/2006/relationships/hyperlink" Target="https://www.jivi.com.ar/ficha.php?id=708" TargetMode="External"/><Relationship Id="rId320" Type="http://schemas.openxmlformats.org/officeDocument/2006/relationships/hyperlink" Target="https://www.jivi.com.ar/ficha.php?id=1540" TargetMode="External"/><Relationship Id="rId558" Type="http://schemas.openxmlformats.org/officeDocument/2006/relationships/hyperlink" Target="https://www.jivi.com.ar/ficha.php?id=1433" TargetMode="External"/><Relationship Id="rId155" Type="http://schemas.openxmlformats.org/officeDocument/2006/relationships/hyperlink" Target="https://www.jivi.com.ar/ficha.php?id=1154" TargetMode="External"/><Relationship Id="rId197" Type="http://schemas.openxmlformats.org/officeDocument/2006/relationships/hyperlink" Target="https://www.jivi.com.ar/ficha.php?id=1302" TargetMode="External"/><Relationship Id="rId362" Type="http://schemas.openxmlformats.org/officeDocument/2006/relationships/hyperlink" Target="https://www.jivi.com.ar/ficha.php?id=1574" TargetMode="External"/><Relationship Id="rId418" Type="http://schemas.openxmlformats.org/officeDocument/2006/relationships/hyperlink" Target="https://www.jivi.com.ar/ficha.php?id=1690" TargetMode="External"/><Relationship Id="rId625" Type="http://schemas.openxmlformats.org/officeDocument/2006/relationships/hyperlink" Target="https://www.jivi.com.ar/ficha.php?id=2234" TargetMode="External"/><Relationship Id="rId222" Type="http://schemas.openxmlformats.org/officeDocument/2006/relationships/hyperlink" Target="https://www.jivi.com.ar/ficha.php?id=1385" TargetMode="External"/><Relationship Id="rId264" Type="http://schemas.openxmlformats.org/officeDocument/2006/relationships/hyperlink" Target="https://www.jivi.com.ar/ficha.php?id=1427" TargetMode="External"/><Relationship Id="rId471" Type="http://schemas.openxmlformats.org/officeDocument/2006/relationships/hyperlink" Target="https://www.jivi.com.ar/ficha.php?id=1293" TargetMode="External"/><Relationship Id="rId667" Type="http://schemas.openxmlformats.org/officeDocument/2006/relationships/hyperlink" Target="https://www.jivi.com.ar/ficha.php?id=2308" TargetMode="External"/><Relationship Id="rId17" Type="http://schemas.openxmlformats.org/officeDocument/2006/relationships/hyperlink" Target="https://www.jivi.com.ar/ficha.php?id=98" TargetMode="External"/><Relationship Id="rId59" Type="http://schemas.openxmlformats.org/officeDocument/2006/relationships/hyperlink" Target="https://www.jivi.com.ar/ficha.php?id=187" TargetMode="External"/><Relationship Id="rId124" Type="http://schemas.openxmlformats.org/officeDocument/2006/relationships/hyperlink" Target="https://www.jivi.com.ar/ficha.php?id=918" TargetMode="External"/><Relationship Id="rId527" Type="http://schemas.openxmlformats.org/officeDocument/2006/relationships/hyperlink" Target="https://www.jivi.com.ar/ficha.php?id=1577" TargetMode="External"/><Relationship Id="rId569" Type="http://schemas.openxmlformats.org/officeDocument/2006/relationships/hyperlink" Target="https://www.jivi.com.ar/ficha.php?id=2337" TargetMode="External"/><Relationship Id="rId70" Type="http://schemas.openxmlformats.org/officeDocument/2006/relationships/hyperlink" Target="https://www.jivi.com.ar/ficha.php?id=394" TargetMode="External"/><Relationship Id="rId166" Type="http://schemas.openxmlformats.org/officeDocument/2006/relationships/hyperlink" Target="https://www.jivi.com.ar/ficha.php?id=1182" TargetMode="External"/><Relationship Id="rId331" Type="http://schemas.openxmlformats.org/officeDocument/2006/relationships/hyperlink" Target="https://www.jivi.com.ar/ficha.php?id=1553" TargetMode="External"/><Relationship Id="rId373" Type="http://schemas.openxmlformats.org/officeDocument/2006/relationships/hyperlink" Target="https://www.jivi.com.ar/ficha.php?id=1591" TargetMode="External"/><Relationship Id="rId429" Type="http://schemas.openxmlformats.org/officeDocument/2006/relationships/hyperlink" Target="https://www.jivi.com.ar/ficha.php?id=1704" TargetMode="External"/><Relationship Id="rId580" Type="http://schemas.openxmlformats.org/officeDocument/2006/relationships/hyperlink" Target="https://www.jivi.com.ar/ficha.php?id=2085" TargetMode="External"/><Relationship Id="rId636" Type="http://schemas.openxmlformats.org/officeDocument/2006/relationships/hyperlink" Target="https://www.jivi.com.ar/ficha.php?id=2274" TargetMode="External"/><Relationship Id="rId1" Type="http://schemas.openxmlformats.org/officeDocument/2006/relationships/hyperlink" Target="https://www.jivi.com.ar/ficha.php?id=27" TargetMode="External"/><Relationship Id="rId233" Type="http://schemas.openxmlformats.org/officeDocument/2006/relationships/hyperlink" Target="https://www.jivi.com.ar/ficha.php?id=1401" TargetMode="External"/><Relationship Id="rId440" Type="http://schemas.openxmlformats.org/officeDocument/2006/relationships/hyperlink" Target="https://www.jivi.com.ar/ficha.php?id=1729" TargetMode="External"/><Relationship Id="rId678" Type="http://schemas.openxmlformats.org/officeDocument/2006/relationships/drawing" Target="../drawings/drawing1.xml"/><Relationship Id="rId28" Type="http://schemas.openxmlformats.org/officeDocument/2006/relationships/hyperlink" Target="https://www.jivi.com.ar/ficha.php?id=109" TargetMode="External"/><Relationship Id="rId275" Type="http://schemas.openxmlformats.org/officeDocument/2006/relationships/hyperlink" Target="https://www.jivi.com.ar/ficha.php?id=969" TargetMode="External"/><Relationship Id="rId300" Type="http://schemas.openxmlformats.org/officeDocument/2006/relationships/hyperlink" Target="https://www.jivi.com.ar/ficha.php?id=1500" TargetMode="External"/><Relationship Id="rId482" Type="http://schemas.openxmlformats.org/officeDocument/2006/relationships/hyperlink" Target="https://www.jivi.com.ar/ficha.php?id=1451" TargetMode="External"/><Relationship Id="rId538" Type="http://schemas.openxmlformats.org/officeDocument/2006/relationships/hyperlink" Target="https://www.jivi.com.ar/ficha.php?id=2017" TargetMode="External"/><Relationship Id="rId81" Type="http://schemas.openxmlformats.org/officeDocument/2006/relationships/hyperlink" Target="https://www.jivi.com.ar/ficha.php?id=245" TargetMode="External"/><Relationship Id="rId135" Type="http://schemas.openxmlformats.org/officeDocument/2006/relationships/hyperlink" Target="https://www.jivi.com.ar/ficha.php?id=850" TargetMode="External"/><Relationship Id="rId177" Type="http://schemas.openxmlformats.org/officeDocument/2006/relationships/hyperlink" Target="https://www.jivi.com.ar/ficha.php?id=1223" TargetMode="External"/><Relationship Id="rId342" Type="http://schemas.openxmlformats.org/officeDocument/2006/relationships/hyperlink" Target="https://www.jivi.com.ar/ficha.php?id=1414" TargetMode="External"/><Relationship Id="rId384" Type="http://schemas.openxmlformats.org/officeDocument/2006/relationships/hyperlink" Target="https://www.jivi.com.ar/ficha.php?id=1606" TargetMode="External"/><Relationship Id="rId591" Type="http://schemas.openxmlformats.org/officeDocument/2006/relationships/hyperlink" Target="https://www.jivi.com.ar/ficha.php?id=2147" TargetMode="External"/><Relationship Id="rId605" Type="http://schemas.openxmlformats.org/officeDocument/2006/relationships/hyperlink" Target="https://www.jivi.com.ar/ficha.php?id=2227" TargetMode="External"/><Relationship Id="rId202" Type="http://schemas.openxmlformats.org/officeDocument/2006/relationships/hyperlink" Target="https://www.jivi.com.ar/ficha.php?id=1290" TargetMode="External"/><Relationship Id="rId244" Type="http://schemas.openxmlformats.org/officeDocument/2006/relationships/hyperlink" Target="https://www.jivi.com.ar/ficha.php?id=1415" TargetMode="External"/><Relationship Id="rId647" Type="http://schemas.openxmlformats.org/officeDocument/2006/relationships/hyperlink" Target="https://www.jivi.com.ar/ficha.php?id=2286" TargetMode="External"/><Relationship Id="rId39" Type="http://schemas.openxmlformats.org/officeDocument/2006/relationships/hyperlink" Target="https://www.jivi.com.ar/ficha.php?id=401" TargetMode="External"/><Relationship Id="rId286" Type="http://schemas.openxmlformats.org/officeDocument/2006/relationships/hyperlink" Target="https://www.jivi.com.ar/ficha.php?id=1479" TargetMode="External"/><Relationship Id="rId451" Type="http://schemas.openxmlformats.org/officeDocument/2006/relationships/hyperlink" Target="https://www.jivi.com.ar/ficha.php?id=1745" TargetMode="External"/><Relationship Id="rId493" Type="http://schemas.openxmlformats.org/officeDocument/2006/relationships/hyperlink" Target="https://www.jivi.com.ar/ficha.php?id=1533" TargetMode="External"/><Relationship Id="rId507" Type="http://schemas.openxmlformats.org/officeDocument/2006/relationships/hyperlink" Target="https://www.jivi.com.ar/ficha.php?id=1864" TargetMode="External"/><Relationship Id="rId549" Type="http://schemas.openxmlformats.org/officeDocument/2006/relationships/hyperlink" Target="https://www.jivi.com.ar/ficha.php?id=248" TargetMode="External"/><Relationship Id="rId50" Type="http://schemas.openxmlformats.org/officeDocument/2006/relationships/hyperlink" Target="https://www.jivi.com.ar/ficha.php?id=409" TargetMode="External"/><Relationship Id="rId104" Type="http://schemas.openxmlformats.org/officeDocument/2006/relationships/hyperlink" Target="https://www.jivi.com.ar/ficha.php?id=568" TargetMode="External"/><Relationship Id="rId146" Type="http://schemas.openxmlformats.org/officeDocument/2006/relationships/hyperlink" Target="https://www.jivi.com.ar/ficha.php?id=297" TargetMode="External"/><Relationship Id="rId188" Type="http://schemas.openxmlformats.org/officeDocument/2006/relationships/hyperlink" Target="https://www.jivi.com.ar/ficha.php?id=1253" TargetMode="External"/><Relationship Id="rId311" Type="http://schemas.openxmlformats.org/officeDocument/2006/relationships/hyperlink" Target="https://www.jivi.com.ar/ficha.php?id=1517" TargetMode="External"/><Relationship Id="rId353" Type="http://schemas.openxmlformats.org/officeDocument/2006/relationships/hyperlink" Target="https://www.jivi.com.ar/ficha.php?id=1571" TargetMode="External"/><Relationship Id="rId395" Type="http://schemas.openxmlformats.org/officeDocument/2006/relationships/hyperlink" Target="https://www.jivi.com.ar/ficha.php?id=1617" TargetMode="External"/><Relationship Id="rId409" Type="http://schemas.openxmlformats.org/officeDocument/2006/relationships/hyperlink" Target="https://www.jivi.com.ar/ficha.php?id=1657" TargetMode="External"/><Relationship Id="rId560" Type="http://schemas.openxmlformats.org/officeDocument/2006/relationships/hyperlink" Target="https://www.jivi.com.ar/ficha.php?id=2051" TargetMode="External"/><Relationship Id="rId92" Type="http://schemas.openxmlformats.org/officeDocument/2006/relationships/hyperlink" Target="https://www.jivi.com.ar/ficha.php?id=431" TargetMode="External"/><Relationship Id="rId213" Type="http://schemas.openxmlformats.org/officeDocument/2006/relationships/hyperlink" Target="https://www.jivi.com.ar/ficha.php?id=1366" TargetMode="External"/><Relationship Id="rId420" Type="http://schemas.openxmlformats.org/officeDocument/2006/relationships/hyperlink" Target="https://www.jivi.com.ar/ficha.php?id=1438" TargetMode="External"/><Relationship Id="rId616" Type="http://schemas.openxmlformats.org/officeDocument/2006/relationships/hyperlink" Target="https://www.jivi.com.ar/ficha.php?id=2209" TargetMode="External"/><Relationship Id="rId658" Type="http://schemas.openxmlformats.org/officeDocument/2006/relationships/hyperlink" Target="https://www.jivi.com.ar/ficha.php?id=2297" TargetMode="External"/><Relationship Id="rId255" Type="http://schemas.openxmlformats.org/officeDocument/2006/relationships/hyperlink" Target="https://www.jivi.com.ar/ficha.php?id=1425" TargetMode="External"/><Relationship Id="rId297" Type="http://schemas.openxmlformats.org/officeDocument/2006/relationships/hyperlink" Target="https://www.jivi.com.ar/ficha.php?id=1497" TargetMode="External"/><Relationship Id="rId462" Type="http://schemas.openxmlformats.org/officeDocument/2006/relationships/hyperlink" Target="https://www.jivi.com.ar/ficha.php?id=1304" TargetMode="External"/><Relationship Id="rId518" Type="http://schemas.openxmlformats.org/officeDocument/2006/relationships/hyperlink" Target="https://www.jivi.com.ar/ficha.php?id=1138" TargetMode="External"/><Relationship Id="rId115" Type="http://schemas.openxmlformats.org/officeDocument/2006/relationships/hyperlink" Target="https://www.jivi.com.ar/ficha.php?id=840" TargetMode="External"/><Relationship Id="rId157" Type="http://schemas.openxmlformats.org/officeDocument/2006/relationships/hyperlink" Target="https://www.jivi.com.ar/ficha.php?id=1158" TargetMode="External"/><Relationship Id="rId322" Type="http://schemas.openxmlformats.org/officeDocument/2006/relationships/hyperlink" Target="https://www.jivi.com.ar/ficha.php?id=1542" TargetMode="External"/><Relationship Id="rId364" Type="http://schemas.openxmlformats.org/officeDocument/2006/relationships/hyperlink" Target="https://www.jivi.com.ar/ficha.php?id=1580" TargetMode="External"/><Relationship Id="rId61" Type="http://schemas.openxmlformats.org/officeDocument/2006/relationships/hyperlink" Target="https://www.jivi.com.ar/ficha.php?id=55" TargetMode="External"/><Relationship Id="rId199" Type="http://schemas.openxmlformats.org/officeDocument/2006/relationships/hyperlink" Target="https://www.jivi.com.ar/ficha.php?id=1305" TargetMode="External"/><Relationship Id="rId571" Type="http://schemas.openxmlformats.org/officeDocument/2006/relationships/hyperlink" Target="https://www.jivi.com.ar/ficha.php?id=2066" TargetMode="External"/><Relationship Id="rId627" Type="http://schemas.openxmlformats.org/officeDocument/2006/relationships/hyperlink" Target="https://www.jivi.com.ar/ficha.php?id=2262" TargetMode="External"/><Relationship Id="rId669" Type="http://schemas.openxmlformats.org/officeDocument/2006/relationships/hyperlink" Target="https://www.jivi.com.ar/ficha.php?id=2312" TargetMode="External"/><Relationship Id="rId19" Type="http://schemas.openxmlformats.org/officeDocument/2006/relationships/hyperlink" Target="https://www.jivi.com.ar/ficha.php?id=100" TargetMode="External"/><Relationship Id="rId224" Type="http://schemas.openxmlformats.org/officeDocument/2006/relationships/hyperlink" Target="https://www.jivi.com.ar/ficha.php?id=1389" TargetMode="External"/><Relationship Id="rId266" Type="http://schemas.openxmlformats.org/officeDocument/2006/relationships/hyperlink" Target="https://www.jivi.com.ar/ficha.php?id=1056" TargetMode="External"/><Relationship Id="rId431" Type="http://schemas.openxmlformats.org/officeDocument/2006/relationships/hyperlink" Target="https://www.jivi.com.ar/ficha.php?id=1457" TargetMode="External"/><Relationship Id="rId473" Type="http://schemas.openxmlformats.org/officeDocument/2006/relationships/hyperlink" Target="https://www.jivi.com.ar/ficha.php?id=1265" TargetMode="External"/><Relationship Id="rId529" Type="http://schemas.openxmlformats.org/officeDocument/2006/relationships/hyperlink" Target="https://www.jivi.com.ar/ficha.php?id=2003" TargetMode="External"/><Relationship Id="rId680" Type="http://schemas.openxmlformats.org/officeDocument/2006/relationships/comments" Target="../comments1.xml"/><Relationship Id="rId30" Type="http://schemas.openxmlformats.org/officeDocument/2006/relationships/hyperlink" Target="https://www.jivi.com.ar/ficha.php?id=111" TargetMode="External"/><Relationship Id="rId126" Type="http://schemas.openxmlformats.org/officeDocument/2006/relationships/hyperlink" Target="https://www.jivi.com.ar/ficha.php?id=938" TargetMode="External"/><Relationship Id="rId168" Type="http://schemas.openxmlformats.org/officeDocument/2006/relationships/hyperlink" Target="https://www.jivi.com.ar/ficha.php?id=1185" TargetMode="External"/><Relationship Id="rId333" Type="http://schemas.openxmlformats.org/officeDocument/2006/relationships/hyperlink" Target="https://www.jivi.com.ar/ficha.php?id=1555" TargetMode="External"/><Relationship Id="rId540" Type="http://schemas.openxmlformats.org/officeDocument/2006/relationships/hyperlink" Target="https://www.jivi.com.ar/ficha.php?id=1339" TargetMode="External"/><Relationship Id="rId72" Type="http://schemas.openxmlformats.org/officeDocument/2006/relationships/hyperlink" Target="https://www.jivi.com.ar/ficha.php?id=18" TargetMode="External"/><Relationship Id="rId375" Type="http://schemas.openxmlformats.org/officeDocument/2006/relationships/hyperlink" Target="https://www.jivi.com.ar/ficha.php?id=1593" TargetMode="External"/><Relationship Id="rId582" Type="http://schemas.openxmlformats.org/officeDocument/2006/relationships/hyperlink" Target="https://www.jivi.com.ar/ficha.php?id=333" TargetMode="External"/><Relationship Id="rId638" Type="http://schemas.openxmlformats.org/officeDocument/2006/relationships/hyperlink" Target="https://www.jivi.com.ar/ficha.php?id=1656" TargetMode="External"/><Relationship Id="rId3" Type="http://schemas.openxmlformats.org/officeDocument/2006/relationships/hyperlink" Target="https://www.jivi.com.ar/ficha.php?id=723" TargetMode="External"/><Relationship Id="rId235" Type="http://schemas.openxmlformats.org/officeDocument/2006/relationships/hyperlink" Target="https://www.jivi.com.ar/ficha.php?id=1230" TargetMode="External"/><Relationship Id="rId277" Type="http://schemas.openxmlformats.org/officeDocument/2006/relationships/hyperlink" Target="https://www.jivi.com.ar/ficha.php?id=1464" TargetMode="External"/><Relationship Id="rId400" Type="http://schemas.openxmlformats.org/officeDocument/2006/relationships/hyperlink" Target="https://www.jivi.com.ar/ficha.php?id=1621" TargetMode="External"/><Relationship Id="rId442" Type="http://schemas.openxmlformats.org/officeDocument/2006/relationships/hyperlink" Target="https://www.jivi.com.ar/ficha.php?id=1731" TargetMode="External"/><Relationship Id="rId484" Type="http://schemas.openxmlformats.org/officeDocument/2006/relationships/hyperlink" Target="https://www.jivi.com.ar/ficha.php?id=1805" TargetMode="External"/><Relationship Id="rId137" Type="http://schemas.openxmlformats.org/officeDocument/2006/relationships/hyperlink" Target="https://www.jivi.com.ar/ficha.php?id=250" TargetMode="External"/><Relationship Id="rId302" Type="http://schemas.openxmlformats.org/officeDocument/2006/relationships/hyperlink" Target="https://www.jivi.com.ar/ficha.php?id=1504" TargetMode="External"/><Relationship Id="rId344" Type="http://schemas.openxmlformats.org/officeDocument/2006/relationships/hyperlink" Target="https://www.jivi.com.ar/ficha.php?id=1407" TargetMode="External"/><Relationship Id="rId41" Type="http://schemas.openxmlformats.org/officeDocument/2006/relationships/hyperlink" Target="https://www.jivi.com.ar/ficha.php?id=403" TargetMode="External"/><Relationship Id="rId83" Type="http://schemas.openxmlformats.org/officeDocument/2006/relationships/hyperlink" Target="https://www.jivi.com.ar/ficha.php?id=171" TargetMode="External"/><Relationship Id="rId179" Type="http://schemas.openxmlformats.org/officeDocument/2006/relationships/hyperlink" Target="https://www.jivi.com.ar/ficha.php?id=1224" TargetMode="External"/><Relationship Id="rId386" Type="http://schemas.openxmlformats.org/officeDocument/2006/relationships/hyperlink" Target="https://www.jivi.com.ar/ficha.php?id=1270" TargetMode="External"/><Relationship Id="rId551" Type="http://schemas.openxmlformats.org/officeDocument/2006/relationships/hyperlink" Target="https://www.jivi.com.ar/ficha.php?id=2043" TargetMode="External"/><Relationship Id="rId593" Type="http://schemas.openxmlformats.org/officeDocument/2006/relationships/hyperlink" Target="https://www.jivi.com.ar/ficha.php?id=1403" TargetMode="External"/><Relationship Id="rId607" Type="http://schemas.openxmlformats.org/officeDocument/2006/relationships/hyperlink" Target="https://www.jivi.com.ar/ficha.php?id=1778" TargetMode="External"/><Relationship Id="rId649" Type="http://schemas.openxmlformats.org/officeDocument/2006/relationships/hyperlink" Target="https://www.jivi.com.ar/ficha.php?id=2288" TargetMode="External"/><Relationship Id="rId190" Type="http://schemas.openxmlformats.org/officeDocument/2006/relationships/hyperlink" Target="https://www.jivi.com.ar/ficha.php?id=1261" TargetMode="External"/><Relationship Id="rId204" Type="http://schemas.openxmlformats.org/officeDocument/2006/relationships/hyperlink" Target="https://www.jivi.com.ar/ficha.php?id=1336" TargetMode="External"/><Relationship Id="rId246" Type="http://schemas.openxmlformats.org/officeDocument/2006/relationships/hyperlink" Target="https://www.jivi.com.ar/ficha.php?id=1084" TargetMode="External"/><Relationship Id="rId288" Type="http://schemas.openxmlformats.org/officeDocument/2006/relationships/hyperlink" Target="https://www.jivi.com.ar/ficha.php?id=1481" TargetMode="External"/><Relationship Id="rId411" Type="http://schemas.openxmlformats.org/officeDocument/2006/relationships/hyperlink" Target="https://www.jivi.com.ar/ficha.php?id=440" TargetMode="External"/><Relationship Id="rId453" Type="http://schemas.openxmlformats.org/officeDocument/2006/relationships/hyperlink" Target="https://www.jivi.com.ar/ficha.php?id=1747" TargetMode="External"/><Relationship Id="rId509" Type="http://schemas.openxmlformats.org/officeDocument/2006/relationships/hyperlink" Target="https://www.jivi.com.ar/ficha.php?id=1055" TargetMode="External"/><Relationship Id="rId660" Type="http://schemas.openxmlformats.org/officeDocument/2006/relationships/hyperlink" Target="https://www.jivi.com.ar/ficha.php?id=2299" TargetMode="External"/><Relationship Id="rId106" Type="http://schemas.openxmlformats.org/officeDocument/2006/relationships/hyperlink" Target="https://www.jivi.com.ar/ficha.php?id=534" TargetMode="External"/><Relationship Id="rId313" Type="http://schemas.openxmlformats.org/officeDocument/2006/relationships/hyperlink" Target="https://www.jivi.com.ar/ficha.php?id=1559" TargetMode="External"/><Relationship Id="rId495" Type="http://schemas.openxmlformats.org/officeDocument/2006/relationships/hyperlink" Target="https://www.jivi.com.ar/ficha.php?id=1825" TargetMode="External"/><Relationship Id="rId10" Type="http://schemas.openxmlformats.org/officeDocument/2006/relationships/hyperlink" Target="https://www.jivi.com.ar/ficha.php?id=649" TargetMode="External"/><Relationship Id="rId52" Type="http://schemas.openxmlformats.org/officeDocument/2006/relationships/hyperlink" Target="https://www.jivi.com.ar/ficha.php?id=119" TargetMode="External"/><Relationship Id="rId94" Type="http://schemas.openxmlformats.org/officeDocument/2006/relationships/hyperlink" Target="https://www.jivi.com.ar/ficha.php?id=48" TargetMode="External"/><Relationship Id="rId148" Type="http://schemas.openxmlformats.org/officeDocument/2006/relationships/hyperlink" Target="https://www.jivi.com.ar/ficha.php?id=1098" TargetMode="External"/><Relationship Id="rId355" Type="http://schemas.openxmlformats.org/officeDocument/2006/relationships/hyperlink" Target="https://www.jivi.com.ar/ficha.php?id=1572" TargetMode="External"/><Relationship Id="rId397" Type="http://schemas.openxmlformats.org/officeDocument/2006/relationships/hyperlink" Target="https://www.jivi.com.ar/ficha.php?id=1619" TargetMode="External"/><Relationship Id="rId520" Type="http://schemas.openxmlformats.org/officeDocument/2006/relationships/hyperlink" Target="https://www.jivi.com.ar/ficha.php?id=1916" TargetMode="External"/><Relationship Id="rId562" Type="http://schemas.openxmlformats.org/officeDocument/2006/relationships/hyperlink" Target="https://www.jivi.com.ar/ficha.php?id=2053" TargetMode="External"/><Relationship Id="rId618" Type="http://schemas.openxmlformats.org/officeDocument/2006/relationships/hyperlink" Target="https://www.jivi.com.ar/ficha.php?id=2211" TargetMode="External"/><Relationship Id="rId215" Type="http://schemas.openxmlformats.org/officeDocument/2006/relationships/hyperlink" Target="https://www.jivi.com.ar/ficha.php?id=864" TargetMode="External"/><Relationship Id="rId257" Type="http://schemas.openxmlformats.org/officeDocument/2006/relationships/hyperlink" Target="https://www.jivi.com.ar/ficha.php?id=1429" TargetMode="External"/><Relationship Id="rId422" Type="http://schemas.openxmlformats.org/officeDocument/2006/relationships/hyperlink" Target="https://www.jivi.com.ar/ficha.php?id=1697" TargetMode="External"/><Relationship Id="rId464" Type="http://schemas.openxmlformats.org/officeDocument/2006/relationships/hyperlink" Target="https://www.jivi.com.ar/ficha.php?id=1777" TargetMode="External"/><Relationship Id="rId299" Type="http://schemas.openxmlformats.org/officeDocument/2006/relationships/hyperlink" Target="https://www.jivi.com.ar/ficha.php?id=1499" TargetMode="External"/><Relationship Id="rId63" Type="http://schemas.openxmlformats.org/officeDocument/2006/relationships/hyperlink" Target="https://www.jivi.com.ar/ficha.php?id=284" TargetMode="External"/><Relationship Id="rId159" Type="http://schemas.openxmlformats.org/officeDocument/2006/relationships/hyperlink" Target="https://www.jivi.com.ar/ficha.php?id=1156" TargetMode="External"/><Relationship Id="rId366" Type="http://schemas.openxmlformats.org/officeDocument/2006/relationships/hyperlink" Target="https://www.jivi.com.ar/ficha.php?id=1583" TargetMode="External"/><Relationship Id="rId573" Type="http://schemas.openxmlformats.org/officeDocument/2006/relationships/hyperlink" Target="https://www.jivi.com.ar/ficha.php?id=2068" TargetMode="External"/><Relationship Id="rId226" Type="http://schemas.openxmlformats.org/officeDocument/2006/relationships/hyperlink" Target="https://www.jivi.com.ar/ficha.php?id=236" TargetMode="External"/><Relationship Id="rId433" Type="http://schemas.openxmlformats.org/officeDocument/2006/relationships/hyperlink" Target="https://www.jivi.com.ar/ficha.php?id=1707" TargetMode="External"/><Relationship Id="rId640" Type="http://schemas.openxmlformats.org/officeDocument/2006/relationships/hyperlink" Target="https://www.jivi.com.ar/ficha.php?id=2276" TargetMode="External"/><Relationship Id="rId74" Type="http://schemas.openxmlformats.org/officeDocument/2006/relationships/hyperlink" Target="https://www.jivi.com.ar/ficha.php?id=142" TargetMode="External"/><Relationship Id="rId377" Type="http://schemas.openxmlformats.org/officeDocument/2006/relationships/hyperlink" Target="https://www.jivi.com.ar/ficha.php?id=1596" TargetMode="External"/><Relationship Id="rId500" Type="http://schemas.openxmlformats.org/officeDocument/2006/relationships/hyperlink" Target="https://www.jivi.com.ar/ficha.php?id=1799" TargetMode="External"/><Relationship Id="rId584" Type="http://schemas.openxmlformats.org/officeDocument/2006/relationships/hyperlink" Target="https://www.jivi.com.ar/ficha.php?id=1786" TargetMode="External"/><Relationship Id="rId5" Type="http://schemas.openxmlformats.org/officeDocument/2006/relationships/hyperlink" Target="https://www.jivi.com.ar/ficha.php?id=727" TargetMode="External"/><Relationship Id="rId237" Type="http://schemas.openxmlformats.org/officeDocument/2006/relationships/hyperlink" Target="https://www.jivi.com.ar/ficha.php?id=1111" TargetMode="External"/><Relationship Id="rId444" Type="http://schemas.openxmlformats.org/officeDocument/2006/relationships/hyperlink" Target="https://www.jivi.com.ar/ficha.php?id=1734" TargetMode="External"/><Relationship Id="rId651" Type="http://schemas.openxmlformats.org/officeDocument/2006/relationships/hyperlink" Target="https://www.jivi.com.ar/ficha.php?id=2290" TargetMode="External"/><Relationship Id="rId290" Type="http://schemas.openxmlformats.org/officeDocument/2006/relationships/hyperlink" Target="https://www.jivi.com.ar/ficha.php?id=1486" TargetMode="External"/><Relationship Id="rId304" Type="http://schemas.openxmlformats.org/officeDocument/2006/relationships/hyperlink" Target="https://www.jivi.com.ar/ficha.php?id=1506" TargetMode="External"/><Relationship Id="rId388" Type="http://schemas.openxmlformats.org/officeDocument/2006/relationships/hyperlink" Target="https://www.jivi.com.ar/ficha.php?id=1608" TargetMode="External"/><Relationship Id="rId511" Type="http://schemas.openxmlformats.org/officeDocument/2006/relationships/hyperlink" Target="https://www.jivi.com.ar/ficha.php?id=1530" TargetMode="External"/><Relationship Id="rId609" Type="http://schemas.openxmlformats.org/officeDocument/2006/relationships/hyperlink" Target="https://www.jivi.com.ar/ficha.php?id=2222" TargetMode="External"/><Relationship Id="rId85" Type="http://schemas.openxmlformats.org/officeDocument/2006/relationships/hyperlink" Target="https://www.jivi.com.ar/ficha.php?id=169" TargetMode="External"/><Relationship Id="rId150" Type="http://schemas.openxmlformats.org/officeDocument/2006/relationships/hyperlink" Target="https://www.jivi.com.ar/ficha.php?id=1104" TargetMode="External"/><Relationship Id="rId595" Type="http://schemas.openxmlformats.org/officeDocument/2006/relationships/hyperlink" Target="https://www.jivi.com.ar/ficha.php?id=2170" TargetMode="External"/><Relationship Id="rId248" Type="http://schemas.openxmlformats.org/officeDocument/2006/relationships/hyperlink" Target="https://www.jivi.com.ar/ficha.php?id=1419" TargetMode="External"/><Relationship Id="rId455" Type="http://schemas.openxmlformats.org/officeDocument/2006/relationships/hyperlink" Target="https://www.jivi.com.ar/ficha.php?id=1749" TargetMode="External"/><Relationship Id="rId662" Type="http://schemas.openxmlformats.org/officeDocument/2006/relationships/hyperlink" Target="https://www.jivi.com.ar/ficha.php?id=2301" TargetMode="External"/><Relationship Id="rId12" Type="http://schemas.openxmlformats.org/officeDocument/2006/relationships/hyperlink" Target="https://www.jivi.com.ar/ficha.php?id=164" TargetMode="External"/><Relationship Id="rId108" Type="http://schemas.openxmlformats.org/officeDocument/2006/relationships/hyperlink" Target="https://www.jivi.com.ar/ficha.php?id=215" TargetMode="External"/><Relationship Id="rId315" Type="http://schemas.openxmlformats.org/officeDocument/2006/relationships/hyperlink" Target="https://www.jivi.com.ar/ficha.php?id=1532" TargetMode="External"/><Relationship Id="rId522" Type="http://schemas.openxmlformats.org/officeDocument/2006/relationships/hyperlink" Target="https://www.jivi.com.ar/ficha.php?id=1386" TargetMode="External"/><Relationship Id="rId96" Type="http://schemas.openxmlformats.org/officeDocument/2006/relationships/hyperlink" Target="https://www.jivi.com.ar/ficha.php?id=472" TargetMode="External"/><Relationship Id="rId161" Type="http://schemas.openxmlformats.org/officeDocument/2006/relationships/hyperlink" Target="https://www.jivi.com.ar/ficha.php?id=1172" TargetMode="External"/><Relationship Id="rId399" Type="http://schemas.openxmlformats.org/officeDocument/2006/relationships/hyperlink" Target="https://www.jivi.com.ar/ficha.php?id=1204" TargetMode="External"/><Relationship Id="rId259" Type="http://schemas.openxmlformats.org/officeDocument/2006/relationships/hyperlink" Target="https://www.jivi.com.ar/ficha.php?id=1436" TargetMode="External"/><Relationship Id="rId466" Type="http://schemas.openxmlformats.org/officeDocument/2006/relationships/hyperlink" Target="https://www.jivi.com.ar/ficha.php?id=1709" TargetMode="External"/><Relationship Id="rId673" Type="http://schemas.openxmlformats.org/officeDocument/2006/relationships/hyperlink" Target="https://jivi.com.ar/ficha.php?id=648" TargetMode="External"/><Relationship Id="rId23" Type="http://schemas.openxmlformats.org/officeDocument/2006/relationships/hyperlink" Target="https://www.jivi.com.ar/ficha.php?id=104" TargetMode="External"/><Relationship Id="rId119" Type="http://schemas.openxmlformats.org/officeDocument/2006/relationships/hyperlink" Target="https://www.jivi.com.ar/ficha.php?id=862" TargetMode="External"/><Relationship Id="rId326" Type="http://schemas.openxmlformats.org/officeDocument/2006/relationships/hyperlink" Target="https://www.jivi.com.ar/ficha.php?id=1548" TargetMode="External"/><Relationship Id="rId533" Type="http://schemas.openxmlformats.org/officeDocument/2006/relationships/hyperlink" Target="https://www.jivi.com.ar/ficha.php?id=1720" TargetMode="External"/><Relationship Id="rId172" Type="http://schemas.openxmlformats.org/officeDocument/2006/relationships/hyperlink" Target="https://www.jivi.com.ar/ficha.php?id=1209" TargetMode="External"/><Relationship Id="rId477" Type="http://schemas.openxmlformats.org/officeDocument/2006/relationships/hyperlink" Target="https://www.jivi.com.ar/ficha.php?id=1790" TargetMode="External"/><Relationship Id="rId600" Type="http://schemas.openxmlformats.org/officeDocument/2006/relationships/hyperlink" Target="https://www.jivi.com.ar/ficha.php?id=1279" TargetMode="External"/><Relationship Id="rId337" Type="http://schemas.openxmlformats.org/officeDocument/2006/relationships/hyperlink" Target="https://www.jivi.com.ar/ficha.php?id=1561" TargetMode="External"/><Relationship Id="rId34" Type="http://schemas.openxmlformats.org/officeDocument/2006/relationships/hyperlink" Target="https://www.jivi.com.ar/ficha.php?id=115" TargetMode="External"/><Relationship Id="rId544" Type="http://schemas.openxmlformats.org/officeDocument/2006/relationships/hyperlink" Target="https://www.jivi.com.ar/ficha.php?id=2034" TargetMode="External"/><Relationship Id="rId183" Type="http://schemas.openxmlformats.org/officeDocument/2006/relationships/hyperlink" Target="https://www.jivi.com.ar/ficha.php?id=1232" TargetMode="External"/><Relationship Id="rId390" Type="http://schemas.openxmlformats.org/officeDocument/2006/relationships/hyperlink" Target="https://www.jivi.com.ar/ficha.php?id=1274" TargetMode="External"/><Relationship Id="rId404" Type="http://schemas.openxmlformats.org/officeDocument/2006/relationships/hyperlink" Target="https://www.jivi.com.ar/ficha.php?id=1643" TargetMode="External"/><Relationship Id="rId611" Type="http://schemas.openxmlformats.org/officeDocument/2006/relationships/hyperlink" Target="https://www.jivi.com.ar/ficha.php?id=2220" TargetMode="External"/><Relationship Id="rId250" Type="http://schemas.openxmlformats.org/officeDocument/2006/relationships/hyperlink" Target="https://www.jivi.com.ar/ficha.php?id=1281" TargetMode="External"/><Relationship Id="rId488" Type="http://schemas.openxmlformats.org/officeDocument/2006/relationships/hyperlink" Target="https://www.jivi.com.ar/ficha.php?id=1597" TargetMode="External"/><Relationship Id="rId45" Type="http://schemas.openxmlformats.org/officeDocument/2006/relationships/hyperlink" Target="https://www.jivi.com.ar/ficha.php?id=404" TargetMode="External"/><Relationship Id="rId110" Type="http://schemas.openxmlformats.org/officeDocument/2006/relationships/hyperlink" Target="https://www.jivi.com.ar/ficha.php?id=780" TargetMode="External"/><Relationship Id="rId348" Type="http://schemas.openxmlformats.org/officeDocument/2006/relationships/hyperlink" Target="https://www.jivi.com.ar/ficha.php?id=1434" TargetMode="External"/><Relationship Id="rId555" Type="http://schemas.openxmlformats.org/officeDocument/2006/relationships/hyperlink" Target="https://www.jivi.com.ar/ficha.php?id=1256" TargetMode="External"/><Relationship Id="rId194" Type="http://schemas.openxmlformats.org/officeDocument/2006/relationships/hyperlink" Target="https://www.jivi.com.ar/ficha.php?id=991" TargetMode="External"/><Relationship Id="rId208" Type="http://schemas.openxmlformats.org/officeDocument/2006/relationships/hyperlink" Target="https://www.jivi.com.ar/ficha.php?id=1347" TargetMode="External"/><Relationship Id="rId415" Type="http://schemas.openxmlformats.org/officeDocument/2006/relationships/hyperlink" Target="https://www.jivi.com.ar/ficha.php?id=1272" TargetMode="External"/><Relationship Id="rId622" Type="http://schemas.openxmlformats.org/officeDocument/2006/relationships/hyperlink" Target="https://www.jivi.com.ar/ficha.php?id=2215" TargetMode="External"/><Relationship Id="rId261" Type="http://schemas.openxmlformats.org/officeDocument/2006/relationships/hyperlink" Target="https://www.jivi.com.ar/ficha.php?id=1702" TargetMode="External"/><Relationship Id="rId499" Type="http://schemas.openxmlformats.org/officeDocument/2006/relationships/hyperlink" Target="https://www.jivi.com.ar/ficha.php?id=1835" TargetMode="External"/><Relationship Id="rId56" Type="http://schemas.openxmlformats.org/officeDocument/2006/relationships/hyperlink" Target="https://www.jivi.com.ar/ficha.php?id=123" TargetMode="External"/><Relationship Id="rId359" Type="http://schemas.openxmlformats.org/officeDocument/2006/relationships/hyperlink" Target="https://www.jivi.com.ar/ficha.php?id=1296" TargetMode="External"/><Relationship Id="rId566" Type="http://schemas.openxmlformats.org/officeDocument/2006/relationships/hyperlink" Target="https://www.jivi.com.ar/ficha.php?id=2060" TargetMode="External"/><Relationship Id="rId121" Type="http://schemas.openxmlformats.org/officeDocument/2006/relationships/hyperlink" Target="https://www.jivi.com.ar/ficha.php?id=882" TargetMode="External"/><Relationship Id="rId219" Type="http://schemas.openxmlformats.org/officeDocument/2006/relationships/hyperlink" Target="https://www.jivi.com.ar/ficha.php?id=1383" TargetMode="External"/><Relationship Id="rId426" Type="http://schemas.openxmlformats.org/officeDocument/2006/relationships/hyperlink" Target="https://www.jivi.com.ar/ficha.php?id=1462" TargetMode="External"/><Relationship Id="rId633" Type="http://schemas.openxmlformats.org/officeDocument/2006/relationships/hyperlink" Target="https://www.jivi.com.ar/ficha.php?id=2272" TargetMode="External"/><Relationship Id="rId67" Type="http://schemas.openxmlformats.org/officeDocument/2006/relationships/hyperlink" Target="https://www.jivi.com.ar/ficha.php?id=719" TargetMode="External"/><Relationship Id="rId272" Type="http://schemas.openxmlformats.org/officeDocument/2006/relationships/hyperlink" Target="https://www.jivi.com.ar/ficha.php?id=1450" TargetMode="External"/><Relationship Id="rId577" Type="http://schemas.openxmlformats.org/officeDocument/2006/relationships/hyperlink" Target="https://www.jivi.com.ar/ficha.php?id=2083" TargetMode="External"/><Relationship Id="rId132" Type="http://schemas.openxmlformats.org/officeDocument/2006/relationships/hyperlink" Target="https://www.jivi.com.ar/ficha.php?id=957" TargetMode="External"/><Relationship Id="rId437" Type="http://schemas.openxmlformats.org/officeDocument/2006/relationships/hyperlink" Target="https://www.jivi.com.ar/ficha.php?id=1725" TargetMode="External"/><Relationship Id="rId644" Type="http://schemas.openxmlformats.org/officeDocument/2006/relationships/hyperlink" Target="https://www.jivi.com.ar/ficha.php?id=2279" TargetMode="External"/><Relationship Id="rId283" Type="http://schemas.openxmlformats.org/officeDocument/2006/relationships/hyperlink" Target="https://www.jivi.com.ar/ficha.php?id=996" TargetMode="External"/><Relationship Id="rId490" Type="http://schemas.openxmlformats.org/officeDocument/2006/relationships/hyperlink" Target="https://www.jivi.com.ar/ficha.php?id=1774" TargetMode="External"/><Relationship Id="rId504" Type="http://schemas.openxmlformats.org/officeDocument/2006/relationships/hyperlink" Target="https://www.jivi.com.ar/ficha.php?id=1847" TargetMode="External"/><Relationship Id="rId78" Type="http://schemas.openxmlformats.org/officeDocument/2006/relationships/hyperlink" Target="https://www.jivi.com.ar/ficha.php?id=136" TargetMode="External"/><Relationship Id="rId143" Type="http://schemas.openxmlformats.org/officeDocument/2006/relationships/hyperlink" Target="https://www.jivi.com.ar/ficha.php?id=364" TargetMode="External"/><Relationship Id="rId350" Type="http://schemas.openxmlformats.org/officeDocument/2006/relationships/hyperlink" Target="https://www.jivi.com.ar/ficha.php?id=1568" TargetMode="External"/><Relationship Id="rId588" Type="http://schemas.openxmlformats.org/officeDocument/2006/relationships/hyperlink" Target="https://www.jivi.com.ar/ficha.php?id=1513" TargetMode="External"/><Relationship Id="rId9" Type="http://schemas.openxmlformats.org/officeDocument/2006/relationships/hyperlink" Target="https://www.jivi.com.ar/ficha.php?id=42" TargetMode="External"/><Relationship Id="rId210" Type="http://schemas.openxmlformats.org/officeDocument/2006/relationships/hyperlink" Target="https://www.jivi.com.ar/ficha.php?id=1359" TargetMode="External"/><Relationship Id="rId448" Type="http://schemas.openxmlformats.org/officeDocument/2006/relationships/hyperlink" Target="https://www.jivi.com.ar/ficha.php?id=1575" TargetMode="External"/><Relationship Id="rId655" Type="http://schemas.openxmlformats.org/officeDocument/2006/relationships/hyperlink" Target="https://www.jivi.com.ar/ficha.php?id=2294" TargetMode="External"/><Relationship Id="rId294" Type="http://schemas.openxmlformats.org/officeDocument/2006/relationships/hyperlink" Target="https://www.jivi.com.ar/ficha.php?id=1494" TargetMode="External"/><Relationship Id="rId308" Type="http://schemas.openxmlformats.org/officeDocument/2006/relationships/hyperlink" Target="https://www.jivi.com.ar/ficha.php?id=1511" TargetMode="External"/><Relationship Id="rId515" Type="http://schemas.openxmlformats.org/officeDocument/2006/relationships/hyperlink" Target="https://www.jivi.com.ar/ficha.php?id=1371" TargetMode="External"/><Relationship Id="rId89" Type="http://schemas.openxmlformats.org/officeDocument/2006/relationships/hyperlink" Target="https://www.jivi.com.ar/ficha.php?id=622" TargetMode="External"/><Relationship Id="rId154" Type="http://schemas.openxmlformats.org/officeDocument/2006/relationships/hyperlink" Target="https://www.jivi.com.ar/ficha.php?id=1120" TargetMode="External"/><Relationship Id="rId361" Type="http://schemas.openxmlformats.org/officeDocument/2006/relationships/hyperlink" Target="https://www.jivi.com.ar/ficha.php?id=1249" TargetMode="External"/><Relationship Id="rId599" Type="http://schemas.openxmlformats.org/officeDocument/2006/relationships/hyperlink" Target="https://www.jivi.com.ar/ficha.php?id=2224" TargetMode="External"/><Relationship Id="rId459" Type="http://schemas.openxmlformats.org/officeDocument/2006/relationships/hyperlink" Target="https://www.jivi.com.ar/ficha.php?id=1461" TargetMode="External"/><Relationship Id="rId666" Type="http://schemas.openxmlformats.org/officeDocument/2006/relationships/hyperlink" Target="https://www.jivi.com.ar/ficha.php?id=2307" TargetMode="External"/><Relationship Id="rId16" Type="http://schemas.openxmlformats.org/officeDocument/2006/relationships/hyperlink" Target="https://www.jivi.com.ar/ficha.php?id=97" TargetMode="External"/><Relationship Id="rId221" Type="http://schemas.openxmlformats.org/officeDocument/2006/relationships/hyperlink" Target="https://www.jivi.com.ar/ficha.php?id=1428" TargetMode="External"/><Relationship Id="rId319" Type="http://schemas.openxmlformats.org/officeDocument/2006/relationships/hyperlink" Target="https://www.jivi.com.ar/ficha.php?id=1539" TargetMode="External"/><Relationship Id="rId526" Type="http://schemas.openxmlformats.org/officeDocument/2006/relationships/hyperlink" Target="https://www.jivi.com.ar/ficha.php?id=1601" TargetMode="External"/><Relationship Id="rId165" Type="http://schemas.openxmlformats.org/officeDocument/2006/relationships/hyperlink" Target="https://www.jivi.com.ar/ficha.php?id=915" TargetMode="External"/><Relationship Id="rId372" Type="http://schemas.openxmlformats.org/officeDocument/2006/relationships/hyperlink" Target="https://www.jivi.com.ar/ficha.php?id=1590" TargetMode="External"/><Relationship Id="rId677" Type="http://schemas.openxmlformats.org/officeDocument/2006/relationships/printerSettings" Target="../printerSettings/printerSettings1.bin"/><Relationship Id="rId232" Type="http://schemas.openxmlformats.org/officeDocument/2006/relationships/hyperlink" Target="https://www.jivi.com.ar/ficha.php?id=1400" TargetMode="External"/><Relationship Id="rId27" Type="http://schemas.openxmlformats.org/officeDocument/2006/relationships/hyperlink" Target="https://www.jivi.com.ar/ficha.php?id=108" TargetMode="External"/><Relationship Id="rId537" Type="http://schemas.openxmlformats.org/officeDocument/2006/relationships/hyperlink" Target="https://www.jivi.com.ar/ficha.php?id=2014" TargetMode="External"/><Relationship Id="rId80" Type="http://schemas.openxmlformats.org/officeDocument/2006/relationships/hyperlink" Target="https://www.jivi.com.ar/ficha.php?id=138" TargetMode="External"/><Relationship Id="rId176" Type="http://schemas.openxmlformats.org/officeDocument/2006/relationships/hyperlink" Target="https://www.jivi.com.ar/ficha.php?id=1222" TargetMode="External"/><Relationship Id="rId383" Type="http://schemas.openxmlformats.org/officeDocument/2006/relationships/hyperlink" Target="https://www.jivi.com.ar/ficha.php?id=1604" TargetMode="External"/><Relationship Id="rId590" Type="http://schemas.openxmlformats.org/officeDocument/2006/relationships/hyperlink" Target="https://www.jivi.com.ar/ficha.php?id=2142" TargetMode="External"/><Relationship Id="rId604" Type="http://schemas.openxmlformats.org/officeDocument/2006/relationships/hyperlink" Target="https://www.jivi.com.ar/ficha.php?id=1435" TargetMode="External"/><Relationship Id="rId243" Type="http://schemas.openxmlformats.org/officeDocument/2006/relationships/hyperlink" Target="https://www.jivi.com.ar/ficha.php?id=1413" TargetMode="External"/><Relationship Id="rId450" Type="http://schemas.openxmlformats.org/officeDocument/2006/relationships/hyperlink" Target="https://www.jivi.com.ar/ficha.php?id=17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1:AM1639"/>
  <sheetViews>
    <sheetView tabSelected="1" zoomScaleNormal="100" zoomScaleSheetLayoutView="100" workbookViewId="0">
      <pane ySplit="2" topLeftCell="A3" activePane="bottomLeft" state="frozen"/>
      <selection pane="bottomLeft" activeCell="A2" sqref="A2"/>
    </sheetView>
  </sheetViews>
  <sheetFormatPr baseColWidth="10" defaultColWidth="9.140625" defaultRowHeight="12.75" x14ac:dyDescent="0.2"/>
  <cols>
    <col min="1" max="1" width="5.140625" style="9" customWidth="1"/>
    <col min="2" max="2" width="14" customWidth="1"/>
    <col min="3" max="3" width="11.42578125" customWidth="1"/>
    <col min="4" max="4" width="5.7109375" customWidth="1"/>
    <col min="5" max="5" width="12.42578125" customWidth="1"/>
    <col min="6" max="6" width="0.28515625" style="2" customWidth="1"/>
    <col min="7" max="7" width="5.85546875" style="1" customWidth="1"/>
    <col min="8" max="8" width="0.28515625" customWidth="1"/>
    <col min="9" max="9" width="6" customWidth="1"/>
    <col min="10" max="10" width="0.28515625" customWidth="1"/>
    <col min="11" max="11" width="6" customWidth="1"/>
    <col min="12" max="12" width="0.28515625" customWidth="1"/>
    <col min="13" max="13" width="6" customWidth="1"/>
    <col min="14" max="14" width="0.28515625" customWidth="1"/>
    <col min="15" max="15" width="6" customWidth="1"/>
    <col min="16" max="16" width="0.28515625" customWidth="1"/>
    <col min="17" max="17" width="5.7109375" customWidth="1"/>
    <col min="18" max="18" width="0.28515625" customWidth="1"/>
    <col min="19" max="19" width="5.7109375" customWidth="1"/>
    <col min="20" max="20" width="0.28515625" customWidth="1"/>
    <col min="21" max="21" width="5.7109375" customWidth="1"/>
    <col min="22" max="22" width="0.28515625" style="5" customWidth="1"/>
    <col min="23" max="23" width="5.7109375" style="5" customWidth="1"/>
    <col min="24" max="24" width="11.7109375" style="3" customWidth="1"/>
    <col min="25" max="25" width="7.42578125" style="3" customWidth="1"/>
    <col min="26" max="26" width="5.7109375" style="3" customWidth="1"/>
    <col min="27" max="27" width="6.85546875" style="3" customWidth="1"/>
    <col min="28" max="28" width="8.7109375" style="3" customWidth="1"/>
    <col min="29" max="29" width="5.7109375" style="3" customWidth="1"/>
    <col min="30" max="30" width="3.140625" style="3" customWidth="1"/>
    <col min="31" max="31" width="4.42578125" style="3" customWidth="1"/>
    <col min="32" max="32" width="4.85546875" style="3" customWidth="1"/>
    <col min="33" max="34" width="4.28515625" style="3" customWidth="1"/>
    <col min="35" max="35" width="5.28515625" style="3" customWidth="1"/>
    <col min="36" max="36" width="10.85546875" style="3" customWidth="1"/>
    <col min="37" max="38" width="11.42578125" style="3" customWidth="1"/>
    <col min="39" max="256" width="11.42578125" customWidth="1"/>
  </cols>
  <sheetData>
    <row r="1" spans="1:39" ht="16.5" customHeight="1" x14ac:dyDescent="0.2">
      <c r="A1" s="17"/>
      <c r="B1" s="901" t="s">
        <v>0</v>
      </c>
      <c r="C1" s="902"/>
      <c r="D1" s="902"/>
      <c r="E1" s="902"/>
      <c r="F1" s="902"/>
      <c r="G1" s="902"/>
      <c r="H1" s="902"/>
      <c r="I1" s="902"/>
      <c r="J1" s="902"/>
      <c r="K1" s="902"/>
      <c r="L1" s="902"/>
      <c r="M1" s="902"/>
      <c r="N1" s="902"/>
      <c r="O1" s="902"/>
      <c r="P1" s="902"/>
      <c r="Q1" s="902"/>
      <c r="R1" s="902"/>
      <c r="S1" s="902"/>
      <c r="T1" s="902"/>
      <c r="U1" s="902"/>
      <c r="V1" s="902"/>
      <c r="W1" s="903"/>
      <c r="X1" s="417">
        <v>1</v>
      </c>
      <c r="Y1" s="894" t="s">
        <v>1</v>
      </c>
      <c r="Z1" s="895"/>
      <c r="AA1" s="895"/>
      <c r="AB1" s="895"/>
      <c r="AC1" s="895"/>
      <c r="AD1" s="896"/>
      <c r="AE1" s="891" t="s">
        <v>2</v>
      </c>
      <c r="AF1" s="892"/>
      <c r="AG1" s="892"/>
      <c r="AH1" s="892"/>
      <c r="AI1" s="893"/>
      <c r="AJ1" s="889" t="s">
        <v>3</v>
      </c>
      <c r="AK1" s="52"/>
      <c r="AL1" s="52"/>
      <c r="AM1" s="50"/>
    </row>
    <row r="2" spans="1:39" ht="14.25" customHeight="1" x14ac:dyDescent="0.2">
      <c r="A2" s="17"/>
      <c r="B2" s="950" t="s">
        <v>1024</v>
      </c>
      <c r="C2" s="951"/>
      <c r="D2" s="951"/>
      <c r="E2" s="951"/>
      <c r="F2" s="951"/>
      <c r="G2" s="951"/>
      <c r="H2" s="951"/>
      <c r="I2" s="951"/>
      <c r="J2" s="951"/>
      <c r="K2" s="951"/>
      <c r="L2" s="951"/>
      <c r="M2" s="951"/>
      <c r="N2" s="951"/>
      <c r="O2" s="951"/>
      <c r="P2" s="951"/>
      <c r="Q2" s="951"/>
      <c r="R2" s="951"/>
      <c r="S2" s="951"/>
      <c r="T2" s="951"/>
      <c r="U2" s="951"/>
      <c r="V2" s="952"/>
      <c r="W2" s="953"/>
      <c r="X2" s="418">
        <v>1330</v>
      </c>
      <c r="Y2" s="910" t="s">
        <v>4</v>
      </c>
      <c r="Z2" s="911"/>
      <c r="AA2" s="911"/>
      <c r="AB2" s="911"/>
      <c r="AC2" s="911"/>
      <c r="AD2" s="912"/>
      <c r="AE2" s="899" t="s">
        <v>5</v>
      </c>
      <c r="AF2" s="900"/>
      <c r="AG2" s="900"/>
      <c r="AH2" s="419"/>
      <c r="AI2" s="420"/>
      <c r="AJ2" s="890"/>
      <c r="AK2" s="160"/>
      <c r="AL2" s="160"/>
      <c r="AM2" s="50"/>
    </row>
    <row r="3" spans="1:39" ht="15.75" customHeight="1" x14ac:dyDescent="0.2">
      <c r="A3" s="17"/>
      <c r="B3" s="919"/>
      <c r="C3" s="920"/>
      <c r="D3" s="921"/>
      <c r="E3" s="943" t="s">
        <v>6</v>
      </c>
      <c r="F3" s="944"/>
      <c r="G3" s="944"/>
      <c r="H3" s="944"/>
      <c r="I3" s="944"/>
      <c r="J3" s="944"/>
      <c r="K3" s="944"/>
      <c r="L3" s="944"/>
      <c r="M3" s="944"/>
      <c r="N3" s="944"/>
      <c r="O3" s="944"/>
      <c r="P3" s="944"/>
      <c r="Q3" s="944"/>
      <c r="R3" s="944"/>
      <c r="S3" s="944"/>
      <c r="T3" s="944"/>
      <c r="U3" s="944"/>
      <c r="V3" s="945"/>
      <c r="W3" s="946"/>
      <c r="X3" s="904" t="s">
        <v>860</v>
      </c>
      <c r="Y3" s="905"/>
      <c r="Z3" s="905"/>
      <c r="AA3" s="905"/>
      <c r="AB3" s="905"/>
      <c r="AC3" s="905"/>
      <c r="AD3" s="906"/>
      <c r="AE3" s="897"/>
      <c r="AF3" s="898"/>
      <c r="AG3" s="898"/>
      <c r="AH3" s="898"/>
      <c r="AI3" s="898"/>
      <c r="AJ3" s="13"/>
      <c r="AK3" s="13"/>
      <c r="AL3" s="13"/>
      <c r="AM3" s="51"/>
    </row>
    <row r="4" spans="1:39" ht="21.75" customHeight="1" x14ac:dyDescent="0.2">
      <c r="A4" s="17"/>
      <c r="B4" s="922"/>
      <c r="C4" s="923"/>
      <c r="D4" s="924"/>
      <c r="E4" s="947" t="s">
        <v>7</v>
      </c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9"/>
      <c r="X4" s="907"/>
      <c r="Y4" s="908"/>
      <c r="Z4" s="908"/>
      <c r="AA4" s="908"/>
      <c r="AB4" s="908"/>
      <c r="AC4" s="908"/>
      <c r="AD4" s="909"/>
      <c r="AE4" s="898"/>
      <c r="AF4" s="898"/>
      <c r="AG4" s="898"/>
      <c r="AH4" s="898"/>
      <c r="AI4" s="898"/>
      <c r="AJ4" s="13"/>
      <c r="AK4" s="13"/>
      <c r="AL4" s="13"/>
      <c r="AM4" s="51"/>
    </row>
    <row r="5" spans="1:39" ht="23.25" customHeight="1" x14ac:dyDescent="0.2">
      <c r="A5" s="17"/>
      <c r="B5" s="925"/>
      <c r="C5" s="926"/>
      <c r="D5" s="927"/>
      <c r="E5" s="928" t="s">
        <v>8</v>
      </c>
      <c r="F5" s="929"/>
      <c r="G5" s="929"/>
      <c r="H5" s="929"/>
      <c r="I5" s="929"/>
      <c r="J5" s="929"/>
      <c r="K5" s="929"/>
      <c r="L5" s="929"/>
      <c r="M5" s="929"/>
      <c r="N5" s="929"/>
      <c r="O5" s="929"/>
      <c r="P5" s="929"/>
      <c r="Q5" s="929"/>
      <c r="R5" s="929"/>
      <c r="S5" s="929"/>
      <c r="T5" s="929"/>
      <c r="U5" s="929"/>
      <c r="V5" s="929"/>
      <c r="W5" s="930"/>
      <c r="X5" s="934"/>
      <c r="Y5" s="935"/>
      <c r="Z5" s="935"/>
      <c r="AA5" s="935"/>
      <c r="AB5" s="935"/>
      <c r="AC5" s="935"/>
      <c r="AD5" s="936"/>
      <c r="AE5" s="957"/>
      <c r="AF5" s="957"/>
      <c r="AG5" s="957"/>
      <c r="AH5" s="957"/>
      <c r="AI5" s="957"/>
      <c r="AJ5" s="13"/>
      <c r="AK5" s="13"/>
      <c r="AL5" s="13"/>
      <c r="AM5" s="51"/>
    </row>
    <row r="6" spans="1:39" ht="12" customHeight="1" x14ac:dyDescent="0.2">
      <c r="A6" s="17"/>
      <c r="B6" s="931" t="s">
        <v>9</v>
      </c>
      <c r="C6" s="932"/>
      <c r="D6" s="932"/>
      <c r="E6" s="932"/>
      <c r="F6" s="932"/>
      <c r="G6" s="932"/>
      <c r="H6" s="932"/>
      <c r="I6" s="932"/>
      <c r="J6" s="932"/>
      <c r="K6" s="932"/>
      <c r="L6" s="932"/>
      <c r="M6" s="932"/>
      <c r="N6" s="932"/>
      <c r="O6" s="932"/>
      <c r="P6" s="932"/>
      <c r="Q6" s="932"/>
      <c r="R6" s="932"/>
      <c r="S6" s="932"/>
      <c r="T6" s="932"/>
      <c r="U6" s="932"/>
      <c r="V6" s="932"/>
      <c r="W6" s="933"/>
      <c r="X6" s="937"/>
      <c r="Y6" s="938"/>
      <c r="Z6" s="938"/>
      <c r="AA6" s="938"/>
      <c r="AB6" s="938"/>
      <c r="AC6" s="938"/>
      <c r="AD6" s="939"/>
      <c r="AE6" s="957"/>
      <c r="AF6" s="957"/>
      <c r="AG6" s="957"/>
      <c r="AH6" s="957"/>
      <c r="AI6" s="957"/>
      <c r="AJ6" s="13"/>
      <c r="AK6" s="13"/>
      <c r="AL6" s="13"/>
      <c r="AM6" s="51"/>
    </row>
    <row r="7" spans="1:39" ht="13.5" customHeight="1" x14ac:dyDescent="0.2">
      <c r="A7" s="17"/>
      <c r="B7" s="954" t="s">
        <v>10</v>
      </c>
      <c r="C7" s="955"/>
      <c r="D7" s="955"/>
      <c r="E7" s="955"/>
      <c r="F7" s="955"/>
      <c r="G7" s="955"/>
      <c r="H7" s="955"/>
      <c r="I7" s="955"/>
      <c r="J7" s="955"/>
      <c r="K7" s="955"/>
      <c r="L7" s="955"/>
      <c r="M7" s="955"/>
      <c r="N7" s="955"/>
      <c r="O7" s="955"/>
      <c r="P7" s="955"/>
      <c r="Q7" s="955"/>
      <c r="R7" s="955"/>
      <c r="S7" s="955"/>
      <c r="T7" s="955"/>
      <c r="U7" s="955"/>
      <c r="V7" s="955"/>
      <c r="W7" s="956"/>
      <c r="X7" s="940"/>
      <c r="Y7" s="941"/>
      <c r="Z7" s="941"/>
      <c r="AA7" s="941"/>
      <c r="AB7" s="941"/>
      <c r="AC7" s="941"/>
      <c r="AD7" s="942"/>
      <c r="AE7" s="957"/>
      <c r="AF7" s="957"/>
      <c r="AG7" s="957"/>
      <c r="AH7" s="957"/>
      <c r="AI7" s="957"/>
    </row>
    <row r="8" spans="1:39" ht="14.25" customHeight="1" x14ac:dyDescent="0.2">
      <c r="A8" s="17"/>
      <c r="B8" s="796" t="s">
        <v>11</v>
      </c>
      <c r="C8" s="765" t="s">
        <v>12</v>
      </c>
      <c r="D8" s="766"/>
      <c r="E8" s="766"/>
      <c r="F8" s="649" t="s">
        <v>13</v>
      </c>
      <c r="G8" s="649" t="s">
        <v>13</v>
      </c>
      <c r="H8" s="651" t="s">
        <v>742</v>
      </c>
      <c r="I8" s="651"/>
      <c r="J8" s="652"/>
      <c r="K8" s="652"/>
      <c r="L8" s="652"/>
      <c r="M8" s="652"/>
      <c r="N8" s="652"/>
      <c r="O8" s="652"/>
      <c r="P8" s="652"/>
      <c r="Q8" s="652"/>
      <c r="R8" s="652"/>
      <c r="S8" s="652"/>
      <c r="T8" s="652"/>
      <c r="U8" s="652"/>
      <c r="V8" s="652"/>
      <c r="W8" s="652"/>
      <c r="X8" s="653" t="s">
        <v>14</v>
      </c>
      <c r="Y8" s="702"/>
      <c r="Z8" s="702"/>
      <c r="AA8" s="703"/>
      <c r="AB8" s="638" t="s">
        <v>15</v>
      </c>
      <c r="AC8" s="913" t="s">
        <v>16</v>
      </c>
      <c r="AD8" s="914"/>
      <c r="AE8" s="914"/>
      <c r="AF8" s="914"/>
      <c r="AG8" s="914"/>
      <c r="AH8" s="914"/>
      <c r="AI8" s="915"/>
    </row>
    <row r="9" spans="1:39" ht="11.25" customHeight="1" x14ac:dyDescent="0.2">
      <c r="A9" s="17"/>
      <c r="B9" s="796"/>
      <c r="C9" s="766"/>
      <c r="D9" s="766"/>
      <c r="E9" s="766"/>
      <c r="F9" s="650"/>
      <c r="G9" s="650"/>
      <c r="H9" s="415"/>
      <c r="I9" s="413" t="s">
        <v>267</v>
      </c>
      <c r="J9" s="415"/>
      <c r="K9" s="413" t="s">
        <v>17</v>
      </c>
      <c r="L9" s="416"/>
      <c r="M9" s="416" t="s">
        <v>18</v>
      </c>
      <c r="N9" s="416"/>
      <c r="O9" s="413" t="s">
        <v>19</v>
      </c>
      <c r="P9" s="416"/>
      <c r="Q9" s="416" t="s">
        <v>268</v>
      </c>
      <c r="R9" s="416"/>
      <c r="S9" s="416" t="s">
        <v>20</v>
      </c>
      <c r="T9" s="416"/>
      <c r="U9" s="416" t="s">
        <v>21</v>
      </c>
      <c r="V9" s="416"/>
      <c r="W9" s="416" t="s">
        <v>22</v>
      </c>
      <c r="X9" s="704"/>
      <c r="Y9" s="705"/>
      <c r="Z9" s="705"/>
      <c r="AA9" s="706"/>
      <c r="AB9" s="639"/>
      <c r="AC9" s="916"/>
      <c r="AD9" s="917"/>
      <c r="AE9" s="917"/>
      <c r="AF9" s="917"/>
      <c r="AG9" s="917"/>
      <c r="AH9" s="917"/>
      <c r="AI9" s="918"/>
    </row>
    <row r="10" spans="1:39" ht="12.6" customHeight="1" x14ac:dyDescent="0.2">
      <c r="A10" s="17"/>
      <c r="B10" s="958" t="s">
        <v>638</v>
      </c>
      <c r="C10" s="959"/>
      <c r="D10" s="959"/>
      <c r="E10" s="960"/>
      <c r="F10" s="283">
        <v>613</v>
      </c>
      <c r="G10" s="278">
        <f t="shared" ref="G10" si="0">+F10*$X$1</f>
        <v>613</v>
      </c>
      <c r="H10" s="500"/>
      <c r="I10" s="501"/>
      <c r="J10" s="83">
        <f>F10+120</f>
        <v>733</v>
      </c>
      <c r="K10" s="283"/>
      <c r="L10" s="92"/>
      <c r="M10" s="283"/>
      <c r="N10" s="574">
        <f>F10+110</f>
        <v>723</v>
      </c>
      <c r="O10" s="258">
        <f t="shared" ref="O10" si="1">+N10*$X$1</f>
        <v>723</v>
      </c>
      <c r="P10" s="574">
        <f>F10+100</f>
        <v>713</v>
      </c>
      <c r="Q10" s="258">
        <f t="shared" ref="Q10" si="2">+P10*$X$1</f>
        <v>713</v>
      </c>
      <c r="R10" s="574">
        <f>F10+80</f>
        <v>693</v>
      </c>
      <c r="S10" s="258">
        <f t="shared" ref="S10" si="3">+R10*$X$1</f>
        <v>693</v>
      </c>
      <c r="T10" s="574">
        <f>F10+65</f>
        <v>678</v>
      </c>
      <c r="U10" s="258">
        <f t="shared" ref="U10" si="4">+T10*$X$1</f>
        <v>678</v>
      </c>
      <c r="V10" s="574">
        <f>F10+56</f>
        <v>669</v>
      </c>
      <c r="W10" s="258">
        <f t="shared" ref="W10" si="5">+V10*$X$1</f>
        <v>669</v>
      </c>
      <c r="X10" s="119"/>
      <c r="Y10" s="119"/>
      <c r="Z10" s="119"/>
      <c r="AA10" s="119"/>
      <c r="AB10" s="354">
        <v>13</v>
      </c>
      <c r="AE10" s="58"/>
      <c r="AF10" s="882" t="s">
        <v>770</v>
      </c>
      <c r="AG10" s="882"/>
      <c r="AH10" s="882"/>
    </row>
    <row r="11" spans="1:39" ht="12.6" customHeight="1" x14ac:dyDescent="0.2">
      <c r="A11" s="17"/>
      <c r="B11" s="883" t="s">
        <v>752</v>
      </c>
      <c r="C11" s="679"/>
      <c r="D11" s="679"/>
      <c r="E11" s="680"/>
      <c r="F11" s="257">
        <v>1170</v>
      </c>
      <c r="G11" s="279">
        <f t="shared" ref="G11" si="6">+F11*$X$1</f>
        <v>1170</v>
      </c>
      <c r="H11" s="252"/>
      <c r="I11" s="305"/>
      <c r="J11" s="68">
        <f>F11+120</f>
        <v>1290</v>
      </c>
      <c r="K11" s="257"/>
      <c r="L11" s="559"/>
      <c r="M11" s="257"/>
      <c r="N11" s="559">
        <f>F11+110</f>
        <v>1280</v>
      </c>
      <c r="O11" s="257">
        <f t="shared" ref="O11:O12" si="7">+N11*$X$1</f>
        <v>1280</v>
      </c>
      <c r="P11" s="559">
        <f>F11+100</f>
        <v>1270</v>
      </c>
      <c r="Q11" s="257">
        <f t="shared" ref="Q11:Q13" si="8">+P11*$X$1</f>
        <v>1270</v>
      </c>
      <c r="R11" s="559">
        <f>F11+80</f>
        <v>1250</v>
      </c>
      <c r="S11" s="257">
        <f t="shared" ref="S11:S12" si="9">+R11*$X$1</f>
        <v>1250</v>
      </c>
      <c r="T11" s="559">
        <f>F11+65</f>
        <v>1235</v>
      </c>
      <c r="U11" s="257">
        <f t="shared" ref="U11:U12" si="10">+T11*$X$1</f>
        <v>1235</v>
      </c>
      <c r="V11" s="559">
        <f>F11+56</f>
        <v>1226</v>
      </c>
      <c r="W11" s="257">
        <f t="shared" ref="W11:W12" si="11">+V11*$X$1</f>
        <v>1226</v>
      </c>
      <c r="X11" s="119"/>
      <c r="Y11" s="119"/>
      <c r="Z11" s="119"/>
      <c r="AA11" s="119"/>
      <c r="AB11" s="354">
        <v>14</v>
      </c>
      <c r="AE11" s="58"/>
      <c r="AF11" s="882" t="s">
        <v>23</v>
      </c>
      <c r="AG11" s="882"/>
      <c r="AH11" s="882"/>
    </row>
    <row r="12" spans="1:39" ht="12.6" customHeight="1" x14ac:dyDescent="0.2">
      <c r="A12" s="17"/>
      <c r="B12" s="669" t="s">
        <v>637</v>
      </c>
      <c r="C12" s="668"/>
      <c r="D12" s="668"/>
      <c r="E12" s="668"/>
      <c r="F12" s="258">
        <v>1280</v>
      </c>
      <c r="G12" s="278">
        <f t="shared" ref="G12:G13" si="12">+F12*$X$1</f>
        <v>1280</v>
      </c>
      <c r="H12" s="251"/>
      <c r="I12" s="306"/>
      <c r="J12" s="82"/>
      <c r="K12" s="258"/>
      <c r="L12" s="574"/>
      <c r="M12" s="258"/>
      <c r="N12" s="574">
        <f>F12+110</f>
        <v>1390</v>
      </c>
      <c r="O12" s="258">
        <f t="shared" si="7"/>
        <v>1390</v>
      </c>
      <c r="P12" s="574">
        <f>F12+100</f>
        <v>1380</v>
      </c>
      <c r="Q12" s="258">
        <f t="shared" si="8"/>
        <v>1380</v>
      </c>
      <c r="R12" s="574">
        <f>F12+80</f>
        <v>1360</v>
      </c>
      <c r="S12" s="258">
        <f t="shared" si="9"/>
        <v>1360</v>
      </c>
      <c r="T12" s="574">
        <f>F12+65</f>
        <v>1345</v>
      </c>
      <c r="U12" s="258">
        <f t="shared" si="10"/>
        <v>1345</v>
      </c>
      <c r="V12" s="574">
        <f>F12+56</f>
        <v>1336</v>
      </c>
      <c r="W12" s="258">
        <f t="shared" si="11"/>
        <v>1336</v>
      </c>
      <c r="X12" s="119"/>
      <c r="Y12" s="119"/>
      <c r="Z12" s="119"/>
      <c r="AA12" s="119"/>
      <c r="AB12" s="354">
        <v>15</v>
      </c>
      <c r="AE12" s="58"/>
      <c r="AF12" s="882" t="s">
        <v>374</v>
      </c>
      <c r="AG12" s="882"/>
      <c r="AH12" s="882"/>
    </row>
    <row r="13" spans="1:39" ht="12.6" customHeight="1" x14ac:dyDescent="0.2">
      <c r="A13" s="17"/>
      <c r="B13" s="883" t="s">
        <v>376</v>
      </c>
      <c r="C13" s="679"/>
      <c r="D13" s="679"/>
      <c r="E13" s="680"/>
      <c r="F13" s="257">
        <v>510</v>
      </c>
      <c r="G13" s="279">
        <f t="shared" si="12"/>
        <v>510</v>
      </c>
      <c r="H13" s="252"/>
      <c r="I13" s="305"/>
      <c r="J13" s="559">
        <f>F13+200</f>
        <v>710</v>
      </c>
      <c r="K13" s="257">
        <f t="shared" ref="K13" si="13">+J13*$X$1</f>
        <v>710</v>
      </c>
      <c r="L13" s="559">
        <f>F13+150</f>
        <v>660</v>
      </c>
      <c r="M13" s="257">
        <f t="shared" ref="M13" si="14">+L13*$X$1</f>
        <v>660</v>
      </c>
      <c r="N13" s="559">
        <f>F13+100</f>
        <v>610</v>
      </c>
      <c r="O13" s="257">
        <f>+N13*$X$1</f>
        <v>610</v>
      </c>
      <c r="P13" s="559">
        <f>F13+90</f>
        <v>600</v>
      </c>
      <c r="Q13" s="257">
        <f t="shared" si="8"/>
        <v>600</v>
      </c>
      <c r="R13" s="559">
        <f>F13+70</f>
        <v>580</v>
      </c>
      <c r="S13" s="257">
        <f>+R13*$X$1</f>
        <v>580</v>
      </c>
      <c r="T13" s="559">
        <f>F13+56</f>
        <v>566</v>
      </c>
      <c r="U13" s="257">
        <f t="shared" ref="U13:U14" si="15">+T13*$X$1</f>
        <v>566</v>
      </c>
      <c r="V13" s="559"/>
      <c r="W13" s="257"/>
      <c r="X13" s="119"/>
      <c r="Y13" s="119"/>
      <c r="Z13" s="119"/>
      <c r="AA13" s="119"/>
      <c r="AB13" s="354">
        <v>17</v>
      </c>
      <c r="AE13" s="58"/>
      <c r="AF13" s="882" t="s">
        <v>337</v>
      </c>
      <c r="AG13" s="882"/>
      <c r="AH13" s="882"/>
      <c r="AI13" s="58"/>
    </row>
    <row r="14" spans="1:39" ht="12.6" customHeight="1" x14ac:dyDescent="0.2">
      <c r="A14" s="17"/>
      <c r="B14" s="735" t="s">
        <v>650</v>
      </c>
      <c r="C14" s="688"/>
      <c r="D14" s="688"/>
      <c r="E14" s="689"/>
      <c r="F14" s="336">
        <f>23.3*X2</f>
        <v>30989</v>
      </c>
      <c r="G14" s="278">
        <f>+F14*$X$1</f>
        <v>30989</v>
      </c>
      <c r="H14" s="436">
        <f>F14+600</f>
        <v>31589</v>
      </c>
      <c r="I14" s="258">
        <f t="shared" ref="I14" si="16">+H14*$X$1</f>
        <v>31589</v>
      </c>
      <c r="J14" s="574">
        <f>F14+250</f>
        <v>31239</v>
      </c>
      <c r="K14" s="258">
        <f t="shared" ref="K14" si="17">+J14*$X$1</f>
        <v>31239</v>
      </c>
      <c r="L14" s="574">
        <f>F14+210</f>
        <v>31199</v>
      </c>
      <c r="M14" s="258">
        <f t="shared" ref="M14" si="18">+L14*$X$1</f>
        <v>31199</v>
      </c>
      <c r="N14" s="574">
        <f>F14+180</f>
        <v>31169</v>
      </c>
      <c r="O14" s="258">
        <f t="shared" ref="O14" si="19">+N14*$X$1</f>
        <v>31169</v>
      </c>
      <c r="P14" s="574">
        <f>F14+140</f>
        <v>31129</v>
      </c>
      <c r="Q14" s="258">
        <f t="shared" ref="Q14" si="20">+P14*$X$1</f>
        <v>31129</v>
      </c>
      <c r="R14" s="574">
        <f>F14+110</f>
        <v>31099</v>
      </c>
      <c r="S14" s="258">
        <f t="shared" ref="S14" si="21">+R14*$X$1</f>
        <v>31099</v>
      </c>
      <c r="T14" s="574">
        <f>F14+90</f>
        <v>31079</v>
      </c>
      <c r="U14" s="258">
        <f t="shared" si="15"/>
        <v>31079</v>
      </c>
      <c r="V14" s="574"/>
      <c r="W14" s="258"/>
      <c r="X14" s="677"/>
      <c r="Y14" s="675"/>
      <c r="Z14" s="675"/>
      <c r="AA14" s="676"/>
      <c r="AB14" s="354">
        <v>18</v>
      </c>
      <c r="AE14" s="69"/>
      <c r="AF14" s="882" t="s">
        <v>338</v>
      </c>
      <c r="AG14" s="882"/>
      <c r="AH14" s="882"/>
      <c r="AI14" s="467"/>
    </row>
    <row r="15" spans="1:39" ht="12.6" customHeight="1" x14ac:dyDescent="0.2">
      <c r="A15" s="17"/>
      <c r="B15" s="681" t="s">
        <v>1004</v>
      </c>
      <c r="C15" s="662"/>
      <c r="D15" s="662"/>
      <c r="E15" s="663"/>
      <c r="F15" s="257">
        <v>6920</v>
      </c>
      <c r="G15" s="279">
        <f t="shared" ref="G15:G16" si="22">+F15*$X$1</f>
        <v>6920</v>
      </c>
      <c r="H15" s="435">
        <f>F15+600</f>
        <v>7520</v>
      </c>
      <c r="I15" s="257">
        <f t="shared" ref="I15" si="23">+H15*$X$1</f>
        <v>7520</v>
      </c>
      <c r="J15" s="559">
        <f>F15+250</f>
        <v>7170</v>
      </c>
      <c r="K15" s="257">
        <f t="shared" ref="K15" si="24">+J15*$X$1</f>
        <v>7170</v>
      </c>
      <c r="L15" s="559">
        <f>F15+210</f>
        <v>7130</v>
      </c>
      <c r="M15" s="257">
        <f t="shared" ref="M15" si="25">+L15*$X$1</f>
        <v>7130</v>
      </c>
      <c r="N15" s="559">
        <f>F15+180</f>
        <v>7100</v>
      </c>
      <c r="O15" s="257">
        <f t="shared" ref="O15" si="26">+N15*$X$1</f>
        <v>7100</v>
      </c>
      <c r="P15" s="559">
        <f>F15+140</f>
        <v>7060</v>
      </c>
      <c r="Q15" s="257">
        <f t="shared" ref="Q15" si="27">+P15*$X$1</f>
        <v>7060</v>
      </c>
      <c r="R15" s="559">
        <f>F15+110</f>
        <v>7030</v>
      </c>
      <c r="S15" s="257">
        <f t="shared" ref="S15" si="28">+R15*$X$1</f>
        <v>7030</v>
      </c>
      <c r="T15" s="559">
        <f>F15+90</f>
        <v>7010</v>
      </c>
      <c r="U15" s="257">
        <f t="shared" ref="U15" si="29">+T15*$X$1</f>
        <v>7010</v>
      </c>
      <c r="V15" s="559"/>
      <c r="W15" s="257"/>
      <c r="X15" s="677"/>
      <c r="Y15" s="675"/>
      <c r="Z15" s="675"/>
      <c r="AA15" s="676"/>
      <c r="AB15" s="354">
        <v>19</v>
      </c>
      <c r="AE15" s="69"/>
      <c r="AF15" s="645" t="s">
        <v>24</v>
      </c>
      <c r="AG15" s="645"/>
      <c r="AH15" s="645"/>
      <c r="AI15" s="645"/>
    </row>
    <row r="16" spans="1:39" ht="12.6" customHeight="1" x14ac:dyDescent="0.2">
      <c r="A16" s="17"/>
      <c r="B16" s="735" t="s">
        <v>1030</v>
      </c>
      <c r="C16" s="688"/>
      <c r="D16" s="688"/>
      <c r="E16" s="689"/>
      <c r="F16" s="258">
        <v>3240</v>
      </c>
      <c r="G16" s="278">
        <f t="shared" si="22"/>
        <v>3240</v>
      </c>
      <c r="H16" s="251"/>
      <c r="I16" s="306"/>
      <c r="J16" s="574"/>
      <c r="K16" s="258"/>
      <c r="L16" s="574"/>
      <c r="M16" s="258"/>
      <c r="N16" s="574"/>
      <c r="O16" s="258"/>
      <c r="P16" s="574"/>
      <c r="Q16" s="258"/>
      <c r="R16" s="574"/>
      <c r="S16" s="258"/>
      <c r="T16" s="574"/>
      <c r="U16" s="258"/>
      <c r="V16" s="574"/>
      <c r="W16" s="258"/>
      <c r="X16" s="119"/>
      <c r="Y16" s="119"/>
      <c r="Z16" s="119"/>
      <c r="AA16" s="119"/>
      <c r="AB16" s="354">
        <v>20</v>
      </c>
      <c r="AE16" s="58"/>
      <c r="AF16" s="645" t="s">
        <v>806</v>
      </c>
      <c r="AG16" s="645"/>
      <c r="AH16" s="645"/>
      <c r="AI16" s="645"/>
    </row>
    <row r="17" spans="1:37" ht="12.6" customHeight="1" x14ac:dyDescent="0.2">
      <c r="A17" s="17"/>
      <c r="B17" s="883" t="s">
        <v>853</v>
      </c>
      <c r="C17" s="679"/>
      <c r="D17" s="679"/>
      <c r="E17" s="680"/>
      <c r="F17" s="337">
        <f>11*X2</f>
        <v>14630</v>
      </c>
      <c r="G17" s="257">
        <f>+F17*$X$1</f>
        <v>14630</v>
      </c>
      <c r="H17" s="252"/>
      <c r="I17" s="305"/>
      <c r="J17" s="534"/>
      <c r="K17" s="257"/>
      <c r="L17" s="534">
        <f>F17+210</f>
        <v>14840</v>
      </c>
      <c r="M17" s="257">
        <f t="shared" ref="M17" si="30">+L17*$X$1</f>
        <v>14840</v>
      </c>
      <c r="N17" s="534">
        <f>F17+180</f>
        <v>14810</v>
      </c>
      <c r="O17" s="257">
        <f t="shared" ref="O17" si="31">+N17*$X$1</f>
        <v>14810</v>
      </c>
      <c r="P17" s="534">
        <f>F17+140</f>
        <v>14770</v>
      </c>
      <c r="Q17" s="257">
        <f t="shared" ref="Q17" si="32">+P17*$X$1</f>
        <v>14770</v>
      </c>
      <c r="R17" s="534">
        <f>F17+110</f>
        <v>14740</v>
      </c>
      <c r="S17" s="257">
        <f t="shared" ref="S17" si="33">+R17*$X$1</f>
        <v>14740</v>
      </c>
      <c r="T17" s="534">
        <f>F17+90</f>
        <v>14720</v>
      </c>
      <c r="U17" s="257">
        <f t="shared" ref="U17" si="34">+T17*$X$1</f>
        <v>14720</v>
      </c>
      <c r="V17" s="534"/>
      <c r="W17" s="257"/>
      <c r="X17" s="498"/>
      <c r="Y17" s="150"/>
      <c r="Z17" s="150"/>
      <c r="AA17" s="151"/>
      <c r="AB17" s="354">
        <v>22</v>
      </c>
      <c r="AE17" s="69"/>
      <c r="AF17" s="645" t="s">
        <v>688</v>
      </c>
      <c r="AG17" s="645"/>
      <c r="AH17" s="645"/>
      <c r="AI17" s="645"/>
      <c r="AJ17" s="645"/>
      <c r="AK17" s="62"/>
    </row>
    <row r="18" spans="1:37" ht="12.6" customHeight="1" x14ac:dyDescent="0.2">
      <c r="A18" s="88"/>
      <c r="B18" s="735" t="s">
        <v>25</v>
      </c>
      <c r="C18" s="688"/>
      <c r="D18" s="688"/>
      <c r="E18" s="689"/>
      <c r="F18" s="336">
        <f>4.1*X2</f>
        <v>5452.9999999999991</v>
      </c>
      <c r="G18" s="278">
        <f>+F18*$X$1</f>
        <v>5452.9999999999991</v>
      </c>
      <c r="H18" s="407">
        <f>F18+600</f>
        <v>6052.9999999999991</v>
      </c>
      <c r="I18" s="258">
        <f t="shared" ref="I18:I19" si="35">+H18*$X$1</f>
        <v>6052.9999999999991</v>
      </c>
      <c r="J18" s="406"/>
      <c r="K18" s="260"/>
      <c r="L18" s="406"/>
      <c r="M18" s="258"/>
      <c r="N18" s="406"/>
      <c r="O18" s="258"/>
      <c r="P18" s="92"/>
      <c r="Q18" s="886" t="s">
        <v>141</v>
      </c>
      <c r="R18" s="887"/>
      <c r="S18" s="887"/>
      <c r="T18" s="887"/>
      <c r="U18" s="887"/>
      <c r="V18" s="887"/>
      <c r="W18" s="888"/>
      <c r="X18" s="677"/>
      <c r="Y18" s="675"/>
      <c r="Z18" s="675"/>
      <c r="AA18" s="676"/>
      <c r="AB18" s="354">
        <v>24</v>
      </c>
      <c r="AE18" s="69"/>
      <c r="AF18" s="645" t="s">
        <v>905</v>
      </c>
      <c r="AG18" s="645"/>
      <c r="AH18" s="645"/>
      <c r="AI18" s="645"/>
      <c r="AJ18" s="645"/>
    </row>
    <row r="19" spans="1:37" ht="12.6" customHeight="1" x14ac:dyDescent="0.2">
      <c r="A19" s="115"/>
      <c r="B19" s="883" t="s">
        <v>506</v>
      </c>
      <c r="C19" s="884"/>
      <c r="D19" s="884"/>
      <c r="E19" s="885"/>
      <c r="F19" s="337">
        <f>4.1*X2</f>
        <v>5452.9999999999991</v>
      </c>
      <c r="G19" s="279">
        <f>+F19*$X$1</f>
        <v>5452.9999999999991</v>
      </c>
      <c r="H19" s="290">
        <f>F19+600</f>
        <v>6052.9999999999991</v>
      </c>
      <c r="I19" s="257">
        <f t="shared" si="35"/>
        <v>6052.9999999999991</v>
      </c>
      <c r="J19" s="534"/>
      <c r="K19" s="259"/>
      <c r="L19" s="102"/>
      <c r="M19" s="259"/>
      <c r="N19" s="102">
        <f>F19+40</f>
        <v>5492.9999999999991</v>
      </c>
      <c r="O19" s="257"/>
      <c r="P19" s="252"/>
      <c r="Q19" s="971" t="s">
        <v>141</v>
      </c>
      <c r="R19" s="972"/>
      <c r="S19" s="972"/>
      <c r="T19" s="972"/>
      <c r="U19" s="972"/>
      <c r="V19" s="972"/>
      <c r="W19" s="973"/>
      <c r="X19" s="221"/>
      <c r="Y19" s="177"/>
      <c r="Z19" s="177"/>
      <c r="AA19" s="176"/>
      <c r="AB19" s="354">
        <v>25</v>
      </c>
      <c r="AE19" s="69"/>
      <c r="AF19" s="645" t="s">
        <v>540</v>
      </c>
      <c r="AG19" s="645"/>
      <c r="AH19" s="645"/>
      <c r="AI19" s="645"/>
      <c r="AJ19" s="645"/>
    </row>
    <row r="20" spans="1:37" ht="12.6" customHeight="1" x14ac:dyDescent="0.2">
      <c r="A20" s="114"/>
      <c r="B20" s="735" t="s">
        <v>26</v>
      </c>
      <c r="C20" s="688"/>
      <c r="D20" s="688"/>
      <c r="E20" s="689"/>
      <c r="F20" s="258"/>
      <c r="G20" s="303"/>
      <c r="H20" s="251"/>
      <c r="I20" s="306"/>
      <c r="J20" s="406"/>
      <c r="K20" s="260"/>
      <c r="L20" s="406"/>
      <c r="M20" s="258"/>
      <c r="N20" s="406"/>
      <c r="O20" s="258"/>
      <c r="P20" s="92"/>
      <c r="Q20" s="258"/>
      <c r="R20" s="406"/>
      <c r="S20" s="258"/>
      <c r="T20" s="406"/>
      <c r="U20" s="258"/>
      <c r="V20" s="86"/>
      <c r="W20" s="258"/>
      <c r="X20" s="677"/>
      <c r="Y20" s="675"/>
      <c r="Z20" s="675"/>
      <c r="AA20" s="676"/>
      <c r="AB20" s="32"/>
      <c r="AF20" s="645" t="s">
        <v>348</v>
      </c>
      <c r="AG20" s="645"/>
      <c r="AH20" s="645"/>
      <c r="AI20" s="646"/>
      <c r="AJ20" s="646"/>
    </row>
    <row r="21" spans="1:37" ht="12.6" customHeight="1" x14ac:dyDescent="0.2">
      <c r="A21" s="17"/>
      <c r="B21" s="883" t="s">
        <v>27</v>
      </c>
      <c r="C21" s="679"/>
      <c r="D21" s="679"/>
      <c r="E21" s="680"/>
      <c r="F21" s="257">
        <v>4171</v>
      </c>
      <c r="G21" s="279">
        <f t="shared" ref="G21:G26" si="36">+F21*$X$1</f>
        <v>4171</v>
      </c>
      <c r="H21" s="435">
        <f>F21+600</f>
        <v>4771</v>
      </c>
      <c r="I21" s="257">
        <f t="shared" ref="I21:I22" si="37">+H21*$X$1</f>
        <v>4771</v>
      </c>
      <c r="J21" s="534">
        <f>F21+280</f>
        <v>4451</v>
      </c>
      <c r="K21" s="257">
        <f t="shared" ref="K21" si="38">+J21*$X$1</f>
        <v>4451</v>
      </c>
      <c r="L21" s="534">
        <f>F21+230</f>
        <v>4401</v>
      </c>
      <c r="M21" s="257">
        <f t="shared" ref="M21" si="39">+L21*$X$1</f>
        <v>4401</v>
      </c>
      <c r="N21" s="534">
        <f>F21+190</f>
        <v>4361</v>
      </c>
      <c r="O21" s="257">
        <f t="shared" ref="O21" si="40">+N21*$X$1</f>
        <v>4361</v>
      </c>
      <c r="P21" s="534">
        <f>F21+160</f>
        <v>4331</v>
      </c>
      <c r="Q21" s="257">
        <f t="shared" ref="Q21" si="41">+P21*$X$1</f>
        <v>4331</v>
      </c>
      <c r="R21" s="534">
        <f>F21+130</f>
        <v>4301</v>
      </c>
      <c r="S21" s="257">
        <f t="shared" ref="S21" si="42">+R21*$X$1</f>
        <v>4301</v>
      </c>
      <c r="T21" s="534">
        <f>F21+110</f>
        <v>4281</v>
      </c>
      <c r="U21" s="257">
        <f t="shared" ref="U21" si="43">+T21*$X$1</f>
        <v>4281</v>
      </c>
      <c r="V21" s="534">
        <f>F21+90</f>
        <v>4261</v>
      </c>
      <c r="W21" s="257">
        <f t="shared" ref="W21" si="44">+V21*$X$1</f>
        <v>4261</v>
      </c>
      <c r="X21" s="677"/>
      <c r="Y21" s="675"/>
      <c r="Z21" s="675"/>
      <c r="AA21" s="676"/>
      <c r="AB21" s="354" t="s">
        <v>28</v>
      </c>
      <c r="AE21" s="69"/>
      <c r="AF21" s="645" t="s">
        <v>349</v>
      </c>
      <c r="AG21" s="645"/>
      <c r="AH21" s="645"/>
      <c r="AI21" s="645"/>
      <c r="AJ21" s="70"/>
    </row>
    <row r="22" spans="1:37" ht="12.6" customHeight="1" x14ac:dyDescent="0.2">
      <c r="A22" s="17"/>
      <c r="B22" s="669" t="s">
        <v>29</v>
      </c>
      <c r="C22" s="668"/>
      <c r="D22" s="668"/>
      <c r="E22" s="668"/>
      <c r="F22" s="258">
        <v>4171</v>
      </c>
      <c r="G22" s="278">
        <f t="shared" ref="G22" si="45">+F22*$X$1</f>
        <v>4171</v>
      </c>
      <c r="H22" s="436">
        <f>F22+600</f>
        <v>4771</v>
      </c>
      <c r="I22" s="258">
        <f t="shared" si="37"/>
        <v>4771</v>
      </c>
      <c r="J22" s="406">
        <f>F22+280</f>
        <v>4451</v>
      </c>
      <c r="K22" s="258">
        <f t="shared" ref="K22" si="46">+J22*$X$1</f>
        <v>4451</v>
      </c>
      <c r="L22" s="406">
        <f>F22+230</f>
        <v>4401</v>
      </c>
      <c r="M22" s="258">
        <f t="shared" ref="M22" si="47">+L22*$X$1</f>
        <v>4401</v>
      </c>
      <c r="N22" s="406">
        <f>F22+190</f>
        <v>4361</v>
      </c>
      <c r="O22" s="258">
        <f t="shared" ref="O22" si="48">+N22*$X$1</f>
        <v>4361</v>
      </c>
      <c r="P22" s="406">
        <f>F22+160</f>
        <v>4331</v>
      </c>
      <c r="Q22" s="258">
        <f t="shared" ref="Q22" si="49">+P22*$X$1</f>
        <v>4331</v>
      </c>
      <c r="R22" s="406">
        <f>F22+130</f>
        <v>4301</v>
      </c>
      <c r="S22" s="258">
        <f t="shared" ref="S22" si="50">+R22*$X$1</f>
        <v>4301</v>
      </c>
      <c r="T22" s="406">
        <f>F22+110</f>
        <v>4281</v>
      </c>
      <c r="U22" s="258">
        <f t="shared" ref="U22" si="51">+T22*$X$1</f>
        <v>4281</v>
      </c>
      <c r="V22" s="406">
        <f>F22+90</f>
        <v>4261</v>
      </c>
      <c r="W22" s="258">
        <f t="shared" ref="W22" si="52">+V22*$X$1</f>
        <v>4261</v>
      </c>
      <c r="X22" s="677"/>
      <c r="Y22" s="675"/>
      <c r="Z22" s="675"/>
      <c r="AA22" s="676"/>
      <c r="AB22" s="354" t="s">
        <v>30</v>
      </c>
      <c r="AE22" s="69"/>
      <c r="AF22" s="645" t="s">
        <v>364</v>
      </c>
      <c r="AG22" s="645"/>
      <c r="AH22" s="645"/>
      <c r="AI22" s="645"/>
      <c r="AJ22" s="646"/>
    </row>
    <row r="23" spans="1:37" ht="12.6" customHeight="1" x14ac:dyDescent="0.2">
      <c r="A23" s="17"/>
      <c r="B23" s="724" t="s">
        <v>320</v>
      </c>
      <c r="C23" s="673"/>
      <c r="D23" s="673"/>
      <c r="E23" s="673"/>
      <c r="F23" s="257">
        <v>595</v>
      </c>
      <c r="G23" s="311">
        <f t="shared" si="36"/>
        <v>595</v>
      </c>
      <c r="H23" s="255"/>
      <c r="I23" s="318"/>
      <c r="J23" s="193"/>
      <c r="K23" s="259"/>
      <c r="L23" s="102"/>
      <c r="M23" s="259"/>
      <c r="N23" s="102"/>
      <c r="O23" s="257"/>
      <c r="P23" s="252"/>
      <c r="Q23" s="305"/>
      <c r="R23" s="534"/>
      <c r="S23" s="257"/>
      <c r="T23" s="534"/>
      <c r="U23" s="257"/>
      <c r="V23" s="534"/>
      <c r="W23" s="257"/>
      <c r="X23" s="119"/>
      <c r="Y23" s="119"/>
      <c r="Z23" s="119"/>
      <c r="AA23" s="119"/>
      <c r="AB23" s="354">
        <v>35</v>
      </c>
      <c r="AE23" s="69"/>
      <c r="AF23" s="645" t="s">
        <v>321</v>
      </c>
      <c r="AG23" s="646"/>
      <c r="AH23" s="646"/>
      <c r="AI23" s="646"/>
      <c r="AJ23" s="70"/>
    </row>
    <row r="24" spans="1:37" ht="12.6" customHeight="1" x14ac:dyDescent="0.2">
      <c r="A24" s="17"/>
      <c r="B24" s="669" t="s">
        <v>319</v>
      </c>
      <c r="C24" s="668"/>
      <c r="D24" s="668"/>
      <c r="E24" s="668"/>
      <c r="F24" s="258">
        <v>2200</v>
      </c>
      <c r="G24" s="303">
        <f t="shared" si="36"/>
        <v>2200</v>
      </c>
      <c r="H24" s="251"/>
      <c r="I24" s="306"/>
      <c r="J24" s="109"/>
      <c r="K24" s="258"/>
      <c r="L24" s="406"/>
      <c r="M24" s="258"/>
      <c r="N24" s="406"/>
      <c r="O24" s="258"/>
      <c r="P24" s="251"/>
      <c r="Q24" s="306"/>
      <c r="R24" s="406"/>
      <c r="S24" s="319"/>
      <c r="T24" s="92"/>
      <c r="U24" s="283"/>
      <c r="V24" s="92"/>
      <c r="W24" s="258"/>
      <c r="X24" s="119"/>
      <c r="Y24" s="119"/>
      <c r="Z24" s="119"/>
      <c r="AA24" s="119"/>
      <c r="AB24" s="354">
        <v>36</v>
      </c>
      <c r="AE24" s="69"/>
      <c r="AF24" s="645" t="s">
        <v>453</v>
      </c>
      <c r="AG24" s="645"/>
      <c r="AH24" s="645"/>
      <c r="AI24" s="645"/>
      <c r="AJ24" s="70"/>
    </row>
    <row r="25" spans="1:37" ht="12.6" customHeight="1" x14ac:dyDescent="0.2">
      <c r="A25" s="17"/>
      <c r="B25" s="970" t="s">
        <v>1032</v>
      </c>
      <c r="C25" s="686"/>
      <c r="D25" s="686"/>
      <c r="E25" s="686"/>
      <c r="F25" s="257">
        <v>1930</v>
      </c>
      <c r="G25" s="274">
        <f t="shared" si="36"/>
        <v>1930</v>
      </c>
      <c r="H25" s="255"/>
      <c r="I25" s="309"/>
      <c r="J25" s="559">
        <f>F25+200</f>
        <v>2130</v>
      </c>
      <c r="K25" s="257">
        <f t="shared" ref="K25" si="53">+J25*$X$1</f>
        <v>2130</v>
      </c>
      <c r="L25" s="559">
        <f>F25+150</f>
        <v>2080</v>
      </c>
      <c r="M25" s="257">
        <f t="shared" ref="M25" si="54">+L25*$X$1</f>
        <v>2080</v>
      </c>
      <c r="N25" s="559">
        <f>F25+100</f>
        <v>2030</v>
      </c>
      <c r="O25" s="257">
        <f>+N25*$X$1</f>
        <v>2030</v>
      </c>
      <c r="P25" s="559">
        <f>F25+90</f>
        <v>2020</v>
      </c>
      <c r="Q25" s="257">
        <f t="shared" ref="Q25" si="55">+P25*$X$1</f>
        <v>2020</v>
      </c>
      <c r="R25" s="559">
        <f>F25+70</f>
        <v>2000</v>
      </c>
      <c r="S25" s="257">
        <f>+R25*$X$1</f>
        <v>2000</v>
      </c>
      <c r="T25" s="559">
        <f>F25+56</f>
        <v>1986</v>
      </c>
      <c r="U25" s="257">
        <f t="shared" ref="U25" si="56">+T25*$X$1</f>
        <v>1986</v>
      </c>
      <c r="V25" s="559">
        <f>F25+49</f>
        <v>1979</v>
      </c>
      <c r="W25" s="257">
        <f t="shared" ref="W25" si="57">+V25*$X$1</f>
        <v>1979</v>
      </c>
      <c r="X25" s="119"/>
      <c r="Y25" s="119"/>
      <c r="Z25" s="119"/>
      <c r="AA25" s="119"/>
      <c r="AB25" s="354">
        <v>37</v>
      </c>
      <c r="AE25" s="69"/>
      <c r="AF25" s="645" t="s">
        <v>31</v>
      </c>
      <c r="AG25" s="645"/>
      <c r="AH25" s="645"/>
      <c r="AI25" s="645"/>
      <c r="AJ25" s="70"/>
    </row>
    <row r="26" spans="1:37" ht="12.6" customHeight="1" x14ac:dyDescent="0.2">
      <c r="A26" s="17"/>
      <c r="B26" s="735" t="s">
        <v>32</v>
      </c>
      <c r="C26" s="688"/>
      <c r="D26" s="688"/>
      <c r="E26" s="689"/>
      <c r="F26" s="334">
        <f>8.97*X2</f>
        <v>11930.1</v>
      </c>
      <c r="G26" s="258">
        <f t="shared" si="36"/>
        <v>11930.1</v>
      </c>
      <c r="H26" s="407"/>
      <c r="I26" s="258"/>
      <c r="J26" s="576"/>
      <c r="K26" s="258"/>
      <c r="L26" s="576">
        <f>F26+230</f>
        <v>12160.1</v>
      </c>
      <c r="M26" s="258">
        <f t="shared" ref="M26" si="58">+L26*$X$1</f>
        <v>12160.1</v>
      </c>
      <c r="N26" s="576">
        <f>F26+190</f>
        <v>12120.1</v>
      </c>
      <c r="O26" s="258">
        <f t="shared" ref="O26" si="59">+N26*$X$1</f>
        <v>12120.1</v>
      </c>
      <c r="P26" s="576">
        <f>F26+160</f>
        <v>12090.1</v>
      </c>
      <c r="Q26" s="258">
        <f t="shared" ref="Q26" si="60">+P26*$X$1</f>
        <v>12090.1</v>
      </c>
      <c r="R26" s="576">
        <f>F26+130</f>
        <v>12060.1</v>
      </c>
      <c r="S26" s="258">
        <f t="shared" ref="S26" si="61">+R26*$X$1</f>
        <v>12060.1</v>
      </c>
      <c r="T26" s="576">
        <f>F26+110</f>
        <v>12040.1</v>
      </c>
      <c r="U26" s="258">
        <f t="shared" ref="U26" si="62">+T26*$X$1</f>
        <v>12040.1</v>
      </c>
      <c r="V26" s="576"/>
      <c r="W26" s="258"/>
      <c r="X26" s="677"/>
      <c r="Y26" s="961"/>
      <c r="Z26" s="961"/>
      <c r="AA26" s="734"/>
      <c r="AB26" s="354">
        <v>39</v>
      </c>
      <c r="AE26" s="69"/>
      <c r="AF26" s="645" t="s">
        <v>689</v>
      </c>
      <c r="AG26" s="645"/>
      <c r="AH26" s="645"/>
      <c r="AI26" s="646"/>
      <c r="AJ26" s="646"/>
    </row>
    <row r="27" spans="1:37" ht="12.6" customHeight="1" x14ac:dyDescent="0.2">
      <c r="A27" s="17"/>
      <c r="B27" s="879" t="s">
        <v>33</v>
      </c>
      <c r="C27" s="880"/>
      <c r="D27" s="880"/>
      <c r="E27" s="881"/>
      <c r="F27" s="259"/>
      <c r="G27" s="257"/>
      <c r="H27" s="252"/>
      <c r="I27" s="305"/>
      <c r="J27" s="110"/>
      <c r="K27" s="257"/>
      <c r="L27" s="559"/>
      <c r="M27" s="257"/>
      <c r="N27" s="559"/>
      <c r="O27" s="257"/>
      <c r="P27" s="284"/>
      <c r="Q27" s="257"/>
      <c r="R27" s="559"/>
      <c r="S27" s="257"/>
      <c r="T27" s="559"/>
      <c r="U27" s="257"/>
      <c r="V27" s="559"/>
      <c r="W27" s="257"/>
      <c r="X27" s="118"/>
      <c r="Y27" s="119"/>
      <c r="Z27" s="119"/>
      <c r="AA27" s="119"/>
      <c r="AB27" s="354" t="s">
        <v>34</v>
      </c>
      <c r="AE27" s="69"/>
      <c r="AF27" s="645" t="s">
        <v>35</v>
      </c>
      <c r="AG27" s="645"/>
      <c r="AH27" s="645"/>
      <c r="AI27" s="645"/>
      <c r="AJ27" s="70"/>
    </row>
    <row r="28" spans="1:37" ht="12.6" customHeight="1" x14ac:dyDescent="0.2">
      <c r="A28" s="17"/>
      <c r="B28" s="669" t="s">
        <v>36</v>
      </c>
      <c r="C28" s="668"/>
      <c r="D28" s="668"/>
      <c r="E28" s="668"/>
      <c r="F28" s="334"/>
      <c r="G28" s="258"/>
      <c r="H28" s="251"/>
      <c r="I28" s="306"/>
      <c r="J28" s="576"/>
      <c r="K28" s="258"/>
      <c r="L28" s="576">
        <f>8.2*X2</f>
        <v>10905.999999999998</v>
      </c>
      <c r="M28" s="258">
        <f t="shared" ref="M28:M30" si="63">+L28*$X$1</f>
        <v>10905.999999999998</v>
      </c>
      <c r="N28" s="576">
        <f>8*X2</f>
        <v>10640</v>
      </c>
      <c r="O28" s="258">
        <f t="shared" ref="O28:O30" si="64">+N28*$X$1</f>
        <v>10640</v>
      </c>
      <c r="P28" s="253">
        <f>7.9*X2</f>
        <v>10507</v>
      </c>
      <c r="Q28" s="258">
        <f t="shared" ref="Q28:Q30" si="65">+P28*$X$1</f>
        <v>10507</v>
      </c>
      <c r="R28" s="576">
        <f>7.8*X2</f>
        <v>10374</v>
      </c>
      <c r="S28" s="258">
        <f t="shared" ref="S28:S30" si="66">+R28*$X$1</f>
        <v>10374</v>
      </c>
      <c r="T28" s="576">
        <f>7.7*X2</f>
        <v>10241</v>
      </c>
      <c r="U28" s="258">
        <f t="shared" ref="U28:U30" si="67">+T28*$X$1</f>
        <v>10241</v>
      </c>
      <c r="V28" s="576"/>
      <c r="W28" s="258"/>
      <c r="X28" s="825"/>
      <c r="Y28" s="961"/>
      <c r="Z28" s="961"/>
      <c r="AA28" s="734"/>
      <c r="AB28" s="354">
        <v>40</v>
      </c>
      <c r="AE28" s="69"/>
      <c r="AF28" s="645" t="s">
        <v>37</v>
      </c>
      <c r="AG28" s="645"/>
      <c r="AH28" s="645"/>
      <c r="AI28" s="645"/>
      <c r="AJ28" s="646"/>
    </row>
    <row r="29" spans="1:37" ht="12.6" customHeight="1" x14ac:dyDescent="0.2">
      <c r="A29" s="17"/>
      <c r="B29" s="883" t="s">
        <v>327</v>
      </c>
      <c r="C29" s="679"/>
      <c r="D29" s="679"/>
      <c r="E29" s="680"/>
      <c r="F29" s="337">
        <f>10.35*X2</f>
        <v>13765.5</v>
      </c>
      <c r="G29" s="257">
        <f>+F29*$X$1</f>
        <v>13765.5</v>
      </c>
      <c r="H29" s="252"/>
      <c r="I29" s="305"/>
      <c r="J29" s="559"/>
      <c r="K29" s="257"/>
      <c r="L29" s="559">
        <f>F29+210</f>
        <v>13975.5</v>
      </c>
      <c r="M29" s="257">
        <f t="shared" si="63"/>
        <v>13975.5</v>
      </c>
      <c r="N29" s="559">
        <f>F29+180</f>
        <v>13945.5</v>
      </c>
      <c r="O29" s="257">
        <f t="shared" si="64"/>
        <v>13945.5</v>
      </c>
      <c r="P29" s="559">
        <f>F29+140</f>
        <v>13905.5</v>
      </c>
      <c r="Q29" s="257">
        <f t="shared" si="65"/>
        <v>13905.5</v>
      </c>
      <c r="R29" s="559">
        <f>F29+110</f>
        <v>13875.5</v>
      </c>
      <c r="S29" s="257">
        <f t="shared" si="66"/>
        <v>13875.5</v>
      </c>
      <c r="T29" s="559">
        <f>F29+90</f>
        <v>13855.5</v>
      </c>
      <c r="U29" s="257">
        <f t="shared" si="67"/>
        <v>13855.5</v>
      </c>
      <c r="V29" s="559"/>
      <c r="W29" s="257"/>
      <c r="X29" s="196"/>
      <c r="Y29" s="150"/>
      <c r="Z29" s="150"/>
      <c r="AA29" s="151"/>
      <c r="AB29" s="354">
        <v>44</v>
      </c>
      <c r="AE29" s="69"/>
      <c r="AF29" s="645" t="s">
        <v>379</v>
      </c>
      <c r="AG29" s="645"/>
      <c r="AH29" s="645"/>
      <c r="AI29" s="646"/>
      <c r="AJ29" s="646"/>
      <c r="AK29" s="62"/>
    </row>
    <row r="30" spans="1:37" ht="12.6" customHeight="1" x14ac:dyDescent="0.2">
      <c r="A30" s="17"/>
      <c r="B30" s="836" t="s">
        <v>612</v>
      </c>
      <c r="C30" s="770"/>
      <c r="D30" s="770"/>
      <c r="E30" s="770"/>
      <c r="F30" s="334">
        <f>0.51*X2</f>
        <v>678.30000000000007</v>
      </c>
      <c r="G30" s="258">
        <f>+F30*$X$1</f>
        <v>678.30000000000007</v>
      </c>
      <c r="H30" s="251"/>
      <c r="I30" s="306"/>
      <c r="J30" s="82"/>
      <c r="K30" s="258"/>
      <c r="L30" s="576">
        <f>F30+150</f>
        <v>828.30000000000007</v>
      </c>
      <c r="M30" s="258">
        <f t="shared" si="63"/>
        <v>828.30000000000007</v>
      </c>
      <c r="N30" s="576">
        <f>F30+110</f>
        <v>788.30000000000007</v>
      </c>
      <c r="O30" s="258">
        <f t="shared" si="64"/>
        <v>788.30000000000007</v>
      </c>
      <c r="P30" s="576">
        <f>F30+100</f>
        <v>778.30000000000007</v>
      </c>
      <c r="Q30" s="258">
        <f t="shared" si="65"/>
        <v>778.30000000000007</v>
      </c>
      <c r="R30" s="576">
        <f>F30+80</f>
        <v>758.30000000000007</v>
      </c>
      <c r="S30" s="258">
        <f t="shared" si="66"/>
        <v>758.30000000000007</v>
      </c>
      <c r="T30" s="576">
        <f>F30+65</f>
        <v>743.30000000000007</v>
      </c>
      <c r="U30" s="258">
        <f t="shared" si="67"/>
        <v>743.30000000000007</v>
      </c>
      <c r="V30" s="576">
        <f>F30+56</f>
        <v>734.30000000000007</v>
      </c>
      <c r="W30" s="258">
        <f t="shared" ref="W30" si="68">+V30*$X$1</f>
        <v>734.30000000000007</v>
      </c>
      <c r="X30" s="119"/>
      <c r="Y30" s="119"/>
      <c r="Z30" s="119"/>
      <c r="AA30" s="119"/>
      <c r="AB30" s="354">
        <v>45</v>
      </c>
      <c r="AF30" s="645" t="s">
        <v>1020</v>
      </c>
      <c r="AG30" s="645"/>
      <c r="AH30" s="645"/>
      <c r="AI30" s="646"/>
      <c r="AJ30" s="646"/>
    </row>
    <row r="31" spans="1:37" ht="12.6" customHeight="1" x14ac:dyDescent="0.2">
      <c r="A31" s="17"/>
      <c r="B31" s="724" t="s">
        <v>38</v>
      </c>
      <c r="C31" s="673"/>
      <c r="D31" s="673"/>
      <c r="E31" s="673"/>
      <c r="F31" s="257">
        <v>690</v>
      </c>
      <c r="G31" s="279">
        <f t="shared" ref="G31:G39" si="69">+F31*$X$1</f>
        <v>690</v>
      </c>
      <c r="H31" s="833" t="s">
        <v>39</v>
      </c>
      <c r="I31" s="833"/>
      <c r="J31" s="834"/>
      <c r="K31" s="835"/>
      <c r="L31" s="252"/>
      <c r="M31" s="305"/>
      <c r="N31" s="79">
        <v>2040</v>
      </c>
      <c r="O31" s="279">
        <f t="shared" ref="O31:O42" si="70">+N31*$X$1</f>
        <v>2040</v>
      </c>
      <c r="P31" s="284">
        <v>1880</v>
      </c>
      <c r="Q31" s="566">
        <f t="shared" ref="Q31:S53" si="71">+P31*$X$1</f>
        <v>1880</v>
      </c>
      <c r="R31" s="93">
        <v>1736</v>
      </c>
      <c r="S31" s="235">
        <f t="shared" si="71"/>
        <v>1736</v>
      </c>
      <c r="T31" s="559">
        <v>1603</v>
      </c>
      <c r="U31" s="235">
        <f t="shared" ref="U31:U48" si="72">+T31*$X$1</f>
        <v>1603</v>
      </c>
      <c r="V31" s="559">
        <v>1548</v>
      </c>
      <c r="W31" s="257">
        <f t="shared" ref="W31:W48" si="73">+V31*$X$1</f>
        <v>1548</v>
      </c>
      <c r="X31" s="677"/>
      <c r="Y31" s="961"/>
      <c r="Z31" s="961"/>
      <c r="AA31" s="734"/>
      <c r="AB31" s="354" t="s">
        <v>40</v>
      </c>
      <c r="AE31" s="69"/>
    </row>
    <row r="32" spans="1:37" ht="12.6" customHeight="1" x14ac:dyDescent="0.2">
      <c r="A32" s="17"/>
      <c r="B32" s="669" t="s">
        <v>41</v>
      </c>
      <c r="C32" s="668"/>
      <c r="D32" s="668"/>
      <c r="E32" s="668"/>
      <c r="F32" s="258">
        <v>690</v>
      </c>
      <c r="G32" s="278">
        <f t="shared" si="69"/>
        <v>690</v>
      </c>
      <c r="H32" s="849" t="s">
        <v>39</v>
      </c>
      <c r="I32" s="849"/>
      <c r="J32" s="850"/>
      <c r="K32" s="857"/>
      <c r="L32" s="251"/>
      <c r="M32" s="306"/>
      <c r="N32" s="83">
        <v>2040</v>
      </c>
      <c r="O32" s="278">
        <f t="shared" ref="O32:O35" si="74">+N32*$X$1</f>
        <v>2040</v>
      </c>
      <c r="P32" s="253">
        <v>1880</v>
      </c>
      <c r="Q32" s="565">
        <f t="shared" ref="Q32:Q35" si="75">+P32*$X$1</f>
        <v>1880</v>
      </c>
      <c r="R32" s="92">
        <v>1736</v>
      </c>
      <c r="S32" s="272">
        <f t="shared" ref="S32:S35" si="76">+R32*$X$1</f>
        <v>1736</v>
      </c>
      <c r="T32" s="576">
        <v>1603</v>
      </c>
      <c r="U32" s="272">
        <f t="shared" ref="U32:U35" si="77">+T32*$X$1</f>
        <v>1603</v>
      </c>
      <c r="V32" s="576">
        <v>1548</v>
      </c>
      <c r="W32" s="258">
        <f t="shared" ref="W32:W35" si="78">+V32*$X$1</f>
        <v>1548</v>
      </c>
      <c r="X32" s="677"/>
      <c r="Y32" s="961"/>
      <c r="Z32" s="961"/>
      <c r="AA32" s="734"/>
      <c r="AB32" s="354" t="s">
        <v>42</v>
      </c>
    </row>
    <row r="33" spans="1:28" ht="12.6" customHeight="1" x14ac:dyDescent="0.2">
      <c r="A33" s="17"/>
      <c r="B33" s="724" t="s">
        <v>43</v>
      </c>
      <c r="C33" s="673"/>
      <c r="D33" s="673"/>
      <c r="E33" s="673"/>
      <c r="F33" s="257">
        <v>690</v>
      </c>
      <c r="G33" s="279">
        <f t="shared" si="69"/>
        <v>690</v>
      </c>
      <c r="H33" s="870" t="s">
        <v>39</v>
      </c>
      <c r="I33" s="870"/>
      <c r="J33" s="871"/>
      <c r="K33" s="872"/>
      <c r="L33" s="252"/>
      <c r="M33" s="305"/>
      <c r="N33" s="79">
        <v>2040</v>
      </c>
      <c r="O33" s="279">
        <f t="shared" si="74"/>
        <v>2040</v>
      </c>
      <c r="P33" s="284">
        <v>1880</v>
      </c>
      <c r="Q33" s="566">
        <f t="shared" si="75"/>
        <v>1880</v>
      </c>
      <c r="R33" s="93">
        <v>1736</v>
      </c>
      <c r="S33" s="235">
        <f t="shared" si="76"/>
        <v>1736</v>
      </c>
      <c r="T33" s="559">
        <v>1603</v>
      </c>
      <c r="U33" s="235">
        <f t="shared" si="77"/>
        <v>1603</v>
      </c>
      <c r="V33" s="559">
        <v>1548</v>
      </c>
      <c r="W33" s="257">
        <f t="shared" si="78"/>
        <v>1548</v>
      </c>
      <c r="X33" s="677"/>
      <c r="Y33" s="961"/>
      <c r="Z33" s="961"/>
      <c r="AA33" s="734"/>
      <c r="AB33" s="354" t="s">
        <v>44</v>
      </c>
    </row>
    <row r="34" spans="1:28" ht="12.6" customHeight="1" x14ac:dyDescent="0.2">
      <c r="A34" s="17"/>
      <c r="B34" s="669" t="s">
        <v>45</v>
      </c>
      <c r="C34" s="668"/>
      <c r="D34" s="668"/>
      <c r="E34" s="668"/>
      <c r="F34" s="258">
        <v>690</v>
      </c>
      <c r="G34" s="278">
        <f t="shared" si="69"/>
        <v>690</v>
      </c>
      <c r="H34" s="849" t="s">
        <v>39</v>
      </c>
      <c r="I34" s="849"/>
      <c r="J34" s="850"/>
      <c r="K34" s="857"/>
      <c r="L34" s="251"/>
      <c r="M34" s="306"/>
      <c r="N34" s="83">
        <v>2040</v>
      </c>
      <c r="O34" s="278">
        <f t="shared" si="74"/>
        <v>2040</v>
      </c>
      <c r="P34" s="253">
        <v>1880</v>
      </c>
      <c r="Q34" s="565">
        <f t="shared" si="75"/>
        <v>1880</v>
      </c>
      <c r="R34" s="92">
        <v>1736</v>
      </c>
      <c r="S34" s="272">
        <f t="shared" si="76"/>
        <v>1736</v>
      </c>
      <c r="T34" s="576">
        <v>1603</v>
      </c>
      <c r="U34" s="272">
        <f t="shared" si="77"/>
        <v>1603</v>
      </c>
      <c r="V34" s="576">
        <v>1548</v>
      </c>
      <c r="W34" s="258">
        <f t="shared" si="78"/>
        <v>1548</v>
      </c>
      <c r="X34" s="677"/>
      <c r="Y34" s="961"/>
      <c r="Z34" s="961"/>
      <c r="AA34" s="734"/>
      <c r="AB34" s="354" t="s">
        <v>46</v>
      </c>
    </row>
    <row r="35" spans="1:28" ht="12.6" customHeight="1" x14ac:dyDescent="0.2">
      <c r="A35" s="17"/>
      <c r="B35" s="724" t="s">
        <v>47</v>
      </c>
      <c r="C35" s="673"/>
      <c r="D35" s="673"/>
      <c r="E35" s="673"/>
      <c r="F35" s="257">
        <v>690</v>
      </c>
      <c r="G35" s="279">
        <f t="shared" si="69"/>
        <v>690</v>
      </c>
      <c r="H35" s="870" t="s">
        <v>39</v>
      </c>
      <c r="I35" s="870"/>
      <c r="J35" s="871"/>
      <c r="K35" s="872"/>
      <c r="L35" s="252"/>
      <c r="M35" s="305"/>
      <c r="N35" s="79">
        <v>2040</v>
      </c>
      <c r="O35" s="279">
        <f t="shared" si="74"/>
        <v>2040</v>
      </c>
      <c r="P35" s="284">
        <v>1880</v>
      </c>
      <c r="Q35" s="566">
        <f t="shared" si="75"/>
        <v>1880</v>
      </c>
      <c r="R35" s="93">
        <v>1736</v>
      </c>
      <c r="S35" s="235">
        <f t="shared" si="76"/>
        <v>1736</v>
      </c>
      <c r="T35" s="559">
        <v>1603</v>
      </c>
      <c r="U35" s="235">
        <f t="shared" si="77"/>
        <v>1603</v>
      </c>
      <c r="V35" s="559">
        <v>1548</v>
      </c>
      <c r="W35" s="257">
        <f t="shared" si="78"/>
        <v>1548</v>
      </c>
      <c r="X35" s="677"/>
      <c r="Y35" s="961"/>
      <c r="Z35" s="961"/>
      <c r="AA35" s="734"/>
      <c r="AB35" s="354" t="s">
        <v>48</v>
      </c>
    </row>
    <row r="36" spans="1:28" ht="12.6" customHeight="1" x14ac:dyDescent="0.25">
      <c r="A36" s="17"/>
      <c r="B36" s="669" t="s">
        <v>49</v>
      </c>
      <c r="C36" s="668"/>
      <c r="D36" s="668"/>
      <c r="E36" s="668"/>
      <c r="F36" s="258">
        <v>690</v>
      </c>
      <c r="G36" s="278">
        <f t="shared" si="69"/>
        <v>690</v>
      </c>
      <c r="H36" s="849" t="s">
        <v>39</v>
      </c>
      <c r="I36" s="849"/>
      <c r="J36" s="850"/>
      <c r="K36" s="857"/>
      <c r="L36" s="251"/>
      <c r="M36" s="306"/>
      <c r="N36" s="83">
        <v>1770</v>
      </c>
      <c r="O36" s="278">
        <f t="shared" si="70"/>
        <v>1770</v>
      </c>
      <c r="P36" s="253">
        <v>1623</v>
      </c>
      <c r="Q36" s="565">
        <f t="shared" si="71"/>
        <v>1623</v>
      </c>
      <c r="R36" s="576">
        <v>1488</v>
      </c>
      <c r="S36" s="272">
        <f t="shared" si="71"/>
        <v>1488</v>
      </c>
      <c r="T36" s="576">
        <v>1386</v>
      </c>
      <c r="U36" s="272">
        <f t="shared" si="72"/>
        <v>1386</v>
      </c>
      <c r="V36" s="576">
        <v>1317</v>
      </c>
      <c r="W36" s="258">
        <f t="shared" si="73"/>
        <v>1317</v>
      </c>
      <c r="X36" s="677"/>
      <c r="Y36" s="811"/>
      <c r="Z36" s="811"/>
      <c r="AA36" s="812"/>
      <c r="AB36" s="354" t="s">
        <v>413</v>
      </c>
    </row>
    <row r="37" spans="1:28" ht="12.6" customHeight="1" x14ac:dyDescent="0.2">
      <c r="A37" s="17"/>
      <c r="B37" s="724" t="s">
        <v>50</v>
      </c>
      <c r="C37" s="673"/>
      <c r="D37" s="673"/>
      <c r="E37" s="673"/>
      <c r="F37" s="257">
        <v>690</v>
      </c>
      <c r="G37" s="279">
        <f t="shared" si="69"/>
        <v>690</v>
      </c>
      <c r="H37" s="870" t="s">
        <v>39</v>
      </c>
      <c r="I37" s="870"/>
      <c r="J37" s="871"/>
      <c r="K37" s="872"/>
      <c r="L37" s="252"/>
      <c r="M37" s="305"/>
      <c r="N37" s="79">
        <v>1560</v>
      </c>
      <c r="O37" s="279">
        <f t="shared" ref="O37" si="79">+N37*$X$1</f>
        <v>1560</v>
      </c>
      <c r="P37" s="284">
        <v>1427</v>
      </c>
      <c r="Q37" s="566">
        <f t="shared" ref="Q37" si="80">+P37*$X$1</f>
        <v>1427</v>
      </c>
      <c r="R37" s="93">
        <v>1301</v>
      </c>
      <c r="S37" s="235">
        <f t="shared" ref="S37" si="81">+R37*$X$1</f>
        <v>1301</v>
      </c>
      <c r="T37" s="559">
        <v>1200</v>
      </c>
      <c r="U37" s="235">
        <f t="shared" ref="U37" si="82">+T37*$X$1</f>
        <v>1200</v>
      </c>
      <c r="V37" s="559">
        <v>1075</v>
      </c>
      <c r="W37" s="257">
        <f t="shared" ref="W37" si="83">+V37*$X$1</f>
        <v>1075</v>
      </c>
      <c r="X37" s="677"/>
      <c r="Y37" s="811"/>
      <c r="Z37" s="811"/>
      <c r="AA37" s="812"/>
      <c r="AB37" s="354" t="s">
        <v>411</v>
      </c>
    </row>
    <row r="38" spans="1:28" ht="12.6" customHeight="1" x14ac:dyDescent="0.25">
      <c r="A38" s="17"/>
      <c r="B38" s="669" t="s">
        <v>51</v>
      </c>
      <c r="C38" s="668"/>
      <c r="D38" s="668"/>
      <c r="E38" s="668"/>
      <c r="F38" s="258">
        <v>690</v>
      </c>
      <c r="G38" s="278">
        <f t="shared" si="69"/>
        <v>690</v>
      </c>
      <c r="H38" s="849" t="s">
        <v>39</v>
      </c>
      <c r="I38" s="849"/>
      <c r="J38" s="850"/>
      <c r="K38" s="857"/>
      <c r="L38" s="251"/>
      <c r="M38" s="306"/>
      <c r="N38" s="83">
        <v>1560</v>
      </c>
      <c r="O38" s="278">
        <f t="shared" ref="O38" si="84">+N38*$X$1</f>
        <v>1560</v>
      </c>
      <c r="P38" s="253">
        <v>1427</v>
      </c>
      <c r="Q38" s="565">
        <f t="shared" ref="Q38" si="85">+P38*$X$1</f>
        <v>1427</v>
      </c>
      <c r="R38" s="92">
        <v>1301</v>
      </c>
      <c r="S38" s="272">
        <f t="shared" ref="S38" si="86">+R38*$X$1</f>
        <v>1301</v>
      </c>
      <c r="T38" s="576">
        <v>1200</v>
      </c>
      <c r="U38" s="272">
        <f t="shared" ref="U38" si="87">+T38*$X$1</f>
        <v>1200</v>
      </c>
      <c r="V38" s="576">
        <v>1075</v>
      </c>
      <c r="W38" s="258">
        <f t="shared" ref="W38" si="88">+V38*$X$1</f>
        <v>1075</v>
      </c>
      <c r="X38" s="677"/>
      <c r="Y38" s="811"/>
      <c r="Z38" s="811"/>
      <c r="AA38" s="812"/>
      <c r="AB38" s="354" t="s">
        <v>414</v>
      </c>
    </row>
    <row r="39" spans="1:28" ht="12.6" customHeight="1" x14ac:dyDescent="0.25">
      <c r="A39" s="17"/>
      <c r="B39" s="724" t="s">
        <v>52</v>
      </c>
      <c r="C39" s="673"/>
      <c r="D39" s="673"/>
      <c r="E39" s="673"/>
      <c r="F39" s="257">
        <v>690</v>
      </c>
      <c r="G39" s="279">
        <f t="shared" si="69"/>
        <v>690</v>
      </c>
      <c r="H39" s="870" t="s">
        <v>39</v>
      </c>
      <c r="I39" s="870"/>
      <c r="J39" s="871"/>
      <c r="K39" s="872"/>
      <c r="L39" s="252"/>
      <c r="M39" s="305"/>
      <c r="N39" s="79">
        <v>2110</v>
      </c>
      <c r="O39" s="279">
        <f t="shared" si="70"/>
        <v>2110</v>
      </c>
      <c r="P39" s="284">
        <v>1950</v>
      </c>
      <c r="Q39" s="566">
        <f t="shared" si="71"/>
        <v>1950</v>
      </c>
      <c r="R39" s="559">
        <v>1795</v>
      </c>
      <c r="S39" s="235">
        <f t="shared" si="71"/>
        <v>1795</v>
      </c>
      <c r="T39" s="559">
        <v>1681</v>
      </c>
      <c r="U39" s="235">
        <f t="shared" si="72"/>
        <v>1681</v>
      </c>
      <c r="V39" s="559">
        <v>1608</v>
      </c>
      <c r="W39" s="257">
        <f t="shared" si="73"/>
        <v>1608</v>
      </c>
      <c r="X39" s="677"/>
      <c r="Y39" s="811"/>
      <c r="Z39" s="811"/>
      <c r="AA39" s="812"/>
      <c r="AB39" s="354" t="s">
        <v>412</v>
      </c>
    </row>
    <row r="40" spans="1:28" ht="12.6" customHeight="1" x14ac:dyDescent="0.2">
      <c r="A40" s="17"/>
      <c r="B40" s="669" t="s">
        <v>415</v>
      </c>
      <c r="C40" s="668"/>
      <c r="D40" s="668"/>
      <c r="E40" s="668"/>
      <c r="F40" s="258">
        <v>690</v>
      </c>
      <c r="G40" s="278">
        <f t="shared" ref="G40" si="89">+F40*$X$1</f>
        <v>690</v>
      </c>
      <c r="H40" s="849" t="s">
        <v>39</v>
      </c>
      <c r="I40" s="849"/>
      <c r="J40" s="850"/>
      <c r="K40" s="857"/>
      <c r="L40" s="251"/>
      <c r="M40" s="306"/>
      <c r="N40" s="83">
        <v>2080</v>
      </c>
      <c r="O40" s="278">
        <f t="shared" ref="O40:O41" si="90">+N40*$X$1</f>
        <v>2080</v>
      </c>
      <c r="P40" s="253">
        <v>1916</v>
      </c>
      <c r="Q40" s="565">
        <f t="shared" si="71"/>
        <v>1916</v>
      </c>
      <c r="R40" s="576">
        <v>1767</v>
      </c>
      <c r="S40" s="272">
        <f t="shared" si="71"/>
        <v>1767</v>
      </c>
      <c r="T40" s="576">
        <v>1671</v>
      </c>
      <c r="U40" s="272">
        <f t="shared" si="72"/>
        <v>1671</v>
      </c>
      <c r="V40" s="576">
        <v>1572</v>
      </c>
      <c r="W40" s="258">
        <f t="shared" si="73"/>
        <v>1572</v>
      </c>
      <c r="X40" s="677"/>
      <c r="Y40" s="811"/>
      <c r="Z40" s="811"/>
      <c r="AA40" s="812"/>
      <c r="AB40" s="354" t="s">
        <v>417</v>
      </c>
    </row>
    <row r="41" spans="1:28" ht="12.6" customHeight="1" x14ac:dyDescent="0.2">
      <c r="A41" s="17"/>
      <c r="B41" s="724" t="s">
        <v>416</v>
      </c>
      <c r="C41" s="673"/>
      <c r="D41" s="673"/>
      <c r="E41" s="673"/>
      <c r="F41" s="257">
        <v>690</v>
      </c>
      <c r="G41" s="279">
        <f t="shared" ref="G41" si="91">+F41*$X$1</f>
        <v>690</v>
      </c>
      <c r="H41" s="870" t="s">
        <v>39</v>
      </c>
      <c r="I41" s="870"/>
      <c r="J41" s="871"/>
      <c r="K41" s="872"/>
      <c r="L41" s="252"/>
      <c r="M41" s="305"/>
      <c r="N41" s="79">
        <v>1770</v>
      </c>
      <c r="O41" s="279">
        <f t="shared" si="90"/>
        <v>1770</v>
      </c>
      <c r="P41" s="284">
        <v>1623</v>
      </c>
      <c r="Q41" s="566">
        <f t="shared" ref="Q41" si="92">+P41*$X$1</f>
        <v>1623</v>
      </c>
      <c r="R41" s="559">
        <v>1488</v>
      </c>
      <c r="S41" s="235">
        <f t="shared" ref="S41" si="93">+R41*$X$1</f>
        <v>1488</v>
      </c>
      <c r="T41" s="559">
        <v>1386</v>
      </c>
      <c r="U41" s="235">
        <f t="shared" ref="U41" si="94">+T41*$X$1</f>
        <v>1386</v>
      </c>
      <c r="V41" s="559">
        <v>1317</v>
      </c>
      <c r="W41" s="257">
        <f t="shared" ref="W41" si="95">+V41*$X$1</f>
        <v>1317</v>
      </c>
      <c r="X41" s="677"/>
      <c r="Y41" s="811"/>
      <c r="Z41" s="811"/>
      <c r="AA41" s="812"/>
      <c r="AB41" s="354" t="s">
        <v>418</v>
      </c>
    </row>
    <row r="42" spans="1:28" ht="12.6" customHeight="1" x14ac:dyDescent="0.2">
      <c r="A42" s="17"/>
      <c r="B42" s="669" t="s">
        <v>53</v>
      </c>
      <c r="C42" s="668"/>
      <c r="D42" s="668"/>
      <c r="E42" s="668"/>
      <c r="F42" s="258">
        <v>1500</v>
      </c>
      <c r="G42" s="278">
        <f t="shared" ref="G42:G50" si="96">+F42*$X$1</f>
        <v>1500</v>
      </c>
      <c r="H42" s="876" t="s">
        <v>54</v>
      </c>
      <c r="I42" s="876"/>
      <c r="J42" s="877"/>
      <c r="K42" s="878"/>
      <c r="L42" s="251"/>
      <c r="M42" s="306"/>
      <c r="N42" s="83">
        <v>2640</v>
      </c>
      <c r="O42" s="278">
        <f t="shared" si="70"/>
        <v>2640</v>
      </c>
      <c r="P42" s="253">
        <v>2443</v>
      </c>
      <c r="Q42" s="565">
        <f t="shared" si="71"/>
        <v>2443</v>
      </c>
      <c r="R42" s="576">
        <v>2245</v>
      </c>
      <c r="S42" s="272">
        <f t="shared" si="71"/>
        <v>2245</v>
      </c>
      <c r="T42" s="576">
        <v>2092</v>
      </c>
      <c r="U42" s="272">
        <f t="shared" si="72"/>
        <v>2092</v>
      </c>
      <c r="V42" s="576">
        <v>2004</v>
      </c>
      <c r="W42" s="258">
        <f t="shared" si="73"/>
        <v>2004</v>
      </c>
      <c r="X42" s="677"/>
      <c r="Y42" s="811"/>
      <c r="Z42" s="811"/>
      <c r="AA42" s="812"/>
      <c r="AB42" s="355" t="s">
        <v>55</v>
      </c>
    </row>
    <row r="43" spans="1:28" ht="12.6" customHeight="1" x14ac:dyDescent="0.2">
      <c r="A43" s="17"/>
      <c r="B43" s="724" t="s">
        <v>56</v>
      </c>
      <c r="C43" s="673"/>
      <c r="D43" s="673"/>
      <c r="E43" s="673"/>
      <c r="F43" s="257">
        <v>1500</v>
      </c>
      <c r="G43" s="279">
        <f t="shared" si="96"/>
        <v>1500</v>
      </c>
      <c r="H43" s="962" t="s">
        <v>54</v>
      </c>
      <c r="I43" s="962"/>
      <c r="J43" s="963"/>
      <c r="K43" s="964"/>
      <c r="L43" s="252"/>
      <c r="M43" s="305"/>
      <c r="N43" s="79">
        <v>2640</v>
      </c>
      <c r="O43" s="279">
        <f t="shared" ref="O43:O44" si="97">+N43*$X$1</f>
        <v>2640</v>
      </c>
      <c r="P43" s="284">
        <v>2443</v>
      </c>
      <c r="Q43" s="566">
        <f t="shared" ref="Q43:Q44" si="98">+P43*$X$1</f>
        <v>2443</v>
      </c>
      <c r="R43" s="559">
        <v>2245</v>
      </c>
      <c r="S43" s="235">
        <f t="shared" ref="S43:S44" si="99">+R43*$X$1</f>
        <v>2245</v>
      </c>
      <c r="T43" s="559">
        <v>2092</v>
      </c>
      <c r="U43" s="235">
        <f t="shared" ref="U43:U44" si="100">+T43*$X$1</f>
        <v>2092</v>
      </c>
      <c r="V43" s="559">
        <v>2004</v>
      </c>
      <c r="W43" s="257">
        <f t="shared" ref="W43:W44" si="101">+V43*$X$1</f>
        <v>2004</v>
      </c>
      <c r="X43" s="677"/>
      <c r="Y43" s="811"/>
      <c r="Z43" s="811"/>
      <c r="AA43" s="812"/>
      <c r="AB43" s="355" t="s">
        <v>57</v>
      </c>
    </row>
    <row r="44" spans="1:28" ht="12.6" customHeight="1" x14ac:dyDescent="0.2">
      <c r="A44" s="17"/>
      <c r="B44" s="669" t="s">
        <v>58</v>
      </c>
      <c r="C44" s="668"/>
      <c r="D44" s="668"/>
      <c r="E44" s="668"/>
      <c r="F44" s="258">
        <v>1500</v>
      </c>
      <c r="G44" s="278">
        <f t="shared" si="96"/>
        <v>1500</v>
      </c>
      <c r="H44" s="849" t="s">
        <v>54</v>
      </c>
      <c r="I44" s="849"/>
      <c r="J44" s="850"/>
      <c r="K44" s="857"/>
      <c r="L44" s="251"/>
      <c r="M44" s="306"/>
      <c r="N44" s="83">
        <v>2640</v>
      </c>
      <c r="O44" s="278">
        <f t="shared" si="97"/>
        <v>2640</v>
      </c>
      <c r="P44" s="253">
        <v>2443</v>
      </c>
      <c r="Q44" s="565">
        <f t="shared" si="98"/>
        <v>2443</v>
      </c>
      <c r="R44" s="576">
        <v>2245</v>
      </c>
      <c r="S44" s="272">
        <f t="shared" si="99"/>
        <v>2245</v>
      </c>
      <c r="T44" s="576">
        <v>2092</v>
      </c>
      <c r="U44" s="272">
        <f t="shared" si="100"/>
        <v>2092</v>
      </c>
      <c r="V44" s="576">
        <v>2004</v>
      </c>
      <c r="W44" s="258">
        <f t="shared" si="101"/>
        <v>2004</v>
      </c>
      <c r="X44" s="677"/>
      <c r="Y44" s="811"/>
      <c r="Z44" s="811"/>
      <c r="AA44" s="812"/>
      <c r="AB44" s="355" t="s">
        <v>59</v>
      </c>
    </row>
    <row r="45" spans="1:28" ht="12.6" customHeight="1" x14ac:dyDescent="0.2">
      <c r="A45" s="17"/>
      <c r="B45" s="724" t="s">
        <v>503</v>
      </c>
      <c r="C45" s="673"/>
      <c r="D45" s="673"/>
      <c r="E45" s="673"/>
      <c r="F45" s="257">
        <v>1614</v>
      </c>
      <c r="G45" s="279">
        <f t="shared" ref="G45" si="102">+F45*$X$1</f>
        <v>1614</v>
      </c>
      <c r="H45" s="833" t="s">
        <v>54</v>
      </c>
      <c r="I45" s="833"/>
      <c r="J45" s="834"/>
      <c r="K45" s="835"/>
      <c r="L45" s="252"/>
      <c r="M45" s="305"/>
      <c r="N45" s="79">
        <v>2790</v>
      </c>
      <c r="O45" s="279">
        <f t="shared" ref="O45" si="103">+N45*$X$1</f>
        <v>2790</v>
      </c>
      <c r="P45" s="284">
        <v>2590</v>
      </c>
      <c r="Q45" s="566">
        <f t="shared" ref="Q45" si="104">+P45*$X$1</f>
        <v>2590</v>
      </c>
      <c r="R45" s="559">
        <v>2370</v>
      </c>
      <c r="S45" s="235">
        <f t="shared" ref="S45" si="105">+R45*$X$1</f>
        <v>2370</v>
      </c>
      <c r="T45" s="559">
        <v>2224</v>
      </c>
      <c r="U45" s="235">
        <f t="shared" ref="U45" si="106">+T45*$X$1</f>
        <v>2224</v>
      </c>
      <c r="V45" s="559">
        <v>2119</v>
      </c>
      <c r="W45" s="257">
        <f t="shared" ref="W45" si="107">+V45*$X$1</f>
        <v>2119</v>
      </c>
      <c r="X45" s="677"/>
      <c r="Y45" s="811"/>
      <c r="Z45" s="811"/>
      <c r="AA45" s="812"/>
      <c r="AB45" s="356" t="s">
        <v>513</v>
      </c>
    </row>
    <row r="46" spans="1:28" ht="12.6" customHeight="1" x14ac:dyDescent="0.2">
      <c r="A46" s="17"/>
      <c r="B46" s="669" t="s">
        <v>504</v>
      </c>
      <c r="C46" s="668"/>
      <c r="D46" s="668"/>
      <c r="E46" s="668"/>
      <c r="F46" s="258">
        <v>1614</v>
      </c>
      <c r="G46" s="278">
        <f t="shared" ref="G46" si="108">+F46*$X$1</f>
        <v>1614</v>
      </c>
      <c r="H46" s="876" t="s">
        <v>54</v>
      </c>
      <c r="I46" s="876"/>
      <c r="J46" s="877"/>
      <c r="K46" s="878"/>
      <c r="L46" s="251"/>
      <c r="M46" s="306"/>
      <c r="N46" s="83">
        <v>2790</v>
      </c>
      <c r="O46" s="278">
        <f t="shared" ref="O46:O47" si="109">+N46*$X$1</f>
        <v>2790</v>
      </c>
      <c r="P46" s="253">
        <v>2590</v>
      </c>
      <c r="Q46" s="565">
        <f t="shared" ref="Q46:Q47" si="110">+P46*$X$1</f>
        <v>2590</v>
      </c>
      <c r="R46" s="576">
        <v>2370</v>
      </c>
      <c r="S46" s="272">
        <f t="shared" ref="S46:S47" si="111">+R46*$X$1</f>
        <v>2370</v>
      </c>
      <c r="T46" s="576">
        <v>2224</v>
      </c>
      <c r="U46" s="272">
        <f t="shared" ref="U46:U47" si="112">+T46*$X$1</f>
        <v>2224</v>
      </c>
      <c r="V46" s="576">
        <v>2119</v>
      </c>
      <c r="W46" s="258">
        <f t="shared" ref="W46:W47" si="113">+V46*$X$1</f>
        <v>2119</v>
      </c>
      <c r="X46" s="677"/>
      <c r="Y46" s="811"/>
      <c r="Z46" s="811"/>
      <c r="AA46" s="812"/>
      <c r="AB46" s="356" t="s">
        <v>514</v>
      </c>
    </row>
    <row r="47" spans="1:28" ht="12.6" customHeight="1" x14ac:dyDescent="0.2">
      <c r="A47" s="17"/>
      <c r="B47" s="724" t="s">
        <v>505</v>
      </c>
      <c r="C47" s="673"/>
      <c r="D47" s="673"/>
      <c r="E47" s="673"/>
      <c r="F47" s="257">
        <v>1614</v>
      </c>
      <c r="G47" s="279">
        <f t="shared" ref="G47" si="114">+F47*$X$1</f>
        <v>1614</v>
      </c>
      <c r="H47" s="833" t="s">
        <v>54</v>
      </c>
      <c r="I47" s="833"/>
      <c r="J47" s="834"/>
      <c r="K47" s="835"/>
      <c r="L47" s="252"/>
      <c r="M47" s="305"/>
      <c r="N47" s="79">
        <v>2790</v>
      </c>
      <c r="O47" s="279">
        <f t="shared" si="109"/>
        <v>2790</v>
      </c>
      <c r="P47" s="284">
        <v>2590</v>
      </c>
      <c r="Q47" s="566">
        <f t="shared" si="110"/>
        <v>2590</v>
      </c>
      <c r="R47" s="559">
        <v>2370</v>
      </c>
      <c r="S47" s="235">
        <f t="shared" si="111"/>
        <v>2370</v>
      </c>
      <c r="T47" s="559">
        <v>2224</v>
      </c>
      <c r="U47" s="235">
        <f t="shared" si="112"/>
        <v>2224</v>
      </c>
      <c r="V47" s="559">
        <v>2119</v>
      </c>
      <c r="W47" s="257">
        <f t="shared" si="113"/>
        <v>2119</v>
      </c>
      <c r="X47" s="677"/>
      <c r="Y47" s="811"/>
      <c r="Z47" s="811"/>
      <c r="AA47" s="812"/>
      <c r="AB47" s="356" t="s">
        <v>515</v>
      </c>
    </row>
    <row r="48" spans="1:28" ht="12.6" customHeight="1" x14ac:dyDescent="0.2">
      <c r="A48" s="17"/>
      <c r="B48" s="669" t="s">
        <v>60</v>
      </c>
      <c r="C48" s="668"/>
      <c r="D48" s="668"/>
      <c r="E48" s="668"/>
      <c r="F48" s="258">
        <v>2025</v>
      </c>
      <c r="G48" s="278">
        <f t="shared" si="96"/>
        <v>2025</v>
      </c>
      <c r="H48" s="849" t="s">
        <v>54</v>
      </c>
      <c r="I48" s="849"/>
      <c r="J48" s="850"/>
      <c r="K48" s="857"/>
      <c r="L48" s="251"/>
      <c r="M48" s="306"/>
      <c r="N48" s="82">
        <v>3665</v>
      </c>
      <c r="O48" s="303">
        <f t="shared" ref="O48" si="115">+N48*$X$1</f>
        <v>3665</v>
      </c>
      <c r="P48" s="253">
        <v>3394</v>
      </c>
      <c r="Q48" s="285">
        <f t="shared" si="71"/>
        <v>3394</v>
      </c>
      <c r="R48" s="576">
        <v>3125</v>
      </c>
      <c r="S48" s="258">
        <f t="shared" si="71"/>
        <v>3125</v>
      </c>
      <c r="T48" s="576">
        <v>2905</v>
      </c>
      <c r="U48" s="258">
        <f t="shared" si="72"/>
        <v>2905</v>
      </c>
      <c r="V48" s="576">
        <v>2800</v>
      </c>
      <c r="W48" s="258">
        <f t="shared" si="73"/>
        <v>2800</v>
      </c>
      <c r="X48" s="677"/>
      <c r="Y48" s="811"/>
      <c r="Z48" s="811"/>
      <c r="AA48" s="812"/>
      <c r="AB48" s="356" t="s">
        <v>61</v>
      </c>
    </row>
    <row r="49" spans="1:35" ht="12.6" customHeight="1" x14ac:dyDescent="0.2">
      <c r="A49" s="17"/>
      <c r="B49" s="724" t="s">
        <v>62</v>
      </c>
      <c r="C49" s="673"/>
      <c r="D49" s="673"/>
      <c r="E49" s="673"/>
      <c r="F49" s="257">
        <v>2025</v>
      </c>
      <c r="G49" s="279">
        <f t="shared" si="96"/>
        <v>2025</v>
      </c>
      <c r="H49" s="833" t="s">
        <v>54</v>
      </c>
      <c r="I49" s="833"/>
      <c r="J49" s="834"/>
      <c r="K49" s="835"/>
      <c r="L49" s="252"/>
      <c r="M49" s="305"/>
      <c r="N49" s="68">
        <v>3665</v>
      </c>
      <c r="O49" s="274">
        <f t="shared" ref="O49:O50" si="116">+N49*$X$1</f>
        <v>3665</v>
      </c>
      <c r="P49" s="284">
        <v>3394</v>
      </c>
      <c r="Q49" s="286">
        <f t="shared" ref="Q49:Q50" si="117">+P49*$X$1</f>
        <v>3394</v>
      </c>
      <c r="R49" s="559">
        <v>3125</v>
      </c>
      <c r="S49" s="257">
        <f t="shared" ref="S49:S50" si="118">+R49*$X$1</f>
        <v>3125</v>
      </c>
      <c r="T49" s="559">
        <v>2905</v>
      </c>
      <c r="U49" s="257">
        <f t="shared" ref="U49:U50" si="119">+T49*$X$1</f>
        <v>2905</v>
      </c>
      <c r="V49" s="559">
        <v>2800</v>
      </c>
      <c r="W49" s="257">
        <f t="shared" ref="W49:W50" si="120">+V49*$X$1</f>
        <v>2800</v>
      </c>
      <c r="X49" s="677"/>
      <c r="Y49" s="811"/>
      <c r="Z49" s="811"/>
      <c r="AA49" s="812"/>
      <c r="AB49" s="356" t="s">
        <v>63</v>
      </c>
    </row>
    <row r="50" spans="1:35" ht="12.6" customHeight="1" x14ac:dyDescent="0.2">
      <c r="A50" s="17"/>
      <c r="B50" s="669" t="s">
        <v>64</v>
      </c>
      <c r="C50" s="668"/>
      <c r="D50" s="668"/>
      <c r="E50" s="668"/>
      <c r="F50" s="258">
        <v>2025</v>
      </c>
      <c r="G50" s="444">
        <f t="shared" si="96"/>
        <v>2025</v>
      </c>
      <c r="H50" s="849" t="s">
        <v>54</v>
      </c>
      <c r="I50" s="849"/>
      <c r="J50" s="850"/>
      <c r="K50" s="851"/>
      <c r="L50" s="251"/>
      <c r="M50" s="306"/>
      <c r="N50" s="82">
        <v>3665</v>
      </c>
      <c r="O50" s="303">
        <f t="shared" si="116"/>
        <v>3665</v>
      </c>
      <c r="P50" s="253">
        <v>3394</v>
      </c>
      <c r="Q50" s="285">
        <f t="shared" si="117"/>
        <v>3394</v>
      </c>
      <c r="R50" s="576">
        <v>3125</v>
      </c>
      <c r="S50" s="258">
        <f t="shared" si="118"/>
        <v>3125</v>
      </c>
      <c r="T50" s="576">
        <v>2905</v>
      </c>
      <c r="U50" s="258">
        <f t="shared" si="119"/>
        <v>2905</v>
      </c>
      <c r="V50" s="576">
        <v>2800</v>
      </c>
      <c r="W50" s="258">
        <f t="shared" si="120"/>
        <v>2800</v>
      </c>
      <c r="X50" s="677"/>
      <c r="Y50" s="811"/>
      <c r="Z50" s="811"/>
      <c r="AA50" s="812"/>
      <c r="AB50" s="356" t="s">
        <v>65</v>
      </c>
    </row>
    <row r="51" spans="1:35" ht="12.6" customHeight="1" x14ac:dyDescent="0.2">
      <c r="A51" s="17"/>
      <c r="B51" s="724" t="s">
        <v>392</v>
      </c>
      <c r="C51" s="673"/>
      <c r="D51" s="673"/>
      <c r="E51" s="830"/>
      <c r="F51" s="620"/>
      <c r="G51" s="625"/>
      <c r="H51" s="625"/>
      <c r="I51" s="625"/>
      <c r="J51" s="240"/>
      <c r="K51" s="252"/>
      <c r="L51" s="239"/>
      <c r="M51" s="257"/>
      <c r="N51" s="626"/>
      <c r="O51" s="311"/>
      <c r="P51" s="252"/>
      <c r="Q51" s="286"/>
      <c r="R51" s="102"/>
      <c r="S51" s="567"/>
      <c r="T51" s="102"/>
      <c r="U51" s="567"/>
      <c r="V51" s="102"/>
      <c r="W51" s="257"/>
      <c r="X51" s="119"/>
      <c r="Y51" s="119"/>
      <c r="Z51" s="119"/>
      <c r="AA51" s="119"/>
      <c r="AB51" s="33">
        <v>48</v>
      </c>
      <c r="AC51" s="357" t="s">
        <v>66</v>
      </c>
      <c r="AD51" s="357" t="s">
        <v>67</v>
      </c>
      <c r="AE51" s="357" t="s">
        <v>68</v>
      </c>
    </row>
    <row r="52" spans="1:35" ht="12.6" customHeight="1" x14ac:dyDescent="0.2">
      <c r="A52" s="17"/>
      <c r="B52" s="837" t="s">
        <v>69</v>
      </c>
      <c r="C52" s="838"/>
      <c r="D52" s="838"/>
      <c r="E52" s="838"/>
      <c r="F52" s="622"/>
      <c r="G52" s="539"/>
      <c r="H52" s="539"/>
      <c r="I52" s="539"/>
      <c r="J52" s="238"/>
      <c r="K52" s="238"/>
      <c r="L52" s="268"/>
      <c r="M52" s="576"/>
      <c r="N52" s="628"/>
      <c r="O52" s="576"/>
      <c r="P52" s="400"/>
      <c r="Q52" s="576"/>
      <c r="R52" s="576"/>
      <c r="S52" s="576"/>
      <c r="T52" s="576"/>
      <c r="U52" s="576"/>
      <c r="V52" s="629"/>
      <c r="W52" s="629"/>
      <c r="X52" s="152"/>
      <c r="Y52" s="152"/>
      <c r="Z52" s="152"/>
      <c r="AA52" s="152"/>
      <c r="AB52" s="178">
        <v>54</v>
      </c>
    </row>
    <row r="53" spans="1:35" ht="12.6" customHeight="1" x14ac:dyDescent="0.2">
      <c r="A53" s="17"/>
      <c r="B53" s="724" t="s">
        <v>70</v>
      </c>
      <c r="C53" s="673"/>
      <c r="D53" s="673"/>
      <c r="E53" s="673"/>
      <c r="F53" s="257">
        <v>1096</v>
      </c>
      <c r="G53" s="235">
        <f t="shared" ref="G53:G56" si="121">+F53*$X$1</f>
        <v>1096</v>
      </c>
      <c r="H53" s="111"/>
      <c r="I53" s="257"/>
      <c r="J53" s="559">
        <f>F53+300</f>
        <v>1396</v>
      </c>
      <c r="K53" s="257">
        <f t="shared" ref="K53" si="122">+J53*$X$1</f>
        <v>1396</v>
      </c>
      <c r="L53" s="559">
        <f>F53+230</f>
        <v>1326</v>
      </c>
      <c r="M53" s="257">
        <f t="shared" ref="M53" si="123">+L53*$X$1</f>
        <v>1326</v>
      </c>
      <c r="N53" s="93">
        <f>F53+180</f>
        <v>1276</v>
      </c>
      <c r="O53" s="235">
        <f t="shared" ref="O53" si="124">+N53*$X$1</f>
        <v>1276</v>
      </c>
      <c r="P53" s="93">
        <f>F53+150</f>
        <v>1246</v>
      </c>
      <c r="Q53" s="257">
        <f t="shared" si="71"/>
        <v>1246</v>
      </c>
      <c r="R53" s="93">
        <f>F53+125</f>
        <v>1221</v>
      </c>
      <c r="S53" s="235">
        <f t="shared" ref="S53" si="125">+R53*$X$1</f>
        <v>1221</v>
      </c>
      <c r="T53" s="93">
        <f>F53+110</f>
        <v>1206</v>
      </c>
      <c r="U53" s="235">
        <f t="shared" ref="U53" si="126">+T53*$X$1</f>
        <v>1206</v>
      </c>
      <c r="V53" s="93">
        <f>F53+96</f>
        <v>1192</v>
      </c>
      <c r="W53" s="257">
        <f t="shared" ref="W53" si="127">+V53*$X$1</f>
        <v>1192</v>
      </c>
      <c r="X53" s="118"/>
      <c r="Y53" s="119"/>
      <c r="Z53" s="119"/>
      <c r="AA53" s="119"/>
      <c r="AB53" s="354">
        <v>60</v>
      </c>
    </row>
    <row r="54" spans="1:35" ht="12.6" customHeight="1" x14ac:dyDescent="0.2">
      <c r="A54" s="17"/>
      <c r="B54" s="669" t="s">
        <v>483</v>
      </c>
      <c r="C54" s="668"/>
      <c r="D54" s="668"/>
      <c r="E54" s="668"/>
      <c r="F54" s="258">
        <v>1276</v>
      </c>
      <c r="G54" s="272">
        <f t="shared" si="121"/>
        <v>1276</v>
      </c>
      <c r="H54" s="112"/>
      <c r="I54" s="258"/>
      <c r="J54" s="576">
        <f>F54+300</f>
        <v>1576</v>
      </c>
      <c r="K54" s="258">
        <f t="shared" ref="K54:K56" si="128">+J54*$X$1</f>
        <v>1576</v>
      </c>
      <c r="L54" s="576">
        <f>F54+230</f>
        <v>1506</v>
      </c>
      <c r="M54" s="258">
        <f t="shared" ref="M54:M56" si="129">+L54*$X$1</f>
        <v>1506</v>
      </c>
      <c r="N54" s="92">
        <f>F54+180</f>
        <v>1456</v>
      </c>
      <c r="O54" s="272">
        <f t="shared" ref="O54:O56" si="130">+N54*$X$1</f>
        <v>1456</v>
      </c>
      <c r="P54" s="92">
        <f>F54+150</f>
        <v>1426</v>
      </c>
      <c r="Q54" s="258">
        <f t="shared" ref="Q54:Q56" si="131">+P54*$X$1</f>
        <v>1426</v>
      </c>
      <c r="R54" s="92">
        <f>F54+125</f>
        <v>1401</v>
      </c>
      <c r="S54" s="272">
        <f t="shared" ref="S54:S56" si="132">+R54*$X$1</f>
        <v>1401</v>
      </c>
      <c r="T54" s="92">
        <f>F54+110</f>
        <v>1386</v>
      </c>
      <c r="U54" s="272">
        <f t="shared" ref="U54:U56" si="133">+T54*$X$1</f>
        <v>1386</v>
      </c>
      <c r="V54" s="92">
        <f>F54+96</f>
        <v>1372</v>
      </c>
      <c r="W54" s="258">
        <f t="shared" ref="W54:W56" si="134">+V54*$X$1</f>
        <v>1372</v>
      </c>
      <c r="X54" s="118"/>
      <c r="Y54" s="119"/>
      <c r="Z54" s="119"/>
      <c r="AA54" s="119"/>
      <c r="AB54" s="354">
        <v>61</v>
      </c>
    </row>
    <row r="55" spans="1:35" ht="12.6" customHeight="1" x14ac:dyDescent="0.2">
      <c r="A55" s="17"/>
      <c r="B55" s="858" t="s">
        <v>71</v>
      </c>
      <c r="C55" s="712"/>
      <c r="D55" s="712"/>
      <c r="E55" s="712"/>
      <c r="F55" s="259">
        <v>1157</v>
      </c>
      <c r="G55" s="567">
        <f t="shared" si="121"/>
        <v>1157</v>
      </c>
      <c r="H55" s="627"/>
      <c r="I55" s="257"/>
      <c r="J55" s="559">
        <f>F55+300</f>
        <v>1457</v>
      </c>
      <c r="K55" s="257">
        <f t="shared" si="128"/>
        <v>1457</v>
      </c>
      <c r="L55" s="559">
        <f>F55+230</f>
        <v>1387</v>
      </c>
      <c r="M55" s="257">
        <f t="shared" si="129"/>
        <v>1387</v>
      </c>
      <c r="N55" s="93">
        <f>F55+180</f>
        <v>1337</v>
      </c>
      <c r="O55" s="235">
        <f t="shared" si="130"/>
        <v>1337</v>
      </c>
      <c r="P55" s="93">
        <f>F55+150</f>
        <v>1307</v>
      </c>
      <c r="Q55" s="257">
        <f t="shared" si="131"/>
        <v>1307</v>
      </c>
      <c r="R55" s="93">
        <f>F55+125</f>
        <v>1282</v>
      </c>
      <c r="S55" s="235">
        <f t="shared" si="132"/>
        <v>1282</v>
      </c>
      <c r="T55" s="93">
        <f>F55+110</f>
        <v>1267</v>
      </c>
      <c r="U55" s="235">
        <f t="shared" si="133"/>
        <v>1267</v>
      </c>
      <c r="V55" s="93">
        <f>F55+96</f>
        <v>1253</v>
      </c>
      <c r="W55" s="257">
        <f t="shared" si="134"/>
        <v>1253</v>
      </c>
      <c r="X55" s="118"/>
      <c r="Y55" s="119"/>
      <c r="Z55" s="119"/>
      <c r="AA55" s="119"/>
      <c r="AB55" s="354">
        <v>62</v>
      </c>
    </row>
    <row r="56" spans="1:35" ht="12.6" customHeight="1" x14ac:dyDescent="0.2">
      <c r="A56" s="17"/>
      <c r="B56" s="669" t="s">
        <v>72</v>
      </c>
      <c r="C56" s="737"/>
      <c r="D56" s="737"/>
      <c r="E56" s="737"/>
      <c r="F56" s="258">
        <v>1337</v>
      </c>
      <c r="G56" s="258">
        <f t="shared" si="121"/>
        <v>1337</v>
      </c>
      <c r="H56" s="112"/>
      <c r="I56" s="258"/>
      <c r="J56" s="576">
        <f>F56+300</f>
        <v>1637</v>
      </c>
      <c r="K56" s="258">
        <f t="shared" si="128"/>
        <v>1637</v>
      </c>
      <c r="L56" s="576">
        <f>F56+230</f>
        <v>1567</v>
      </c>
      <c r="M56" s="258">
        <f t="shared" si="129"/>
        <v>1567</v>
      </c>
      <c r="N56" s="92">
        <f>F56+180</f>
        <v>1517</v>
      </c>
      <c r="O56" s="272">
        <f t="shared" si="130"/>
        <v>1517</v>
      </c>
      <c r="P56" s="92">
        <f>F56+150</f>
        <v>1487</v>
      </c>
      <c r="Q56" s="258">
        <f t="shared" si="131"/>
        <v>1487</v>
      </c>
      <c r="R56" s="92">
        <f>F56+125</f>
        <v>1462</v>
      </c>
      <c r="S56" s="272">
        <f t="shared" si="132"/>
        <v>1462</v>
      </c>
      <c r="T56" s="92">
        <f>F56+110</f>
        <v>1447</v>
      </c>
      <c r="U56" s="272">
        <f t="shared" si="133"/>
        <v>1447</v>
      </c>
      <c r="V56" s="92">
        <f>F56+96</f>
        <v>1433</v>
      </c>
      <c r="W56" s="258">
        <f t="shared" si="134"/>
        <v>1433</v>
      </c>
      <c r="X56" s="118"/>
      <c r="Y56" s="119"/>
      <c r="Z56" s="119"/>
      <c r="AA56" s="119"/>
      <c r="AB56" s="354">
        <v>63</v>
      </c>
      <c r="AD56" s="4"/>
      <c r="AE56" s="4"/>
      <c r="AF56" s="4"/>
      <c r="AG56" s="4"/>
      <c r="AH56" s="4"/>
      <c r="AI56" s="4"/>
    </row>
    <row r="57" spans="1:35" ht="12.6" customHeight="1" x14ac:dyDescent="0.2">
      <c r="A57" s="17"/>
      <c r="B57" s="724" t="s">
        <v>479</v>
      </c>
      <c r="C57" s="673"/>
      <c r="D57" s="673"/>
      <c r="E57" s="673"/>
      <c r="F57" s="257">
        <v>1396</v>
      </c>
      <c r="G57" s="257">
        <f t="shared" ref="G57" si="135">+F57*$X$1</f>
        <v>1396</v>
      </c>
      <c r="H57" s="111"/>
      <c r="I57" s="257"/>
      <c r="J57" s="559">
        <f>F57+360</f>
        <v>1756</v>
      </c>
      <c r="K57" s="257">
        <f t="shared" ref="K57" si="136">+J57*$X$1</f>
        <v>1756</v>
      </c>
      <c r="L57" s="559">
        <f>F57+280</f>
        <v>1676</v>
      </c>
      <c r="M57" s="257">
        <f t="shared" ref="M57:M59" si="137">+L57*$X$1</f>
        <v>1676</v>
      </c>
      <c r="N57" s="93">
        <f>F57+220</f>
        <v>1616</v>
      </c>
      <c r="O57" s="235">
        <f t="shared" ref="O57:O59" si="138">+N57*$X$1</f>
        <v>1616</v>
      </c>
      <c r="P57" s="93">
        <f>F57+190</f>
        <v>1586</v>
      </c>
      <c r="Q57" s="257">
        <f t="shared" ref="Q57:Q59" si="139">+P57*$X$1</f>
        <v>1586</v>
      </c>
      <c r="R57" s="93">
        <f>F57+170</f>
        <v>1566</v>
      </c>
      <c r="S57" s="235">
        <f t="shared" ref="S57:S59" si="140">+R57*$X$1</f>
        <v>1566</v>
      </c>
      <c r="T57" s="93">
        <f>F57+156</f>
        <v>1552</v>
      </c>
      <c r="U57" s="235">
        <f t="shared" ref="U57:U59" si="141">+T57*$X$1</f>
        <v>1552</v>
      </c>
      <c r="V57" s="93">
        <f>F57+147</f>
        <v>1543</v>
      </c>
      <c r="W57" s="257">
        <f t="shared" ref="W57:W59" si="142">+V57*$X$1</f>
        <v>1543</v>
      </c>
      <c r="X57" s="118"/>
      <c r="Y57" s="119"/>
      <c r="Z57" s="119"/>
      <c r="AA57" s="119"/>
      <c r="AB57" s="354">
        <v>64</v>
      </c>
    </row>
    <row r="58" spans="1:35" ht="12.6" customHeight="1" x14ac:dyDescent="0.2">
      <c r="A58" s="17"/>
      <c r="B58" s="874" t="s">
        <v>795</v>
      </c>
      <c r="C58" s="875"/>
      <c r="D58" s="875"/>
      <c r="E58" s="875"/>
      <c r="F58" s="468">
        <v>310</v>
      </c>
      <c r="G58" s="468">
        <f t="shared" ref="G58:G70" si="143">+F58*$X$1</f>
        <v>310</v>
      </c>
      <c r="H58" s="470"/>
      <c r="I58" s="472"/>
      <c r="J58" s="476"/>
      <c r="K58" s="468"/>
      <c r="L58" s="527">
        <f t="shared" ref="L58:L63" si="144">F58+150</f>
        <v>460</v>
      </c>
      <c r="M58" s="469">
        <f t="shared" si="137"/>
        <v>460</v>
      </c>
      <c r="N58" s="527">
        <f t="shared" ref="N58:N67" si="145">F58+110</f>
        <v>420</v>
      </c>
      <c r="O58" s="469">
        <f t="shared" si="138"/>
        <v>420</v>
      </c>
      <c r="P58" s="527">
        <f t="shared" ref="P58:P67" si="146">F58+100</f>
        <v>410</v>
      </c>
      <c r="Q58" s="469">
        <f t="shared" si="139"/>
        <v>410</v>
      </c>
      <c r="R58" s="527">
        <f t="shared" ref="R58:R67" si="147">F58+80</f>
        <v>390</v>
      </c>
      <c r="S58" s="469">
        <f t="shared" si="140"/>
        <v>390</v>
      </c>
      <c r="T58" s="527">
        <f t="shared" ref="T58:T67" si="148">F58+65</f>
        <v>375</v>
      </c>
      <c r="U58" s="469">
        <f t="shared" si="141"/>
        <v>375</v>
      </c>
      <c r="V58" s="527">
        <f t="shared" ref="V58:V67" si="149">F58+56</f>
        <v>366</v>
      </c>
      <c r="W58" s="469">
        <f t="shared" si="142"/>
        <v>366</v>
      </c>
      <c r="X58" s="119"/>
      <c r="Y58" s="119"/>
      <c r="Z58" s="119"/>
      <c r="AA58" s="119"/>
      <c r="AB58" s="354">
        <v>85</v>
      </c>
    </row>
    <row r="59" spans="1:35" ht="12.6" customHeight="1" x14ac:dyDescent="0.2">
      <c r="A59" s="17"/>
      <c r="B59" s="873" t="s">
        <v>926</v>
      </c>
      <c r="C59" s="740"/>
      <c r="D59" s="740"/>
      <c r="E59" s="740"/>
      <c r="F59" s="273">
        <v>1210</v>
      </c>
      <c r="G59" s="302">
        <f t="shared" si="143"/>
        <v>1210</v>
      </c>
      <c r="H59" s="252"/>
      <c r="I59" s="305"/>
      <c r="J59" s="386"/>
      <c r="K59" s="273"/>
      <c r="L59" s="559">
        <f t="shared" si="144"/>
        <v>1360</v>
      </c>
      <c r="M59" s="257">
        <f t="shared" si="137"/>
        <v>1360</v>
      </c>
      <c r="N59" s="559">
        <f t="shared" si="145"/>
        <v>1320</v>
      </c>
      <c r="O59" s="257">
        <f t="shared" si="138"/>
        <v>1320</v>
      </c>
      <c r="P59" s="559">
        <f t="shared" si="146"/>
        <v>1310</v>
      </c>
      <c r="Q59" s="257">
        <f t="shared" si="139"/>
        <v>1310</v>
      </c>
      <c r="R59" s="559">
        <f t="shared" si="147"/>
        <v>1290</v>
      </c>
      <c r="S59" s="257">
        <f t="shared" si="140"/>
        <v>1290</v>
      </c>
      <c r="T59" s="559">
        <f t="shared" si="148"/>
        <v>1275</v>
      </c>
      <c r="U59" s="257">
        <f t="shared" si="141"/>
        <v>1275</v>
      </c>
      <c r="V59" s="559">
        <f t="shared" si="149"/>
        <v>1266</v>
      </c>
      <c r="W59" s="257">
        <f t="shared" si="142"/>
        <v>1266</v>
      </c>
      <c r="X59" s="119"/>
      <c r="Y59" s="119"/>
      <c r="Z59" s="119"/>
      <c r="AA59" s="119"/>
      <c r="AB59" s="356" t="s">
        <v>932</v>
      </c>
    </row>
    <row r="60" spans="1:35" ht="12.6" customHeight="1" x14ac:dyDescent="0.2">
      <c r="A60" s="17"/>
      <c r="B60" s="836" t="s">
        <v>927</v>
      </c>
      <c r="C60" s="770"/>
      <c r="D60" s="770"/>
      <c r="E60" s="770"/>
      <c r="F60" s="283">
        <v>870</v>
      </c>
      <c r="G60" s="444">
        <f t="shared" ref="G60" si="150">+F60*$X$1</f>
        <v>870</v>
      </c>
      <c r="H60" s="251"/>
      <c r="I60" s="306"/>
      <c r="J60" s="387"/>
      <c r="K60" s="283"/>
      <c r="L60" s="576">
        <f t="shared" si="144"/>
        <v>1020</v>
      </c>
      <c r="M60" s="258">
        <f t="shared" ref="M60:M61" si="151">+L60*$X$1</f>
        <v>1020</v>
      </c>
      <c r="N60" s="576">
        <f t="shared" si="145"/>
        <v>980</v>
      </c>
      <c r="O60" s="258">
        <f t="shared" ref="O60:O61" si="152">+N60*$X$1</f>
        <v>980</v>
      </c>
      <c r="P60" s="576">
        <f t="shared" si="146"/>
        <v>970</v>
      </c>
      <c r="Q60" s="258">
        <f t="shared" ref="Q60:Q61" si="153">+P60*$X$1</f>
        <v>970</v>
      </c>
      <c r="R60" s="576">
        <f t="shared" si="147"/>
        <v>950</v>
      </c>
      <c r="S60" s="258">
        <f t="shared" ref="S60:S61" si="154">+R60*$X$1</f>
        <v>950</v>
      </c>
      <c r="T60" s="576">
        <f t="shared" si="148"/>
        <v>935</v>
      </c>
      <c r="U60" s="258">
        <f t="shared" ref="U60:U61" si="155">+T60*$X$1</f>
        <v>935</v>
      </c>
      <c r="V60" s="576">
        <f t="shared" si="149"/>
        <v>926</v>
      </c>
      <c r="W60" s="258">
        <f t="shared" ref="W60:W61" si="156">+V60*$X$1</f>
        <v>926</v>
      </c>
      <c r="X60" s="119"/>
      <c r="Y60" s="119"/>
      <c r="Z60" s="119"/>
      <c r="AA60" s="119"/>
      <c r="AB60" s="356" t="s">
        <v>933</v>
      </c>
    </row>
    <row r="61" spans="1:35" ht="12.6" customHeight="1" x14ac:dyDescent="0.2">
      <c r="A61" s="17"/>
      <c r="B61" s="873" t="s">
        <v>928</v>
      </c>
      <c r="C61" s="740"/>
      <c r="D61" s="740"/>
      <c r="E61" s="740"/>
      <c r="F61" s="273">
        <v>933</v>
      </c>
      <c r="G61" s="302">
        <f t="shared" ref="G61:G63" si="157">+F61*$X$1</f>
        <v>933</v>
      </c>
      <c r="H61" s="252"/>
      <c r="I61" s="305"/>
      <c r="J61" s="386"/>
      <c r="K61" s="273"/>
      <c r="L61" s="559">
        <f t="shared" si="144"/>
        <v>1083</v>
      </c>
      <c r="M61" s="257">
        <f t="shared" si="151"/>
        <v>1083</v>
      </c>
      <c r="N61" s="559">
        <f t="shared" si="145"/>
        <v>1043</v>
      </c>
      <c r="O61" s="257">
        <f t="shared" si="152"/>
        <v>1043</v>
      </c>
      <c r="P61" s="559">
        <f t="shared" si="146"/>
        <v>1033</v>
      </c>
      <c r="Q61" s="257">
        <f t="shared" si="153"/>
        <v>1033</v>
      </c>
      <c r="R61" s="559">
        <f t="shared" si="147"/>
        <v>1013</v>
      </c>
      <c r="S61" s="257">
        <f t="shared" si="154"/>
        <v>1013</v>
      </c>
      <c r="T61" s="559">
        <f t="shared" si="148"/>
        <v>998</v>
      </c>
      <c r="U61" s="257">
        <f t="shared" si="155"/>
        <v>998</v>
      </c>
      <c r="V61" s="559">
        <f t="shared" si="149"/>
        <v>989</v>
      </c>
      <c r="W61" s="257">
        <f t="shared" si="156"/>
        <v>989</v>
      </c>
      <c r="X61" s="119"/>
      <c r="Y61" s="119"/>
      <c r="Z61" s="119"/>
      <c r="AA61" s="119"/>
      <c r="AB61" s="356" t="s">
        <v>930</v>
      </c>
    </row>
    <row r="62" spans="1:35" ht="12.6" customHeight="1" x14ac:dyDescent="0.2">
      <c r="A62" s="17"/>
      <c r="B62" s="836" t="s">
        <v>929</v>
      </c>
      <c r="C62" s="770"/>
      <c r="D62" s="770"/>
      <c r="E62" s="770"/>
      <c r="F62" s="283">
        <v>680</v>
      </c>
      <c r="G62" s="444">
        <f t="shared" ref="G62" si="158">+F62*$X$1</f>
        <v>680</v>
      </c>
      <c r="H62" s="251"/>
      <c r="I62" s="306"/>
      <c r="J62" s="387"/>
      <c r="K62" s="283"/>
      <c r="L62" s="576">
        <f t="shared" ref="L62" si="159">F62+150</f>
        <v>830</v>
      </c>
      <c r="M62" s="258">
        <f t="shared" ref="M62" si="160">+L62*$X$1</f>
        <v>830</v>
      </c>
      <c r="N62" s="576">
        <f t="shared" ref="N62" si="161">F62+110</f>
        <v>790</v>
      </c>
      <c r="O62" s="258">
        <f t="shared" ref="O62" si="162">+N62*$X$1</f>
        <v>790</v>
      </c>
      <c r="P62" s="576">
        <f t="shared" ref="P62" si="163">F62+100</f>
        <v>780</v>
      </c>
      <c r="Q62" s="258">
        <f t="shared" ref="Q62" si="164">+P62*$X$1</f>
        <v>780</v>
      </c>
      <c r="R62" s="576">
        <f t="shared" ref="R62" si="165">F62+80</f>
        <v>760</v>
      </c>
      <c r="S62" s="258">
        <f t="shared" ref="S62" si="166">+R62*$X$1</f>
        <v>760</v>
      </c>
      <c r="T62" s="576">
        <f t="shared" ref="T62" si="167">F62+65</f>
        <v>745</v>
      </c>
      <c r="U62" s="258">
        <f t="shared" ref="U62" si="168">+T62*$X$1</f>
        <v>745</v>
      </c>
      <c r="V62" s="576">
        <f t="shared" ref="V62" si="169">F62+56</f>
        <v>736</v>
      </c>
      <c r="W62" s="258">
        <f t="shared" ref="W62" si="170">+V62*$X$1</f>
        <v>736</v>
      </c>
      <c r="X62" s="119"/>
      <c r="Y62" s="119"/>
      <c r="Z62" s="119"/>
      <c r="AA62" s="119"/>
      <c r="AB62" s="356" t="s">
        <v>931</v>
      </c>
    </row>
    <row r="63" spans="1:35" ht="12.6" customHeight="1" x14ac:dyDescent="0.2">
      <c r="A63" s="17"/>
      <c r="B63" s="873" t="s">
        <v>718</v>
      </c>
      <c r="C63" s="740"/>
      <c r="D63" s="740"/>
      <c r="E63" s="740"/>
      <c r="F63" s="333">
        <f>2.57*X2</f>
        <v>3418.1</v>
      </c>
      <c r="G63" s="257">
        <f t="shared" si="157"/>
        <v>3418.1</v>
      </c>
      <c r="H63" s="68"/>
      <c r="I63" s="257"/>
      <c r="J63" s="68">
        <f>F63+200</f>
        <v>3618.1</v>
      </c>
      <c r="K63" s="257">
        <f t="shared" ref="K63" si="171">+J63*$X$1</f>
        <v>3618.1</v>
      </c>
      <c r="L63" s="559">
        <f t="shared" si="144"/>
        <v>3568.1</v>
      </c>
      <c r="M63" s="257">
        <f t="shared" ref="M63" si="172">+L63*$X$1</f>
        <v>3568.1</v>
      </c>
      <c r="N63" s="559">
        <f t="shared" si="145"/>
        <v>3528.1</v>
      </c>
      <c r="O63" s="257">
        <f t="shared" ref="O63" si="173">+N63*$X$1</f>
        <v>3528.1</v>
      </c>
      <c r="P63" s="559">
        <f t="shared" si="146"/>
        <v>3518.1</v>
      </c>
      <c r="Q63" s="257">
        <f t="shared" ref="Q63" si="174">+P63*$X$1</f>
        <v>3518.1</v>
      </c>
      <c r="R63" s="559">
        <f t="shared" si="147"/>
        <v>3498.1</v>
      </c>
      <c r="S63" s="257">
        <f t="shared" ref="S63" si="175">+R63*$X$1</f>
        <v>3498.1</v>
      </c>
      <c r="T63" s="559">
        <f t="shared" si="148"/>
        <v>3483.1</v>
      </c>
      <c r="U63" s="257">
        <f t="shared" ref="U63" si="176">+T63*$X$1</f>
        <v>3483.1</v>
      </c>
      <c r="V63" s="559">
        <f t="shared" si="149"/>
        <v>3474.1</v>
      </c>
      <c r="W63" s="257">
        <f t="shared" ref="W63" si="177">+V63*$X$1</f>
        <v>3474.1</v>
      </c>
      <c r="X63" s="119"/>
      <c r="Y63" s="119"/>
      <c r="Z63" s="119"/>
      <c r="AA63" s="119"/>
      <c r="AB63" s="354" t="s">
        <v>719</v>
      </c>
    </row>
    <row r="64" spans="1:35" ht="12.6" customHeight="1" x14ac:dyDescent="0.2">
      <c r="A64" s="17"/>
      <c r="B64" s="735" t="s">
        <v>1028</v>
      </c>
      <c r="C64" s="750"/>
      <c r="D64" s="750"/>
      <c r="E64" s="751"/>
      <c r="F64" s="283">
        <v>1110</v>
      </c>
      <c r="G64" s="444">
        <f t="shared" si="143"/>
        <v>1110</v>
      </c>
      <c r="H64" s="251"/>
      <c r="I64" s="306"/>
      <c r="J64" s="82">
        <f>F64+220</f>
        <v>1330</v>
      </c>
      <c r="K64" s="258">
        <f t="shared" ref="K64" si="178">+J64*$X$1</f>
        <v>1330</v>
      </c>
      <c r="L64" s="576">
        <f>F64+160</f>
        <v>1270</v>
      </c>
      <c r="M64" s="258">
        <f t="shared" ref="M64" si="179">+L64*$X$1</f>
        <v>1270</v>
      </c>
      <c r="N64" s="576">
        <f>F64+120</f>
        <v>1230</v>
      </c>
      <c r="O64" s="258">
        <f t="shared" ref="O64" si="180">+N64*$X$1</f>
        <v>1230</v>
      </c>
      <c r="P64" s="576">
        <f>F64+110</f>
        <v>1220</v>
      </c>
      <c r="Q64" s="258">
        <f t="shared" ref="Q64" si="181">+P64*$X$1</f>
        <v>1220</v>
      </c>
      <c r="R64" s="576">
        <f>F64+90</f>
        <v>1200</v>
      </c>
      <c r="S64" s="258">
        <f t="shared" ref="S64" si="182">+R64*$X$1</f>
        <v>1200</v>
      </c>
      <c r="T64" s="576">
        <f>F64+80</f>
        <v>1190</v>
      </c>
      <c r="U64" s="258">
        <f t="shared" ref="U64" si="183">+T64*$X$1</f>
        <v>1190</v>
      </c>
      <c r="V64" s="576">
        <f>F64+70</f>
        <v>1180</v>
      </c>
      <c r="W64" s="258">
        <f t="shared" ref="W64" si="184">+V64*$X$1</f>
        <v>1180</v>
      </c>
      <c r="X64" s="119"/>
      <c r="Y64" s="119"/>
      <c r="Z64" s="119"/>
      <c r="AA64" s="119"/>
      <c r="AB64" s="354">
        <v>89</v>
      </c>
    </row>
    <row r="65" spans="1:38" ht="12.6" customHeight="1" x14ac:dyDescent="0.2">
      <c r="A65" s="17"/>
      <c r="B65" s="681" t="s">
        <v>1027</v>
      </c>
      <c r="C65" s="682"/>
      <c r="D65" s="682"/>
      <c r="E65" s="683"/>
      <c r="F65" s="273">
        <v>1310</v>
      </c>
      <c r="G65" s="302">
        <v>1310</v>
      </c>
      <c r="H65" s="252"/>
      <c r="I65" s="305"/>
      <c r="J65" s="68">
        <f>F65+220</f>
        <v>1530</v>
      </c>
      <c r="K65" s="257">
        <v>1530</v>
      </c>
      <c r="L65" s="559">
        <f>F65+160</f>
        <v>1470</v>
      </c>
      <c r="M65" s="257">
        <v>1470</v>
      </c>
      <c r="N65" s="559">
        <f>F65+120</f>
        <v>1430</v>
      </c>
      <c r="O65" s="257">
        <v>1430</v>
      </c>
      <c r="P65" s="559">
        <f>F65+110</f>
        <v>1420</v>
      </c>
      <c r="Q65" s="257">
        <v>1420</v>
      </c>
      <c r="R65" s="559">
        <f>F65+90</f>
        <v>1400</v>
      </c>
      <c r="S65" s="257">
        <v>1400</v>
      </c>
      <c r="T65" s="559">
        <f>F65+80</f>
        <v>1390</v>
      </c>
      <c r="U65" s="257">
        <v>1390</v>
      </c>
      <c r="V65" s="559">
        <f>F65+70</f>
        <v>1380</v>
      </c>
      <c r="W65" s="257">
        <v>1380</v>
      </c>
      <c r="X65" s="119"/>
      <c r="Y65" s="119"/>
      <c r="Z65" s="119"/>
      <c r="AA65" s="119"/>
      <c r="AB65" s="354" t="s">
        <v>1029</v>
      </c>
    </row>
    <row r="66" spans="1:38" ht="12.6" customHeight="1" x14ac:dyDescent="0.2">
      <c r="A66" s="17"/>
      <c r="B66" s="669" t="s">
        <v>460</v>
      </c>
      <c r="C66" s="668"/>
      <c r="D66" s="668"/>
      <c r="E66" s="668"/>
      <c r="F66" s="258">
        <v>611</v>
      </c>
      <c r="G66" s="444">
        <f t="shared" si="143"/>
        <v>611</v>
      </c>
      <c r="H66" s="251"/>
      <c r="I66" s="306"/>
      <c r="J66" s="82"/>
      <c r="K66" s="272"/>
      <c r="L66" s="576"/>
      <c r="M66" s="272"/>
      <c r="N66" s="576">
        <f t="shared" si="145"/>
        <v>721</v>
      </c>
      <c r="O66" s="258">
        <f t="shared" ref="O66:O67" si="185">+N66*$X$1</f>
        <v>721</v>
      </c>
      <c r="P66" s="576">
        <f t="shared" si="146"/>
        <v>711</v>
      </c>
      <c r="Q66" s="258">
        <f t="shared" ref="Q66:Q67" si="186">+P66*$X$1</f>
        <v>711</v>
      </c>
      <c r="R66" s="576">
        <f t="shared" si="147"/>
        <v>691</v>
      </c>
      <c r="S66" s="258">
        <f t="shared" ref="S66:S67" si="187">+R66*$X$1</f>
        <v>691</v>
      </c>
      <c r="T66" s="576">
        <f t="shared" si="148"/>
        <v>676</v>
      </c>
      <c r="U66" s="258">
        <f t="shared" ref="U66:U67" si="188">+T66*$X$1</f>
        <v>676</v>
      </c>
      <c r="V66" s="576">
        <f t="shared" si="149"/>
        <v>667</v>
      </c>
      <c r="W66" s="258">
        <f t="shared" ref="W66:W67" si="189">+V66*$X$1</f>
        <v>667</v>
      </c>
      <c r="X66" s="131"/>
      <c r="Y66" s="131"/>
      <c r="Z66" s="131" t="s">
        <v>73</v>
      </c>
      <c r="AA66" s="119"/>
      <c r="AB66" s="354">
        <v>91</v>
      </c>
    </row>
    <row r="67" spans="1:38" ht="12.6" customHeight="1" x14ac:dyDescent="0.2">
      <c r="A67" s="17"/>
      <c r="B67" s="974" t="s">
        <v>74</v>
      </c>
      <c r="C67" s="975"/>
      <c r="D67" s="975"/>
      <c r="E67" s="976"/>
      <c r="F67" s="257">
        <v>290</v>
      </c>
      <c r="G67" s="279">
        <f t="shared" si="143"/>
        <v>290</v>
      </c>
      <c r="H67" s="252"/>
      <c r="I67" s="305"/>
      <c r="J67" s="68"/>
      <c r="K67" s="235"/>
      <c r="L67" s="559"/>
      <c r="M67" s="235"/>
      <c r="N67" s="559">
        <f t="shared" si="145"/>
        <v>400</v>
      </c>
      <c r="O67" s="257">
        <f t="shared" si="185"/>
        <v>400</v>
      </c>
      <c r="P67" s="559">
        <f t="shared" si="146"/>
        <v>390</v>
      </c>
      <c r="Q67" s="257">
        <f t="shared" si="186"/>
        <v>390</v>
      </c>
      <c r="R67" s="559">
        <f t="shared" si="147"/>
        <v>370</v>
      </c>
      <c r="S67" s="257">
        <f t="shared" si="187"/>
        <v>370</v>
      </c>
      <c r="T67" s="559">
        <f t="shared" si="148"/>
        <v>355</v>
      </c>
      <c r="U67" s="257">
        <f t="shared" si="188"/>
        <v>355</v>
      </c>
      <c r="V67" s="559">
        <f t="shared" si="149"/>
        <v>346</v>
      </c>
      <c r="W67" s="257">
        <f t="shared" si="189"/>
        <v>346</v>
      </c>
      <c r="X67" s="131"/>
      <c r="Y67" s="131"/>
      <c r="Z67" s="131"/>
      <c r="AA67" s="119"/>
      <c r="AB67" s="354" t="s">
        <v>75</v>
      </c>
    </row>
    <row r="68" spans="1:38" ht="12.6" customHeight="1" x14ac:dyDescent="0.2">
      <c r="A68" s="17"/>
      <c r="B68" s="837" t="s">
        <v>316</v>
      </c>
      <c r="C68" s="838"/>
      <c r="D68" s="838"/>
      <c r="E68" s="839"/>
      <c r="F68" s="258"/>
      <c r="G68" s="278"/>
      <c r="H68" s="251"/>
      <c r="I68" s="251"/>
      <c r="J68" s="82"/>
      <c r="K68" s="85"/>
      <c r="L68" s="576"/>
      <c r="M68" s="272"/>
      <c r="N68" s="92"/>
      <c r="O68" s="272"/>
      <c r="P68" s="92"/>
      <c r="Q68" s="258"/>
      <c r="R68" s="92"/>
      <c r="S68" s="272"/>
      <c r="T68" s="92"/>
      <c r="U68" s="272"/>
      <c r="V68" s="92"/>
      <c r="W68" s="258"/>
      <c r="X68" s="131"/>
      <c r="Y68" s="131"/>
      <c r="Z68" s="131"/>
      <c r="AA68" s="119"/>
      <c r="AB68" s="32"/>
    </row>
    <row r="69" spans="1:38" ht="12.6" customHeight="1" x14ac:dyDescent="0.2">
      <c r="A69" s="17"/>
      <c r="B69" s="974" t="s">
        <v>317</v>
      </c>
      <c r="C69" s="975"/>
      <c r="D69" s="975"/>
      <c r="E69" s="976"/>
      <c r="F69" s="257"/>
      <c r="G69" s="279"/>
      <c r="H69" s="252"/>
      <c r="I69" s="252"/>
      <c r="J69" s="68"/>
      <c r="K69" s="87"/>
      <c r="L69" s="559"/>
      <c r="M69" s="235"/>
      <c r="N69" s="93"/>
      <c r="O69" s="235"/>
      <c r="P69" s="93"/>
      <c r="Q69" s="257"/>
      <c r="R69" s="93"/>
      <c r="S69" s="235"/>
      <c r="T69" s="93"/>
      <c r="U69" s="235"/>
      <c r="V69" s="93"/>
      <c r="W69" s="257"/>
      <c r="X69" s="131"/>
      <c r="Y69" s="131"/>
      <c r="Z69" s="131"/>
      <c r="AA69" s="119"/>
      <c r="AB69" s="32"/>
    </row>
    <row r="70" spans="1:38" ht="12.6" customHeight="1" x14ac:dyDescent="0.2">
      <c r="A70" s="17"/>
      <c r="B70" s="669" t="s">
        <v>76</v>
      </c>
      <c r="C70" s="668"/>
      <c r="D70" s="668"/>
      <c r="E70" s="668"/>
      <c r="F70" s="258">
        <v>5970</v>
      </c>
      <c r="G70" s="278">
        <f t="shared" si="143"/>
        <v>5970</v>
      </c>
      <c r="H70" s="82">
        <f>F70+600</f>
        <v>6570</v>
      </c>
      <c r="I70" s="258">
        <f>+H70*$X$1</f>
        <v>6570</v>
      </c>
      <c r="J70" s="82">
        <f>F70+200</f>
        <v>6170</v>
      </c>
      <c r="K70" s="258">
        <f t="shared" ref="K70" si="190">+J70*$X$1</f>
        <v>6170</v>
      </c>
      <c r="L70" s="576">
        <f>F70+150</f>
        <v>6120</v>
      </c>
      <c r="M70" s="258">
        <f t="shared" ref="M70" si="191">+L70*$X$1</f>
        <v>6120</v>
      </c>
      <c r="N70" s="576">
        <f>F70+110</f>
        <v>6080</v>
      </c>
      <c r="O70" s="258">
        <f t="shared" ref="O70" si="192">+N70*$X$1</f>
        <v>6080</v>
      </c>
      <c r="P70" s="576">
        <f>F70+100</f>
        <v>6070</v>
      </c>
      <c r="Q70" s="258">
        <f t="shared" ref="Q70" si="193">+P70*$X$1</f>
        <v>6070</v>
      </c>
      <c r="R70" s="576">
        <f>F70+80</f>
        <v>6050</v>
      </c>
      <c r="S70" s="258">
        <f t="shared" ref="S70" si="194">+R70*$X$1</f>
        <v>6050</v>
      </c>
      <c r="T70" s="576">
        <f>F70+65</f>
        <v>6035</v>
      </c>
      <c r="U70" s="258">
        <f t="shared" ref="U70" si="195">+T70*$X$1</f>
        <v>6035</v>
      </c>
      <c r="V70" s="576">
        <f>F70+56</f>
        <v>6026</v>
      </c>
      <c r="W70" s="258">
        <f t="shared" ref="W70" si="196">+V70*$X$1</f>
        <v>6026</v>
      </c>
      <c r="X70" s="121"/>
      <c r="Y70" s="119"/>
      <c r="Z70" s="119"/>
      <c r="AA70" s="119"/>
      <c r="AB70" s="354">
        <v>92</v>
      </c>
    </row>
    <row r="71" spans="1:38" ht="12.6" customHeight="1" x14ac:dyDescent="0.25">
      <c r="A71" s="54"/>
      <c r="B71" s="724" t="s">
        <v>428</v>
      </c>
      <c r="C71" s="684"/>
      <c r="D71" s="684"/>
      <c r="E71" s="684"/>
      <c r="F71" s="257"/>
      <c r="G71" s="235"/>
      <c r="H71" s="96"/>
      <c r="I71" s="859" t="s">
        <v>436</v>
      </c>
      <c r="J71" s="860"/>
      <c r="K71" s="860"/>
      <c r="L71" s="861"/>
      <c r="M71" s="862"/>
      <c r="N71" s="559">
        <v>850</v>
      </c>
      <c r="O71" s="279">
        <f>+N71*$X$1</f>
        <v>850</v>
      </c>
      <c r="P71" s="284">
        <v>847</v>
      </c>
      <c r="Q71" s="274">
        <f>+P71*$X$1</f>
        <v>847</v>
      </c>
      <c r="R71" s="559">
        <v>795</v>
      </c>
      <c r="S71" s="235">
        <f>+R71*$X$1</f>
        <v>795</v>
      </c>
      <c r="T71" s="559">
        <v>755</v>
      </c>
      <c r="U71" s="257">
        <f>+T71*$X$1</f>
        <v>755</v>
      </c>
      <c r="V71" s="559">
        <v>692</v>
      </c>
      <c r="W71" s="257">
        <f>+V71*$X$1</f>
        <v>692</v>
      </c>
      <c r="X71" s="779"/>
      <c r="Y71" s="779"/>
      <c r="Z71" s="779"/>
      <c r="AA71" s="779"/>
      <c r="AB71" s="178" t="s">
        <v>429</v>
      </c>
    </row>
    <row r="72" spans="1:38" ht="12.6" customHeight="1" x14ac:dyDescent="0.25">
      <c r="A72" s="54"/>
      <c r="B72" s="669" t="s">
        <v>307</v>
      </c>
      <c r="C72" s="737"/>
      <c r="D72" s="737"/>
      <c r="E72" s="737"/>
      <c r="F72" s="258"/>
      <c r="G72" s="272"/>
      <c r="H72" s="227"/>
      <c r="I72" s="966" t="s">
        <v>436</v>
      </c>
      <c r="J72" s="967"/>
      <c r="K72" s="967"/>
      <c r="L72" s="968"/>
      <c r="M72" s="969"/>
      <c r="N72" s="576">
        <v>912</v>
      </c>
      <c r="O72" s="278">
        <f>+N72*$X$1</f>
        <v>912</v>
      </c>
      <c r="P72" s="263">
        <v>909</v>
      </c>
      <c r="Q72" s="303">
        <f>+P72*$X$1</f>
        <v>909</v>
      </c>
      <c r="R72" s="576">
        <v>853</v>
      </c>
      <c r="S72" s="272">
        <f>+R72*$X$1</f>
        <v>853</v>
      </c>
      <c r="T72" s="576">
        <v>827</v>
      </c>
      <c r="U72" s="258">
        <f>+T72*$X$1</f>
        <v>827</v>
      </c>
      <c r="V72" s="576">
        <v>750</v>
      </c>
      <c r="W72" s="258">
        <f>+V72*$X$1</f>
        <v>750</v>
      </c>
      <c r="X72" s="779"/>
      <c r="Y72" s="779"/>
      <c r="Z72" s="779"/>
      <c r="AA72" s="779"/>
      <c r="AB72" s="178" t="s">
        <v>77</v>
      </c>
    </row>
    <row r="73" spans="1:38" ht="12.6" customHeight="1" x14ac:dyDescent="0.25">
      <c r="A73" s="54"/>
      <c r="B73" s="724" t="s">
        <v>430</v>
      </c>
      <c r="C73" s="684"/>
      <c r="D73" s="684"/>
      <c r="E73" s="684"/>
      <c r="F73" s="257"/>
      <c r="G73" s="567"/>
      <c r="H73" s="590"/>
      <c r="I73" s="859" t="s">
        <v>436</v>
      </c>
      <c r="J73" s="860"/>
      <c r="K73" s="860"/>
      <c r="L73" s="861"/>
      <c r="M73" s="862"/>
      <c r="N73" s="559">
        <v>1270</v>
      </c>
      <c r="O73" s="279">
        <f>+N73*$X$1</f>
        <v>1270</v>
      </c>
      <c r="P73" s="264">
        <v>1265</v>
      </c>
      <c r="Q73" s="274">
        <f>+P73*$X$1</f>
        <v>1265</v>
      </c>
      <c r="R73" s="559">
        <v>1207</v>
      </c>
      <c r="S73" s="235">
        <f>+R73*$X$1</f>
        <v>1207</v>
      </c>
      <c r="T73" s="559">
        <v>1180</v>
      </c>
      <c r="U73" s="257">
        <f>+T73*$X$1</f>
        <v>1180</v>
      </c>
      <c r="V73" s="559">
        <v>1103</v>
      </c>
      <c r="W73" s="257">
        <f>+V73*$X$1</f>
        <v>1103</v>
      </c>
      <c r="X73" s="779"/>
      <c r="Y73" s="779"/>
      <c r="Z73" s="779"/>
      <c r="AA73" s="779"/>
      <c r="AB73" s="178" t="s">
        <v>431</v>
      </c>
    </row>
    <row r="74" spans="1:38" s="6" customFormat="1" ht="12.6" customHeight="1" x14ac:dyDescent="0.25">
      <c r="A74" s="54"/>
      <c r="B74" s="965" t="s">
        <v>362</v>
      </c>
      <c r="C74" s="688"/>
      <c r="D74" s="688"/>
      <c r="E74" s="689"/>
      <c r="F74" s="258"/>
      <c r="G74" s="258"/>
      <c r="H74" s="576"/>
      <c r="I74" s="258"/>
      <c r="J74" s="261"/>
      <c r="K74" s="317"/>
      <c r="L74" s="578">
        <v>2410</v>
      </c>
      <c r="M74" s="258">
        <f>+L74*$X$1</f>
        <v>2410</v>
      </c>
      <c r="N74" s="576">
        <v>2140</v>
      </c>
      <c r="O74" s="278">
        <f>+N74*$X$1</f>
        <v>2140</v>
      </c>
      <c r="P74" s="339">
        <v>1961</v>
      </c>
      <c r="Q74" s="303">
        <f>+P74*$X$1</f>
        <v>1961</v>
      </c>
      <c r="R74" s="576">
        <v>1958</v>
      </c>
      <c r="S74" s="272">
        <f>+R74*$X$1</f>
        <v>1958</v>
      </c>
      <c r="T74" s="576">
        <v>1890</v>
      </c>
      <c r="U74" s="258">
        <f>+T74*$X$1</f>
        <v>1890</v>
      </c>
      <c r="V74" s="623"/>
      <c r="W74" s="316"/>
      <c r="X74" s="225"/>
      <c r="Y74" s="226"/>
      <c r="Z74" s="226"/>
      <c r="AA74" s="226"/>
      <c r="AB74" s="178" t="s">
        <v>78</v>
      </c>
      <c r="AC74" s="8"/>
      <c r="AD74" s="8"/>
      <c r="AE74" s="8"/>
      <c r="AF74" s="8"/>
      <c r="AG74" s="8"/>
      <c r="AH74" s="53"/>
      <c r="AI74" s="22"/>
      <c r="AJ74" s="53"/>
      <c r="AK74" s="8"/>
      <c r="AL74" s="8"/>
    </row>
    <row r="75" spans="1:38" s="6" customFormat="1" ht="12.6" customHeight="1" x14ac:dyDescent="0.25">
      <c r="A75" s="54"/>
      <c r="B75" s="827" t="s">
        <v>363</v>
      </c>
      <c r="C75" s="828"/>
      <c r="D75" s="828"/>
      <c r="E75" s="829"/>
      <c r="F75" s="257"/>
      <c r="G75" s="579"/>
      <c r="H75" s="93"/>
      <c r="I75" s="580"/>
      <c r="J75" s="591"/>
      <c r="K75" s="592"/>
      <c r="L75" s="581">
        <v>3250</v>
      </c>
      <c r="M75" s="257">
        <f>+L75*$X$1</f>
        <v>3250</v>
      </c>
      <c r="N75" s="559">
        <v>2996</v>
      </c>
      <c r="O75" s="580">
        <f>+N75*$X$1</f>
        <v>2996</v>
      </c>
      <c r="P75" s="338">
        <v>2913</v>
      </c>
      <c r="Q75" s="274">
        <f>+P75*$X$1</f>
        <v>2913</v>
      </c>
      <c r="R75" s="559">
        <v>2909</v>
      </c>
      <c r="S75" s="579">
        <f>+R75*$X$1</f>
        <v>2909</v>
      </c>
      <c r="T75" s="559">
        <v>2713</v>
      </c>
      <c r="U75" s="257">
        <f>+T75*$X$1</f>
        <v>2713</v>
      </c>
      <c r="V75" s="621"/>
      <c r="W75" s="315"/>
      <c r="X75" s="831"/>
      <c r="Y75" s="832"/>
      <c r="Z75" s="832"/>
      <c r="AA75" s="832"/>
      <c r="AB75" s="178" t="s">
        <v>79</v>
      </c>
      <c r="AC75" s="8"/>
      <c r="AD75" s="8"/>
      <c r="AE75" s="8"/>
      <c r="AF75" s="8"/>
      <c r="AG75" s="8"/>
      <c r="AH75" s="53"/>
      <c r="AI75" s="53"/>
      <c r="AJ75" s="53"/>
      <c r="AK75" s="8"/>
      <c r="AL75" s="8"/>
    </row>
    <row r="76" spans="1:38" ht="12.6" customHeight="1" x14ac:dyDescent="0.2">
      <c r="A76" s="88"/>
      <c r="B76" s="98"/>
      <c r="C76" s="64"/>
      <c r="D76" s="64"/>
      <c r="E76" s="64"/>
      <c r="F76" s="169"/>
      <c r="G76" s="169"/>
      <c r="H76" s="169"/>
      <c r="I76" s="169"/>
      <c r="J76" s="169"/>
      <c r="K76" s="169"/>
      <c r="L76" s="99"/>
      <c r="M76" s="99"/>
      <c r="N76" s="100"/>
      <c r="O76" s="100"/>
      <c r="P76" s="100"/>
      <c r="Q76" s="101"/>
      <c r="R76" s="81"/>
      <c r="S76" s="60"/>
      <c r="T76" s="60"/>
      <c r="U76" s="60"/>
      <c r="V76" s="60"/>
      <c r="W76" s="60"/>
      <c r="X76" s="72"/>
      <c r="AB76" s="97"/>
    </row>
    <row r="77" spans="1:38" ht="12.6" customHeight="1" x14ac:dyDescent="0.2">
      <c r="A77" s="88"/>
      <c r="B77" s="98"/>
      <c r="C77" s="535"/>
      <c r="D77" s="535"/>
      <c r="E77" s="535"/>
      <c r="F77" s="218"/>
      <c r="G77" s="218"/>
      <c r="H77" s="218"/>
      <c r="I77" s="218"/>
      <c r="J77" s="218"/>
      <c r="K77" s="218"/>
      <c r="L77" s="99"/>
      <c r="M77" s="99"/>
      <c r="N77" s="100"/>
      <c r="O77" s="100"/>
      <c r="P77" s="100"/>
      <c r="Q77" s="101"/>
      <c r="R77" s="81"/>
      <c r="S77" s="60"/>
      <c r="T77" s="60"/>
      <c r="U77" s="60"/>
      <c r="V77" s="60"/>
      <c r="W77" s="60"/>
      <c r="X77" s="72"/>
      <c r="AB77" s="97"/>
    </row>
    <row r="78" spans="1:38" ht="12.6" customHeight="1" x14ac:dyDescent="0.2">
      <c r="A78" s="88"/>
      <c r="B78" s="98"/>
      <c r="C78" s="219"/>
      <c r="D78" s="219"/>
      <c r="E78" s="219"/>
      <c r="F78" s="218"/>
      <c r="G78" s="218"/>
      <c r="H78" s="218"/>
      <c r="I78" s="218"/>
      <c r="J78" s="218"/>
      <c r="K78" s="218"/>
      <c r="L78" s="99"/>
      <c r="M78" s="99"/>
      <c r="N78" s="100"/>
      <c r="O78" s="100"/>
      <c r="P78" s="100"/>
      <c r="Q78" s="101"/>
      <c r="R78" s="81"/>
      <c r="S78" s="60"/>
      <c r="T78" s="60"/>
      <c r="U78" s="60"/>
      <c r="V78" s="60"/>
      <c r="W78" s="60"/>
      <c r="X78" s="72"/>
      <c r="AB78" s="97"/>
    </row>
    <row r="79" spans="1:38" ht="15.75" customHeight="1" x14ac:dyDescent="0.2">
      <c r="A79" s="17"/>
      <c r="B79" s="796" t="s">
        <v>11</v>
      </c>
      <c r="C79" s="765" t="s">
        <v>12</v>
      </c>
      <c r="D79" s="766"/>
      <c r="E79" s="766"/>
      <c r="F79" s="649" t="s">
        <v>13</v>
      </c>
      <c r="G79" s="649" t="s">
        <v>13</v>
      </c>
      <c r="H79" s="651" t="s">
        <v>742</v>
      </c>
      <c r="I79" s="651"/>
      <c r="J79" s="652"/>
      <c r="K79" s="652"/>
      <c r="L79" s="652"/>
      <c r="M79" s="652"/>
      <c r="N79" s="652"/>
      <c r="O79" s="652"/>
      <c r="P79" s="652"/>
      <c r="Q79" s="652"/>
      <c r="R79" s="652"/>
      <c r="S79" s="652"/>
      <c r="T79" s="652"/>
      <c r="U79" s="652"/>
      <c r="V79" s="652"/>
      <c r="W79" s="652"/>
      <c r="X79" s="653" t="s">
        <v>14</v>
      </c>
      <c r="Y79" s="702"/>
      <c r="Z79" s="702"/>
      <c r="AA79" s="703"/>
      <c r="AB79" s="638" t="s">
        <v>15</v>
      </c>
      <c r="AF79" s="640" t="s">
        <v>3</v>
      </c>
      <c r="AG79" s="641"/>
      <c r="AH79" s="641"/>
    </row>
    <row r="80" spans="1:38" ht="12" customHeight="1" x14ac:dyDescent="0.2">
      <c r="A80" s="17"/>
      <c r="B80" s="796"/>
      <c r="C80" s="766"/>
      <c r="D80" s="766"/>
      <c r="E80" s="766"/>
      <c r="F80" s="650"/>
      <c r="G80" s="650"/>
      <c r="H80" s="415"/>
      <c r="I80" s="413" t="s">
        <v>267</v>
      </c>
      <c r="J80" s="415"/>
      <c r="K80" s="413" t="s">
        <v>17</v>
      </c>
      <c r="L80" s="416"/>
      <c r="M80" s="416" t="s">
        <v>18</v>
      </c>
      <c r="N80" s="416"/>
      <c r="O80" s="413" t="s">
        <v>19</v>
      </c>
      <c r="P80" s="416"/>
      <c r="Q80" s="416" t="s">
        <v>268</v>
      </c>
      <c r="R80" s="416"/>
      <c r="S80" s="416" t="s">
        <v>20</v>
      </c>
      <c r="T80" s="416"/>
      <c r="U80" s="416" t="s">
        <v>21</v>
      </c>
      <c r="V80" s="416"/>
      <c r="W80" s="416" t="s">
        <v>22</v>
      </c>
      <c r="X80" s="704"/>
      <c r="Y80" s="705"/>
      <c r="Z80" s="705"/>
      <c r="AA80" s="706"/>
      <c r="AB80" s="639"/>
    </row>
    <row r="81" spans="1:34" ht="12.6" customHeight="1" x14ac:dyDescent="0.2">
      <c r="A81" s="17"/>
      <c r="B81" s="690" t="s">
        <v>80</v>
      </c>
      <c r="C81" s="740"/>
      <c r="D81" s="740"/>
      <c r="E81" s="980"/>
      <c r="F81" s="865" t="s">
        <v>610</v>
      </c>
      <c r="G81" s="866"/>
      <c r="H81" s="866"/>
      <c r="I81" s="866"/>
      <c r="J81" s="608"/>
      <c r="K81" s="422"/>
      <c r="L81" s="609"/>
      <c r="M81" s="273"/>
      <c r="N81" s="93"/>
      <c r="O81" s="302"/>
      <c r="P81" s="610"/>
      <c r="Q81" s="302"/>
      <c r="R81" s="93"/>
      <c r="S81" s="273"/>
      <c r="T81" s="93"/>
      <c r="U81" s="273"/>
      <c r="V81" s="93"/>
      <c r="W81" s="273"/>
      <c r="X81" s="119"/>
      <c r="Y81" s="119"/>
      <c r="Z81" s="119"/>
      <c r="AA81" s="119"/>
      <c r="AB81" s="361" t="s">
        <v>81</v>
      </c>
      <c r="AC81" s="357" t="s">
        <v>82</v>
      </c>
      <c r="AD81" s="357" t="s">
        <v>83</v>
      </c>
      <c r="AE81" s="357" t="s">
        <v>84</v>
      </c>
      <c r="AF81" s="357" t="s">
        <v>85</v>
      </c>
      <c r="AG81" s="357" t="s">
        <v>86</v>
      </c>
    </row>
    <row r="82" spans="1:34" ht="12.6" customHeight="1" x14ac:dyDescent="0.2">
      <c r="A82" s="17"/>
      <c r="B82" s="667" t="s">
        <v>87</v>
      </c>
      <c r="C82" s="668"/>
      <c r="D82" s="668"/>
      <c r="E82" s="854"/>
      <c r="F82" s="867"/>
      <c r="G82" s="866"/>
      <c r="H82" s="866"/>
      <c r="I82" s="866"/>
      <c r="J82" s="238"/>
      <c r="K82" s="251"/>
      <c r="L82" s="269"/>
      <c r="M82" s="258"/>
      <c r="N82" s="92"/>
      <c r="O82" s="278"/>
      <c r="P82" s="253"/>
      <c r="Q82" s="303"/>
      <c r="R82" s="92"/>
      <c r="S82" s="272"/>
      <c r="T82" s="92"/>
      <c r="U82" s="258"/>
      <c r="V82" s="576"/>
      <c r="W82" s="258"/>
      <c r="X82" s="122"/>
      <c r="Y82" s="122"/>
      <c r="Z82" s="122"/>
      <c r="AA82" s="122"/>
      <c r="AB82" s="361" t="s">
        <v>88</v>
      </c>
      <c r="AC82" s="357" t="s">
        <v>89</v>
      </c>
      <c r="AD82" s="357" t="s">
        <v>90</v>
      </c>
      <c r="AE82" s="357" t="s">
        <v>91</v>
      </c>
      <c r="AF82" s="357" t="s">
        <v>92</v>
      </c>
      <c r="AG82" s="357" t="s">
        <v>93</v>
      </c>
      <c r="AH82" s="357" t="s">
        <v>94</v>
      </c>
    </row>
    <row r="83" spans="1:34" ht="12.6" customHeight="1" x14ac:dyDescent="0.25">
      <c r="A83" s="17"/>
      <c r="B83" s="672" t="s">
        <v>95</v>
      </c>
      <c r="C83" s="673"/>
      <c r="D83" s="673"/>
      <c r="E83" s="830"/>
      <c r="F83" s="867"/>
      <c r="G83" s="866"/>
      <c r="H83" s="866"/>
      <c r="I83" s="866"/>
      <c r="J83" s="240"/>
      <c r="K83" s="252"/>
      <c r="L83" s="434"/>
      <c r="M83" s="257"/>
      <c r="N83" s="559"/>
      <c r="O83" s="279"/>
      <c r="P83" s="284"/>
      <c r="Q83" s="274"/>
      <c r="R83" s="559"/>
      <c r="S83" s="235"/>
      <c r="T83" s="559"/>
      <c r="U83" s="257"/>
      <c r="V83" s="559"/>
      <c r="W83" s="257"/>
      <c r="X83" s="855"/>
      <c r="Y83" s="856"/>
      <c r="Z83" s="856"/>
      <c r="AA83" s="171"/>
      <c r="AB83" s="361" t="s">
        <v>96</v>
      </c>
      <c r="AC83" s="357" t="s">
        <v>97</v>
      </c>
      <c r="AD83" s="357" t="s">
        <v>98</v>
      </c>
      <c r="AE83" s="357" t="s">
        <v>99</v>
      </c>
      <c r="AF83" s="357" t="s">
        <v>100</v>
      </c>
      <c r="AG83" s="362" t="s">
        <v>101</v>
      </c>
      <c r="AH83" s="357" t="s">
        <v>102</v>
      </c>
    </row>
    <row r="84" spans="1:34" ht="12.6" customHeight="1" x14ac:dyDescent="0.25">
      <c r="A84" s="17"/>
      <c r="B84" s="667" t="s">
        <v>103</v>
      </c>
      <c r="C84" s="668"/>
      <c r="D84" s="668"/>
      <c r="E84" s="854"/>
      <c r="F84" s="867"/>
      <c r="G84" s="866"/>
      <c r="H84" s="866"/>
      <c r="I84" s="866"/>
      <c r="J84" s="238"/>
      <c r="K84" s="251"/>
      <c r="L84" s="269"/>
      <c r="M84" s="258"/>
      <c r="N84" s="576"/>
      <c r="O84" s="278"/>
      <c r="P84" s="253"/>
      <c r="Q84" s="303"/>
      <c r="R84" s="576"/>
      <c r="S84" s="272"/>
      <c r="T84" s="576"/>
      <c r="U84" s="258"/>
      <c r="V84" s="576"/>
      <c r="W84" s="258"/>
      <c r="X84" s="855"/>
      <c r="Y84" s="856"/>
      <c r="Z84" s="856"/>
      <c r="AA84" s="171"/>
      <c r="AB84" s="361" t="s">
        <v>104</v>
      </c>
      <c r="AC84" s="363" t="s">
        <v>105</v>
      </c>
      <c r="AD84" s="363" t="s">
        <v>106</v>
      </c>
      <c r="AE84" s="363" t="s">
        <v>107</v>
      </c>
      <c r="AF84" s="363" t="s">
        <v>108</v>
      </c>
      <c r="AG84" s="28"/>
    </row>
    <row r="85" spans="1:34" ht="12.6" customHeight="1" x14ac:dyDescent="0.2">
      <c r="A85" s="17"/>
      <c r="B85" s="672" t="s">
        <v>109</v>
      </c>
      <c r="C85" s="673"/>
      <c r="D85" s="673"/>
      <c r="E85" s="830"/>
      <c r="F85" s="867"/>
      <c r="G85" s="866"/>
      <c r="H85" s="866"/>
      <c r="I85" s="866"/>
      <c r="J85" s="240"/>
      <c r="K85" s="252"/>
      <c r="L85" s="434"/>
      <c r="M85" s="257"/>
      <c r="N85" s="559"/>
      <c r="O85" s="279"/>
      <c r="P85" s="284"/>
      <c r="Q85" s="274"/>
      <c r="R85" s="559"/>
      <c r="S85" s="235"/>
      <c r="T85" s="559"/>
      <c r="U85" s="257"/>
      <c r="V85" s="559"/>
      <c r="W85" s="257"/>
      <c r="X85" s="136"/>
      <c r="Y85" s="136"/>
      <c r="Z85" s="136"/>
      <c r="AA85" s="136"/>
      <c r="AB85" s="29" t="s">
        <v>110</v>
      </c>
      <c r="AC85" s="357" t="s">
        <v>111</v>
      </c>
      <c r="AD85" s="357" t="s">
        <v>112</v>
      </c>
      <c r="AE85" s="357" t="s">
        <v>113</v>
      </c>
      <c r="AF85" s="357" t="s">
        <v>114</v>
      </c>
      <c r="AG85" s="357" t="s">
        <v>115</v>
      </c>
    </row>
    <row r="86" spans="1:34" ht="12.6" customHeight="1" x14ac:dyDescent="0.2">
      <c r="A86" s="17"/>
      <c r="B86" s="667" t="s">
        <v>116</v>
      </c>
      <c r="C86" s="668"/>
      <c r="D86" s="668"/>
      <c r="E86" s="854"/>
      <c r="F86" s="867"/>
      <c r="G86" s="866"/>
      <c r="H86" s="866"/>
      <c r="I86" s="866"/>
      <c r="J86" s="238"/>
      <c r="K86" s="251"/>
      <c r="L86" s="269"/>
      <c r="M86" s="258"/>
      <c r="N86" s="576"/>
      <c r="O86" s="278"/>
      <c r="P86" s="253"/>
      <c r="Q86" s="303"/>
      <c r="R86" s="576"/>
      <c r="S86" s="272"/>
      <c r="T86" s="576"/>
      <c r="U86" s="258"/>
      <c r="V86" s="576"/>
      <c r="W86" s="258"/>
      <c r="X86" s="136"/>
      <c r="Y86" s="136"/>
      <c r="Z86" s="136"/>
      <c r="AA86" s="136"/>
      <c r="AB86" s="29" t="s">
        <v>117</v>
      </c>
      <c r="AC86" s="363" t="s">
        <v>118</v>
      </c>
      <c r="AD86" s="363" t="s">
        <v>119</v>
      </c>
      <c r="AE86" s="363" t="s">
        <v>120</v>
      </c>
    </row>
    <row r="87" spans="1:34" ht="12.6" customHeight="1" x14ac:dyDescent="0.25">
      <c r="A87" s="17"/>
      <c r="B87" s="672" t="s">
        <v>1003</v>
      </c>
      <c r="C87" s="673"/>
      <c r="D87" s="673"/>
      <c r="E87" s="830"/>
      <c r="F87" s="867"/>
      <c r="G87" s="866"/>
      <c r="H87" s="866"/>
      <c r="I87" s="866"/>
      <c r="J87" s="240"/>
      <c r="K87" s="252"/>
      <c r="L87" s="434"/>
      <c r="M87" s="257"/>
      <c r="N87" s="559"/>
      <c r="O87" s="279"/>
      <c r="P87" s="284"/>
      <c r="Q87" s="274"/>
      <c r="R87" s="559"/>
      <c r="S87" s="235"/>
      <c r="T87" s="559"/>
      <c r="U87" s="257"/>
      <c r="V87" s="559"/>
      <c r="W87" s="257"/>
      <c r="X87" s="855"/>
      <c r="Y87" s="856"/>
      <c r="Z87" s="856"/>
      <c r="AA87" s="171"/>
      <c r="AB87" s="29" t="s">
        <v>121</v>
      </c>
      <c r="AC87" s="357" t="s">
        <v>122</v>
      </c>
      <c r="AD87" s="357" t="s">
        <v>123</v>
      </c>
      <c r="AE87" s="357" t="s">
        <v>124</v>
      </c>
      <c r="AF87" s="357" t="s">
        <v>125</v>
      </c>
      <c r="AG87" s="357" t="s">
        <v>126</v>
      </c>
      <c r="AH87" s="357" t="s">
        <v>127</v>
      </c>
    </row>
    <row r="88" spans="1:34" ht="12.6" customHeight="1" x14ac:dyDescent="0.25">
      <c r="A88" s="17"/>
      <c r="B88" s="667" t="s">
        <v>128</v>
      </c>
      <c r="C88" s="668"/>
      <c r="D88" s="668"/>
      <c r="E88" s="854"/>
      <c r="F88" s="867"/>
      <c r="G88" s="866"/>
      <c r="H88" s="866"/>
      <c r="I88" s="866"/>
      <c r="J88" s="238"/>
      <c r="K88" s="251"/>
      <c r="L88" s="269"/>
      <c r="M88" s="258"/>
      <c r="N88" s="576"/>
      <c r="O88" s="278"/>
      <c r="P88" s="253"/>
      <c r="Q88" s="303"/>
      <c r="R88" s="576"/>
      <c r="S88" s="272"/>
      <c r="T88" s="576"/>
      <c r="U88" s="258"/>
      <c r="V88" s="576"/>
      <c r="W88" s="258"/>
      <c r="X88" s="855"/>
      <c r="Y88" s="856"/>
      <c r="Z88" s="856"/>
      <c r="AA88" s="171"/>
      <c r="AB88" s="359" t="s">
        <v>129</v>
      </c>
      <c r="AC88" s="61"/>
      <c r="AD88" s="61"/>
      <c r="AE88" s="61"/>
      <c r="AF88" s="61"/>
      <c r="AG88" s="61"/>
    </row>
    <row r="89" spans="1:34" ht="12.6" customHeight="1" x14ac:dyDescent="0.2">
      <c r="A89" s="17"/>
      <c r="B89" s="672" t="s">
        <v>130</v>
      </c>
      <c r="C89" s="673"/>
      <c r="D89" s="673"/>
      <c r="E89" s="830"/>
      <c r="F89" s="867"/>
      <c r="G89" s="866"/>
      <c r="H89" s="866"/>
      <c r="I89" s="866"/>
      <c r="J89" s="240"/>
      <c r="K89" s="252"/>
      <c r="L89" s="434"/>
      <c r="M89" s="257"/>
      <c r="N89" s="559"/>
      <c r="O89" s="279"/>
      <c r="P89" s="284"/>
      <c r="Q89" s="274"/>
      <c r="R89" s="559"/>
      <c r="S89" s="235"/>
      <c r="T89" s="559"/>
      <c r="U89" s="257"/>
      <c r="V89" s="559"/>
      <c r="W89" s="257"/>
      <c r="X89" s="135"/>
      <c r="Y89" s="135"/>
      <c r="Z89" s="135"/>
      <c r="AA89" s="135"/>
      <c r="AB89" s="357" t="s">
        <v>131</v>
      </c>
      <c r="AC89" s="61"/>
      <c r="AD89" s="61"/>
      <c r="AE89" s="61"/>
      <c r="AF89" s="61"/>
      <c r="AG89" s="61"/>
    </row>
    <row r="90" spans="1:34" ht="12.6" customHeight="1" x14ac:dyDescent="0.2">
      <c r="A90" s="17"/>
      <c r="B90" s="667" t="s">
        <v>132</v>
      </c>
      <c r="C90" s="668"/>
      <c r="D90" s="668"/>
      <c r="E90" s="854"/>
      <c r="F90" s="867"/>
      <c r="G90" s="866"/>
      <c r="H90" s="866"/>
      <c r="I90" s="866"/>
      <c r="J90" s="238"/>
      <c r="K90" s="251"/>
      <c r="L90" s="269"/>
      <c r="M90" s="258"/>
      <c r="N90" s="576"/>
      <c r="O90" s="278"/>
      <c r="P90" s="253"/>
      <c r="Q90" s="278"/>
      <c r="R90" s="576"/>
      <c r="S90" s="278"/>
      <c r="T90" s="576"/>
      <c r="U90" s="258"/>
      <c r="V90" s="576"/>
      <c r="W90" s="258"/>
      <c r="X90" s="135"/>
      <c r="Y90" s="135"/>
      <c r="Z90" s="135"/>
      <c r="AA90" s="135"/>
      <c r="AB90" s="357" t="s">
        <v>133</v>
      </c>
      <c r="AC90" s="61"/>
      <c r="AD90" s="61"/>
      <c r="AE90" s="61"/>
      <c r="AF90" s="61"/>
      <c r="AG90" s="61"/>
    </row>
    <row r="91" spans="1:34" ht="12.6" customHeight="1" x14ac:dyDescent="0.2">
      <c r="A91" s="17"/>
      <c r="B91" s="672" t="s">
        <v>134</v>
      </c>
      <c r="C91" s="673"/>
      <c r="D91" s="673"/>
      <c r="E91" s="830"/>
      <c r="F91" s="868"/>
      <c r="G91" s="869"/>
      <c r="H91" s="869"/>
      <c r="I91" s="869"/>
      <c r="J91" s="240"/>
      <c r="K91" s="252"/>
      <c r="L91" s="434"/>
      <c r="M91" s="257"/>
      <c r="N91" s="559"/>
      <c r="O91" s="311"/>
      <c r="P91" s="284"/>
      <c r="Q91" s="274"/>
      <c r="R91" s="102"/>
      <c r="S91" s="567"/>
      <c r="T91" s="559"/>
      <c r="U91" s="257"/>
      <c r="V91" s="559"/>
      <c r="W91" s="257"/>
      <c r="X91" s="119"/>
      <c r="Y91" s="119"/>
      <c r="Z91" s="119"/>
      <c r="AA91" s="119"/>
      <c r="AB91" s="360" t="s">
        <v>135</v>
      </c>
      <c r="AC91" s="357" t="s">
        <v>136</v>
      </c>
      <c r="AD91" s="357" t="s">
        <v>137</v>
      </c>
      <c r="AE91" s="357" t="s">
        <v>138</v>
      </c>
      <c r="AF91" s="357" t="s">
        <v>139</v>
      </c>
      <c r="AG91" s="357" t="s">
        <v>140</v>
      </c>
    </row>
    <row r="92" spans="1:34" ht="12.6" customHeight="1" x14ac:dyDescent="0.2">
      <c r="A92" s="17"/>
      <c r="B92" s="667" t="s">
        <v>424</v>
      </c>
      <c r="C92" s="668"/>
      <c r="D92" s="668"/>
      <c r="E92" s="668"/>
      <c r="F92" s="258"/>
      <c r="G92" s="303"/>
      <c r="H92" s="238"/>
      <c r="I92" s="607"/>
      <c r="J92" s="576"/>
      <c r="K92" s="258"/>
      <c r="L92" s="576"/>
      <c r="M92" s="258"/>
      <c r="N92" s="576"/>
      <c r="O92" s="258"/>
      <c r="P92" s="576"/>
      <c r="Q92" s="258"/>
      <c r="R92" s="576"/>
      <c r="S92" s="258"/>
      <c r="T92" s="576"/>
      <c r="U92" s="258"/>
      <c r="V92" s="82"/>
      <c r="W92" s="307"/>
      <c r="X92" s="146"/>
      <c r="Y92" s="122"/>
      <c r="Z92" s="122"/>
      <c r="AA92" s="125"/>
      <c r="AB92" s="358">
        <v>117</v>
      </c>
    </row>
    <row r="93" spans="1:34" ht="12.6" customHeight="1" x14ac:dyDescent="0.2">
      <c r="A93" s="17"/>
      <c r="B93" s="678" t="s">
        <v>442</v>
      </c>
      <c r="C93" s="679"/>
      <c r="D93" s="679"/>
      <c r="E93" s="680"/>
      <c r="F93" s="257"/>
      <c r="G93" s="274"/>
      <c r="H93" s="240"/>
      <c r="I93" s="252"/>
      <c r="J93" s="559"/>
      <c r="K93" s="257"/>
      <c r="L93" s="559"/>
      <c r="M93" s="257"/>
      <c r="N93" s="559"/>
      <c r="O93" s="257"/>
      <c r="P93" s="559"/>
      <c r="Q93" s="257"/>
      <c r="R93" s="559"/>
      <c r="S93" s="257"/>
      <c r="T93" s="559"/>
      <c r="U93" s="257"/>
      <c r="V93" s="68"/>
      <c r="W93" s="308"/>
      <c r="X93" s="146"/>
      <c r="Y93" s="122"/>
      <c r="Z93" s="122"/>
      <c r="AA93" s="125"/>
      <c r="AB93" s="358"/>
    </row>
    <row r="94" spans="1:34" ht="12.6" customHeight="1" x14ac:dyDescent="0.2">
      <c r="A94" s="17"/>
      <c r="B94" s="667" t="s">
        <v>425</v>
      </c>
      <c r="C94" s="668"/>
      <c r="D94" s="668"/>
      <c r="E94" s="668"/>
      <c r="F94" s="258"/>
      <c r="G94" s="303"/>
      <c r="H94" s="238"/>
      <c r="I94" s="251"/>
      <c r="J94" s="576"/>
      <c r="K94" s="258"/>
      <c r="L94" s="576"/>
      <c r="M94" s="258"/>
      <c r="N94" s="576"/>
      <c r="O94" s="258"/>
      <c r="P94" s="576"/>
      <c r="Q94" s="258"/>
      <c r="R94" s="576"/>
      <c r="S94" s="258"/>
      <c r="T94" s="576"/>
      <c r="U94" s="258"/>
      <c r="V94" s="82"/>
      <c r="W94" s="307"/>
      <c r="X94" s="146"/>
      <c r="Y94" s="122"/>
      <c r="Z94" s="122"/>
      <c r="AA94" s="125"/>
      <c r="AB94" s="358">
        <v>129</v>
      </c>
    </row>
    <row r="95" spans="1:34" ht="12.6" customHeight="1" x14ac:dyDescent="0.2">
      <c r="A95" s="94"/>
      <c r="B95" s="977" t="s">
        <v>356</v>
      </c>
      <c r="C95" s="875"/>
      <c r="D95" s="875"/>
      <c r="E95" s="875"/>
      <c r="F95" s="468">
        <v>790</v>
      </c>
      <c r="G95" s="474">
        <f t="shared" ref="G95:G99" si="197">+F95*$X$1</f>
        <v>790</v>
      </c>
      <c r="H95" s="470"/>
      <c r="I95" s="470"/>
      <c r="J95" s="547">
        <f>F95+200</f>
        <v>990</v>
      </c>
      <c r="K95" s="548">
        <f>+J95*$X$1</f>
        <v>990</v>
      </c>
      <c r="L95" s="549">
        <f>F95+150</f>
        <v>940</v>
      </c>
      <c r="M95" s="548">
        <f t="shared" ref="M95:M96" si="198">+L95*$X$1</f>
        <v>940</v>
      </c>
      <c r="N95" s="475">
        <f>F95+7.2</f>
        <v>797.2</v>
      </c>
      <c r="O95" s="978" t="s">
        <v>141</v>
      </c>
      <c r="P95" s="979"/>
      <c r="Q95" s="979"/>
      <c r="R95" s="979"/>
      <c r="S95" s="979"/>
      <c r="T95" s="979"/>
      <c r="U95" s="979"/>
      <c r="V95" s="979"/>
      <c r="W95" s="979"/>
      <c r="X95" s="147"/>
      <c r="Y95" s="122"/>
      <c r="Z95" s="122"/>
      <c r="AA95" s="125"/>
      <c r="AB95" s="364">
        <v>247</v>
      </c>
    </row>
    <row r="96" spans="1:34" ht="12.6" customHeight="1" x14ac:dyDescent="0.2">
      <c r="A96" s="88"/>
      <c r="B96" s="687" t="s">
        <v>456</v>
      </c>
      <c r="C96" s="688"/>
      <c r="D96" s="688"/>
      <c r="E96" s="689"/>
      <c r="F96" s="334">
        <f>2.631*X2</f>
        <v>3499.2299999999996</v>
      </c>
      <c r="G96" s="278">
        <f>+F96*$X$1</f>
        <v>3499.2299999999996</v>
      </c>
      <c r="H96" s="251"/>
      <c r="I96" s="251"/>
      <c r="J96" s="82">
        <f>F96+200</f>
        <v>3699.2299999999996</v>
      </c>
      <c r="K96" s="258">
        <f t="shared" ref="K96" si="199">+J96*$X$1</f>
        <v>3699.2299999999996</v>
      </c>
      <c r="L96" s="576">
        <f t="shared" ref="L96" si="200">F96+150</f>
        <v>3649.2299999999996</v>
      </c>
      <c r="M96" s="258">
        <f t="shared" si="198"/>
        <v>3649.2299999999996</v>
      </c>
      <c r="N96" s="576">
        <f t="shared" ref="N96" si="201">F96+110</f>
        <v>3609.2299999999996</v>
      </c>
      <c r="O96" s="258">
        <f t="shared" ref="O96" si="202">+N96*$X$1</f>
        <v>3609.2299999999996</v>
      </c>
      <c r="P96" s="576">
        <f t="shared" ref="P96" si="203">F96+100</f>
        <v>3599.2299999999996</v>
      </c>
      <c r="Q96" s="258">
        <f t="shared" ref="Q96" si="204">+P96*$X$1</f>
        <v>3599.2299999999996</v>
      </c>
      <c r="R96" s="576">
        <f t="shared" ref="R96" si="205">F96+80</f>
        <v>3579.2299999999996</v>
      </c>
      <c r="S96" s="258">
        <f t="shared" ref="S96" si="206">+R96*$X$1</f>
        <v>3579.2299999999996</v>
      </c>
      <c r="T96" s="576">
        <f t="shared" ref="T96" si="207">F96+65</f>
        <v>3564.2299999999996</v>
      </c>
      <c r="U96" s="258">
        <f t="shared" ref="U96" si="208">+T96*$X$1</f>
        <v>3564.2299999999996</v>
      </c>
      <c r="V96" s="576">
        <f t="shared" ref="V96" si="209">F96+56</f>
        <v>3555.2299999999996</v>
      </c>
      <c r="W96" s="258">
        <f t="shared" ref="W96" si="210">+V96*$X$1</f>
        <v>3555.2299999999996</v>
      </c>
      <c r="X96" s="147"/>
      <c r="Y96" s="122"/>
      <c r="Z96" s="122"/>
      <c r="AA96" s="125"/>
      <c r="AB96" s="364">
        <v>249</v>
      </c>
    </row>
    <row r="97" spans="1:29" ht="12.6" customHeight="1" x14ac:dyDescent="0.2">
      <c r="A97" s="17"/>
      <c r="B97" s="672" t="s">
        <v>328</v>
      </c>
      <c r="C97" s="673"/>
      <c r="D97" s="673"/>
      <c r="E97" s="673"/>
      <c r="F97" s="257">
        <v>690</v>
      </c>
      <c r="G97" s="257">
        <f t="shared" si="197"/>
        <v>690</v>
      </c>
      <c r="H97" s="252"/>
      <c r="I97" s="252"/>
      <c r="J97" s="103">
        <f t="shared" ref="J97:J104" si="211">F97+200</f>
        <v>890</v>
      </c>
      <c r="K97" s="257">
        <f t="shared" ref="K97:K101" si="212">+J97*$X$1</f>
        <v>890</v>
      </c>
      <c r="L97" s="559"/>
      <c r="M97" s="559"/>
      <c r="N97" s="559">
        <f>F97+23</f>
        <v>713</v>
      </c>
      <c r="O97" s="559"/>
      <c r="P97" s="252"/>
      <c r="Q97" s="252"/>
      <c r="R97" s="559">
        <f>F97+15</f>
        <v>705</v>
      </c>
      <c r="S97" s="559"/>
      <c r="T97" s="559">
        <f>F97+12</f>
        <v>702</v>
      </c>
      <c r="U97" s="559"/>
      <c r="V97" s="559">
        <f>F97+10</f>
        <v>700</v>
      </c>
      <c r="W97" s="559"/>
      <c r="X97" s="148"/>
      <c r="Y97" s="122"/>
      <c r="Z97" s="122"/>
      <c r="AA97" s="125"/>
      <c r="AB97" s="365" t="s">
        <v>142</v>
      </c>
    </row>
    <row r="98" spans="1:29" ht="12.6" customHeight="1" x14ac:dyDescent="0.2">
      <c r="A98" s="17"/>
      <c r="B98" s="687" t="s">
        <v>446</v>
      </c>
      <c r="C98" s="852"/>
      <c r="D98" s="852"/>
      <c r="E98" s="853"/>
      <c r="F98" s="334">
        <f>12.04*X2</f>
        <v>16013.199999999999</v>
      </c>
      <c r="G98" s="258">
        <f t="shared" si="197"/>
        <v>16013.199999999999</v>
      </c>
      <c r="H98" s="568">
        <f>F98+600</f>
        <v>16613.199999999997</v>
      </c>
      <c r="I98" s="258">
        <f t="shared" ref="I98:I103" si="213">+H98*$X$1</f>
        <v>16613.199999999997</v>
      </c>
      <c r="J98" s="82">
        <f t="shared" si="211"/>
        <v>16213.199999999999</v>
      </c>
      <c r="K98" s="258">
        <f t="shared" si="212"/>
        <v>16213.199999999999</v>
      </c>
      <c r="L98" s="568">
        <f t="shared" ref="L98:L101" si="214">F98+150</f>
        <v>16163.199999999999</v>
      </c>
      <c r="M98" s="258">
        <f t="shared" ref="M98:M101" si="215">+L98*$X$1</f>
        <v>16163.199999999999</v>
      </c>
      <c r="N98" s="568">
        <f t="shared" ref="N98:N101" si="216">F98+110</f>
        <v>16123.199999999999</v>
      </c>
      <c r="O98" s="258">
        <f t="shared" ref="O98:O101" si="217">+N98*$X$1</f>
        <v>16123.199999999999</v>
      </c>
      <c r="P98" s="568">
        <f t="shared" ref="P98:P101" si="218">F98+100</f>
        <v>16113.199999999999</v>
      </c>
      <c r="Q98" s="258">
        <f t="shared" ref="Q98:Q101" si="219">+P98*$X$1</f>
        <v>16113.199999999999</v>
      </c>
      <c r="R98" s="568">
        <f t="shared" ref="R98:R101" si="220">F98+80</f>
        <v>16093.199999999999</v>
      </c>
      <c r="S98" s="258">
        <f t="shared" ref="S98:S101" si="221">+R98*$X$1</f>
        <v>16093.199999999999</v>
      </c>
      <c r="T98" s="568">
        <f t="shared" ref="T98:T101" si="222">F98+65</f>
        <v>16078.199999999999</v>
      </c>
      <c r="U98" s="258">
        <f t="shared" ref="U98:U101" si="223">+T98*$X$1</f>
        <v>16078.199999999999</v>
      </c>
      <c r="V98" s="568">
        <f t="shared" ref="V98:V101" si="224">F98+56</f>
        <v>16069.199999999999</v>
      </c>
      <c r="W98" s="258">
        <f t="shared" ref="W98:W101" si="225">+V98*$X$1</f>
        <v>16069.199999999999</v>
      </c>
      <c r="X98" s="149"/>
      <c r="Y98" s="122"/>
      <c r="Z98" s="122"/>
      <c r="AA98" s="125"/>
      <c r="AB98" s="365">
        <v>268</v>
      </c>
    </row>
    <row r="99" spans="1:29" ht="12.6" customHeight="1" x14ac:dyDescent="0.2">
      <c r="A99" s="17"/>
      <c r="B99" s="672" t="s">
        <v>601</v>
      </c>
      <c r="C99" s="673"/>
      <c r="D99" s="673"/>
      <c r="E99" s="673"/>
      <c r="F99" s="333">
        <f>4.49*X2</f>
        <v>5971.7000000000007</v>
      </c>
      <c r="G99" s="257">
        <f t="shared" si="197"/>
        <v>5971.7000000000007</v>
      </c>
      <c r="H99" s="559">
        <f t="shared" ref="H99:H101" si="226">F99+600</f>
        <v>6571.7000000000007</v>
      </c>
      <c r="I99" s="257">
        <f t="shared" si="213"/>
        <v>6571.7000000000007</v>
      </c>
      <c r="J99" s="68">
        <f t="shared" si="211"/>
        <v>6171.7000000000007</v>
      </c>
      <c r="K99" s="257">
        <f t="shared" si="212"/>
        <v>6171.7000000000007</v>
      </c>
      <c r="L99" s="559">
        <f t="shared" si="214"/>
        <v>6121.7000000000007</v>
      </c>
      <c r="M99" s="257">
        <f t="shared" si="215"/>
        <v>6121.7000000000007</v>
      </c>
      <c r="N99" s="559">
        <f t="shared" si="216"/>
        <v>6081.7000000000007</v>
      </c>
      <c r="O99" s="257">
        <f t="shared" si="217"/>
        <v>6081.7000000000007</v>
      </c>
      <c r="P99" s="559">
        <f t="shared" si="218"/>
        <v>6071.7000000000007</v>
      </c>
      <c r="Q99" s="257">
        <f t="shared" si="219"/>
        <v>6071.7000000000007</v>
      </c>
      <c r="R99" s="559">
        <f t="shared" si="220"/>
        <v>6051.7000000000007</v>
      </c>
      <c r="S99" s="257">
        <f t="shared" si="221"/>
        <v>6051.7000000000007</v>
      </c>
      <c r="T99" s="559">
        <f t="shared" si="222"/>
        <v>6036.7000000000007</v>
      </c>
      <c r="U99" s="257">
        <f t="shared" si="223"/>
        <v>6036.7000000000007</v>
      </c>
      <c r="V99" s="559">
        <f t="shared" si="224"/>
        <v>6027.7000000000007</v>
      </c>
      <c r="W99" s="257">
        <f t="shared" si="225"/>
        <v>6027.7000000000007</v>
      </c>
      <c r="X99" s="149"/>
      <c r="Y99" s="126"/>
      <c r="Z99" s="122"/>
      <c r="AA99" s="125"/>
      <c r="AB99" s="365">
        <v>270</v>
      </c>
      <c r="AC99" s="28"/>
    </row>
    <row r="100" spans="1:29" ht="12.6" customHeight="1" x14ac:dyDescent="0.2">
      <c r="A100" s="17"/>
      <c r="B100" s="667" t="s">
        <v>143</v>
      </c>
      <c r="C100" s="668"/>
      <c r="D100" s="668"/>
      <c r="E100" s="668"/>
      <c r="F100" s="334">
        <f>13.1*X2</f>
        <v>17423</v>
      </c>
      <c r="G100" s="258">
        <f t="shared" ref="G100:G101" si="227">+F100*$X$1</f>
        <v>17423</v>
      </c>
      <c r="H100" s="568">
        <f t="shared" si="226"/>
        <v>18023</v>
      </c>
      <c r="I100" s="258">
        <f t="shared" si="213"/>
        <v>18023</v>
      </c>
      <c r="J100" s="82">
        <f t="shared" si="211"/>
        <v>17623</v>
      </c>
      <c r="K100" s="258">
        <f t="shared" si="212"/>
        <v>17623</v>
      </c>
      <c r="L100" s="568">
        <f t="shared" si="214"/>
        <v>17573</v>
      </c>
      <c r="M100" s="258">
        <f t="shared" si="215"/>
        <v>17573</v>
      </c>
      <c r="N100" s="568">
        <f t="shared" si="216"/>
        <v>17533</v>
      </c>
      <c r="O100" s="258">
        <f t="shared" si="217"/>
        <v>17533</v>
      </c>
      <c r="P100" s="568">
        <f t="shared" si="218"/>
        <v>17523</v>
      </c>
      <c r="Q100" s="258">
        <f t="shared" si="219"/>
        <v>17523</v>
      </c>
      <c r="R100" s="568">
        <f t="shared" si="220"/>
        <v>17503</v>
      </c>
      <c r="S100" s="258">
        <f t="shared" si="221"/>
        <v>17503</v>
      </c>
      <c r="T100" s="568">
        <f t="shared" si="222"/>
        <v>17488</v>
      </c>
      <c r="U100" s="258">
        <f t="shared" si="223"/>
        <v>17488</v>
      </c>
      <c r="V100" s="568">
        <f t="shared" si="224"/>
        <v>17479</v>
      </c>
      <c r="W100" s="258">
        <f t="shared" si="225"/>
        <v>17479</v>
      </c>
      <c r="X100" s="148"/>
      <c r="Y100" s="122"/>
      <c r="Z100" s="122"/>
      <c r="AA100" s="125"/>
      <c r="AB100" s="365">
        <v>273</v>
      </c>
      <c r="AC100" s="28"/>
    </row>
    <row r="101" spans="1:29" ht="12.6" customHeight="1" x14ac:dyDescent="0.2">
      <c r="A101" s="17"/>
      <c r="B101" s="672" t="s">
        <v>144</v>
      </c>
      <c r="C101" s="673"/>
      <c r="D101" s="673"/>
      <c r="E101" s="673"/>
      <c r="F101" s="333">
        <f>8.7*X2</f>
        <v>11570.999999999998</v>
      </c>
      <c r="G101" s="257">
        <f t="shared" si="227"/>
        <v>11570.999999999998</v>
      </c>
      <c r="H101" s="559">
        <f t="shared" si="226"/>
        <v>12170.999999999998</v>
      </c>
      <c r="I101" s="257">
        <f t="shared" si="213"/>
        <v>12170.999999999998</v>
      </c>
      <c r="J101" s="68">
        <f t="shared" si="211"/>
        <v>11770.999999999998</v>
      </c>
      <c r="K101" s="257">
        <f t="shared" si="212"/>
        <v>11770.999999999998</v>
      </c>
      <c r="L101" s="559">
        <f t="shared" si="214"/>
        <v>11720.999999999998</v>
      </c>
      <c r="M101" s="257">
        <f t="shared" si="215"/>
        <v>11720.999999999998</v>
      </c>
      <c r="N101" s="559">
        <f t="shared" si="216"/>
        <v>11680.999999999998</v>
      </c>
      <c r="O101" s="257">
        <f t="shared" si="217"/>
        <v>11680.999999999998</v>
      </c>
      <c r="P101" s="559">
        <f t="shared" si="218"/>
        <v>11670.999999999998</v>
      </c>
      <c r="Q101" s="257">
        <f t="shared" si="219"/>
        <v>11670.999999999998</v>
      </c>
      <c r="R101" s="559">
        <f t="shared" si="220"/>
        <v>11650.999999999998</v>
      </c>
      <c r="S101" s="257">
        <f t="shared" si="221"/>
        <v>11650.999999999998</v>
      </c>
      <c r="T101" s="559">
        <f t="shared" si="222"/>
        <v>11635.999999999998</v>
      </c>
      <c r="U101" s="257">
        <f t="shared" si="223"/>
        <v>11635.999999999998</v>
      </c>
      <c r="V101" s="559">
        <f t="shared" si="224"/>
        <v>11626.999999999998</v>
      </c>
      <c r="W101" s="257">
        <f t="shared" si="225"/>
        <v>11626.999999999998</v>
      </c>
      <c r="X101" s="149"/>
      <c r="Y101" s="126"/>
      <c r="Z101" s="122"/>
      <c r="AA101" s="125"/>
      <c r="AB101" s="365">
        <v>278</v>
      </c>
      <c r="AC101" s="28"/>
    </row>
    <row r="102" spans="1:29" ht="12.6" customHeight="1" x14ac:dyDescent="0.2">
      <c r="A102" s="17"/>
      <c r="B102" s="667" t="s">
        <v>881</v>
      </c>
      <c r="C102" s="668"/>
      <c r="D102" s="668"/>
      <c r="E102" s="668"/>
      <c r="F102" s="334">
        <f>1.55*X2</f>
        <v>2061.5</v>
      </c>
      <c r="G102" s="258">
        <f>+F102*$X$1</f>
        <v>2061.5</v>
      </c>
      <c r="H102" s="82"/>
      <c r="I102" s="258"/>
      <c r="J102" s="82">
        <f t="shared" si="211"/>
        <v>2261.5</v>
      </c>
      <c r="K102" s="258">
        <f t="shared" ref="K102:K104" si="228">+J102*$X$1</f>
        <v>2261.5</v>
      </c>
      <c r="L102" s="568">
        <f t="shared" ref="L102:L104" si="229">F102+150</f>
        <v>2211.5</v>
      </c>
      <c r="M102" s="258">
        <f t="shared" ref="M102:M104" si="230">+L102*$X$1</f>
        <v>2211.5</v>
      </c>
      <c r="N102" s="568">
        <f t="shared" ref="N102:N104" si="231">F102+110</f>
        <v>2171.5</v>
      </c>
      <c r="O102" s="258">
        <f t="shared" ref="O102:O104" si="232">+N102*$X$1</f>
        <v>2171.5</v>
      </c>
      <c r="P102" s="568">
        <f t="shared" ref="P102:P104" si="233">F102+100</f>
        <v>2161.5</v>
      </c>
      <c r="Q102" s="258">
        <f t="shared" ref="Q102:Q104" si="234">+P102*$X$1</f>
        <v>2161.5</v>
      </c>
      <c r="R102" s="568">
        <f t="shared" ref="R102:R104" si="235">F102+80</f>
        <v>2141.5</v>
      </c>
      <c r="S102" s="258">
        <f t="shared" ref="S102:S104" si="236">+R102*$X$1</f>
        <v>2141.5</v>
      </c>
      <c r="T102" s="568">
        <f t="shared" ref="T102:T104" si="237">F102+65</f>
        <v>2126.5</v>
      </c>
      <c r="U102" s="258">
        <f t="shared" ref="U102:U104" si="238">+T102*$X$1</f>
        <v>2126.5</v>
      </c>
      <c r="V102" s="568">
        <f t="shared" ref="V102:V104" si="239">F102+56</f>
        <v>2117.5</v>
      </c>
      <c r="W102" s="258">
        <f t="shared" ref="W102:W104" si="240">+V102*$X$1</f>
        <v>2117.5</v>
      </c>
      <c r="X102" s="146"/>
      <c r="Y102" s="126"/>
      <c r="Z102" s="122"/>
      <c r="AA102" s="125"/>
      <c r="AB102" s="365">
        <v>285</v>
      </c>
      <c r="AC102" s="28"/>
    </row>
    <row r="103" spans="1:29" ht="12.6" customHeight="1" x14ac:dyDescent="0.2">
      <c r="A103" s="17"/>
      <c r="B103" s="711" t="s">
        <v>145</v>
      </c>
      <c r="C103" s="981"/>
      <c r="D103" s="981"/>
      <c r="E103" s="981"/>
      <c r="F103" s="333">
        <f>2.03*X2</f>
        <v>2699.8999999999996</v>
      </c>
      <c r="G103" s="257">
        <f>+F103*$X$1</f>
        <v>2699.8999999999996</v>
      </c>
      <c r="H103" s="559">
        <f>F103+600</f>
        <v>3299.8999999999996</v>
      </c>
      <c r="I103" s="257">
        <f t="shared" si="213"/>
        <v>3299.8999999999996</v>
      </c>
      <c r="J103" s="68">
        <f t="shared" si="211"/>
        <v>2899.8999999999996</v>
      </c>
      <c r="K103" s="257">
        <f t="shared" si="228"/>
        <v>2899.8999999999996</v>
      </c>
      <c r="L103" s="559">
        <f t="shared" si="229"/>
        <v>2849.8999999999996</v>
      </c>
      <c r="M103" s="257">
        <f t="shared" si="230"/>
        <v>2849.8999999999996</v>
      </c>
      <c r="N103" s="559">
        <f t="shared" si="231"/>
        <v>2809.8999999999996</v>
      </c>
      <c r="O103" s="257">
        <f t="shared" si="232"/>
        <v>2809.8999999999996</v>
      </c>
      <c r="P103" s="559">
        <f t="shared" si="233"/>
        <v>2799.8999999999996</v>
      </c>
      <c r="Q103" s="257">
        <f t="shared" si="234"/>
        <v>2799.8999999999996</v>
      </c>
      <c r="R103" s="559">
        <f t="shared" si="235"/>
        <v>2779.8999999999996</v>
      </c>
      <c r="S103" s="257">
        <f t="shared" si="236"/>
        <v>2779.8999999999996</v>
      </c>
      <c r="T103" s="559">
        <f t="shared" si="237"/>
        <v>2764.8999999999996</v>
      </c>
      <c r="U103" s="257">
        <f t="shared" si="238"/>
        <v>2764.8999999999996</v>
      </c>
      <c r="V103" s="559">
        <f t="shared" si="239"/>
        <v>2755.8999999999996</v>
      </c>
      <c r="W103" s="257">
        <f t="shared" si="240"/>
        <v>2755.8999999999996</v>
      </c>
      <c r="X103" s="146"/>
      <c r="Y103" s="126"/>
      <c r="Z103" s="122"/>
      <c r="AA103" s="125"/>
      <c r="AB103" s="365">
        <v>288</v>
      </c>
      <c r="AC103" s="28"/>
    </row>
    <row r="104" spans="1:29" ht="12.6" customHeight="1" x14ac:dyDescent="0.2">
      <c r="A104" s="17"/>
      <c r="B104" s="667" t="s">
        <v>146</v>
      </c>
      <c r="C104" s="668"/>
      <c r="D104" s="668"/>
      <c r="E104" s="668"/>
      <c r="F104" s="258">
        <v>460</v>
      </c>
      <c r="G104" s="258">
        <f>+F104*$X$1</f>
        <v>460</v>
      </c>
      <c r="H104" s="82"/>
      <c r="I104" s="258"/>
      <c r="J104" s="82">
        <f t="shared" si="211"/>
        <v>660</v>
      </c>
      <c r="K104" s="258">
        <f t="shared" si="228"/>
        <v>660</v>
      </c>
      <c r="L104" s="568">
        <f t="shared" si="229"/>
        <v>610</v>
      </c>
      <c r="M104" s="258">
        <f t="shared" si="230"/>
        <v>610</v>
      </c>
      <c r="N104" s="568">
        <f t="shared" si="231"/>
        <v>570</v>
      </c>
      <c r="O104" s="258">
        <f t="shared" si="232"/>
        <v>570</v>
      </c>
      <c r="P104" s="568">
        <f t="shared" si="233"/>
        <v>560</v>
      </c>
      <c r="Q104" s="258">
        <f t="shared" si="234"/>
        <v>560</v>
      </c>
      <c r="R104" s="568">
        <f t="shared" si="235"/>
        <v>540</v>
      </c>
      <c r="S104" s="258">
        <f t="shared" si="236"/>
        <v>540</v>
      </c>
      <c r="T104" s="568">
        <f t="shared" si="237"/>
        <v>525</v>
      </c>
      <c r="U104" s="258">
        <f t="shared" si="238"/>
        <v>525</v>
      </c>
      <c r="V104" s="568">
        <f t="shared" si="239"/>
        <v>516</v>
      </c>
      <c r="W104" s="258">
        <f t="shared" si="240"/>
        <v>516</v>
      </c>
      <c r="X104" s="146"/>
      <c r="Y104" s="126"/>
      <c r="Z104" s="122"/>
      <c r="AA104" s="125"/>
      <c r="AB104" s="365">
        <v>289</v>
      </c>
      <c r="AC104" s="28"/>
    </row>
    <row r="105" spans="1:29" ht="12.6" customHeight="1" x14ac:dyDescent="0.2">
      <c r="A105" s="17"/>
      <c r="B105" s="672" t="s">
        <v>147</v>
      </c>
      <c r="C105" s="673"/>
      <c r="D105" s="673"/>
      <c r="E105" s="673"/>
      <c r="F105" s="258"/>
      <c r="G105" s="726" t="s">
        <v>901</v>
      </c>
      <c r="H105" s="727"/>
      <c r="I105" s="727"/>
      <c r="J105" s="727"/>
      <c r="K105" s="727"/>
      <c r="L105" s="727"/>
      <c r="M105" s="727"/>
      <c r="N105" s="569">
        <v>750</v>
      </c>
      <c r="O105" s="257">
        <f t="shared" ref="O105:Q108" si="241">+N105*$X$1</f>
        <v>750</v>
      </c>
      <c r="P105" s="284">
        <v>724</v>
      </c>
      <c r="Q105" s="257">
        <f t="shared" si="241"/>
        <v>724</v>
      </c>
      <c r="R105" s="68">
        <v>664</v>
      </c>
      <c r="S105" s="257">
        <f t="shared" ref="S105:S108" si="242">+R105*$X$1</f>
        <v>664</v>
      </c>
      <c r="T105" s="559">
        <v>625</v>
      </c>
      <c r="U105" s="257">
        <f t="shared" ref="U105:U108" si="243">+T105*$X$1</f>
        <v>625</v>
      </c>
      <c r="V105" s="559">
        <v>534</v>
      </c>
      <c r="W105" s="257">
        <f t="shared" ref="W105:W108" si="244">+V105*$X$1</f>
        <v>534</v>
      </c>
      <c r="X105" s="820"/>
      <c r="Y105" s="821"/>
      <c r="Z105" s="821"/>
      <c r="AA105" s="822"/>
      <c r="AB105" s="365">
        <v>290</v>
      </c>
    </row>
    <row r="106" spans="1:29" ht="12.6" customHeight="1" x14ac:dyDescent="0.2">
      <c r="A106" s="17"/>
      <c r="B106" s="667" t="s">
        <v>367</v>
      </c>
      <c r="C106" s="668"/>
      <c r="D106" s="668"/>
      <c r="E106" s="668"/>
      <c r="F106" s="258"/>
      <c r="G106" s="726" t="s">
        <v>539</v>
      </c>
      <c r="H106" s="727"/>
      <c r="I106" s="727"/>
      <c r="J106" s="727"/>
      <c r="K106" s="727"/>
      <c r="L106" s="727"/>
      <c r="M106" s="728"/>
      <c r="N106" s="570">
        <v>910</v>
      </c>
      <c r="O106" s="258">
        <f t="shared" si="241"/>
        <v>910</v>
      </c>
      <c r="P106" s="253">
        <v>875</v>
      </c>
      <c r="Q106" s="258">
        <f t="shared" si="241"/>
        <v>875</v>
      </c>
      <c r="R106" s="82">
        <v>805</v>
      </c>
      <c r="S106" s="258">
        <f t="shared" si="242"/>
        <v>805</v>
      </c>
      <c r="T106" s="571">
        <v>757</v>
      </c>
      <c r="U106" s="258">
        <f t="shared" si="243"/>
        <v>757</v>
      </c>
      <c r="V106" s="571">
        <v>647</v>
      </c>
      <c r="W106" s="258">
        <f t="shared" si="244"/>
        <v>647</v>
      </c>
      <c r="X106" s="820"/>
      <c r="Y106" s="821"/>
      <c r="Z106" s="821"/>
      <c r="AA106" s="822"/>
      <c r="AB106" s="365" t="s">
        <v>148</v>
      </c>
    </row>
    <row r="107" spans="1:29" ht="12.6" customHeight="1" x14ac:dyDescent="0.2">
      <c r="A107" s="17"/>
      <c r="B107" s="672" t="s">
        <v>368</v>
      </c>
      <c r="C107" s="673"/>
      <c r="D107" s="673"/>
      <c r="E107" s="673"/>
      <c r="F107" s="258"/>
      <c r="G107" s="726" t="s">
        <v>538</v>
      </c>
      <c r="H107" s="727"/>
      <c r="I107" s="727"/>
      <c r="J107" s="727"/>
      <c r="K107" s="727"/>
      <c r="L107" s="727"/>
      <c r="M107" s="728"/>
      <c r="N107" s="284">
        <v>930</v>
      </c>
      <c r="O107" s="257">
        <f t="shared" ref="O107:O108" si="245">+N107*$X$1</f>
        <v>930</v>
      </c>
      <c r="P107" s="284">
        <v>903</v>
      </c>
      <c r="Q107" s="257">
        <f t="shared" si="241"/>
        <v>903</v>
      </c>
      <c r="R107" s="569">
        <v>831</v>
      </c>
      <c r="S107" s="257">
        <f t="shared" si="242"/>
        <v>831</v>
      </c>
      <c r="T107" s="559">
        <v>782</v>
      </c>
      <c r="U107" s="257">
        <f t="shared" si="243"/>
        <v>782</v>
      </c>
      <c r="V107" s="559">
        <v>667</v>
      </c>
      <c r="W107" s="257">
        <f t="shared" si="244"/>
        <v>667</v>
      </c>
      <c r="X107" s="820"/>
      <c r="Y107" s="821"/>
      <c r="Z107" s="821"/>
      <c r="AA107" s="822"/>
      <c r="AB107" s="365">
        <v>291</v>
      </c>
    </row>
    <row r="108" spans="1:29" ht="12.6" customHeight="1" x14ac:dyDescent="0.2">
      <c r="A108" s="17"/>
      <c r="B108" s="667" t="s">
        <v>369</v>
      </c>
      <c r="C108" s="668"/>
      <c r="D108" s="668"/>
      <c r="E108" s="668"/>
      <c r="F108" s="258"/>
      <c r="G108" s="726" t="s">
        <v>539</v>
      </c>
      <c r="H108" s="727"/>
      <c r="I108" s="727"/>
      <c r="J108" s="727"/>
      <c r="K108" s="727"/>
      <c r="L108" s="727"/>
      <c r="M108" s="728"/>
      <c r="N108" s="253">
        <v>1160</v>
      </c>
      <c r="O108" s="258">
        <f t="shared" si="245"/>
        <v>1160</v>
      </c>
      <c r="P108" s="253">
        <v>1130</v>
      </c>
      <c r="Q108" s="258">
        <f t="shared" si="241"/>
        <v>1130</v>
      </c>
      <c r="R108" s="82">
        <v>1042</v>
      </c>
      <c r="S108" s="258">
        <f t="shared" si="242"/>
        <v>1042</v>
      </c>
      <c r="T108" s="571">
        <v>981</v>
      </c>
      <c r="U108" s="258">
        <f t="shared" si="243"/>
        <v>981</v>
      </c>
      <c r="V108" s="571">
        <v>837</v>
      </c>
      <c r="W108" s="258">
        <f t="shared" si="244"/>
        <v>837</v>
      </c>
      <c r="X108" s="820"/>
      <c r="Y108" s="821"/>
      <c r="Z108" s="821"/>
      <c r="AA108" s="822"/>
      <c r="AB108" s="365" t="s">
        <v>149</v>
      </c>
    </row>
    <row r="109" spans="1:29" ht="12.6" customHeight="1" x14ac:dyDescent="0.2">
      <c r="A109" s="17"/>
      <c r="B109" s="723" t="s">
        <v>902</v>
      </c>
      <c r="C109" s="686"/>
      <c r="D109" s="686"/>
      <c r="E109" s="686"/>
      <c r="F109" s="258"/>
      <c r="G109" s="726" t="s">
        <v>538</v>
      </c>
      <c r="H109" s="727"/>
      <c r="I109" s="727"/>
      <c r="J109" s="727"/>
      <c r="K109" s="727"/>
      <c r="L109" s="727"/>
      <c r="M109" s="728"/>
      <c r="N109" s="284">
        <v>590</v>
      </c>
      <c r="O109" s="257">
        <f t="shared" ref="O109" si="246">+N109*$X$1</f>
        <v>590</v>
      </c>
      <c r="P109" s="284">
        <v>550</v>
      </c>
      <c r="Q109" s="257">
        <f t="shared" ref="Q109" si="247">+P109*$X$1</f>
        <v>550</v>
      </c>
      <c r="R109" s="569">
        <v>498</v>
      </c>
      <c r="S109" s="257">
        <f t="shared" ref="S109" si="248">+R109*$X$1</f>
        <v>498</v>
      </c>
      <c r="T109" s="559">
        <v>468</v>
      </c>
      <c r="U109" s="257">
        <f t="shared" ref="U109" si="249">+T109*$X$1</f>
        <v>468</v>
      </c>
      <c r="V109" s="559">
        <v>399</v>
      </c>
      <c r="W109" s="257">
        <f t="shared" ref="W109" si="250">+V109*$X$1</f>
        <v>399</v>
      </c>
      <c r="X109" s="820"/>
      <c r="Y109" s="821"/>
      <c r="Z109" s="821"/>
      <c r="AA109" s="822"/>
      <c r="AB109" s="365">
        <v>292</v>
      </c>
    </row>
    <row r="110" spans="1:29" ht="12.6" customHeight="1" x14ac:dyDescent="0.2">
      <c r="A110" s="17"/>
      <c r="B110" s="723" t="s">
        <v>948</v>
      </c>
      <c r="C110" s="686"/>
      <c r="D110" s="686"/>
      <c r="E110" s="686"/>
      <c r="F110" s="258"/>
      <c r="G110" s="726" t="s">
        <v>539</v>
      </c>
      <c r="H110" s="727"/>
      <c r="I110" s="727"/>
      <c r="J110" s="727"/>
      <c r="K110" s="727"/>
      <c r="L110" s="727"/>
      <c r="M110" s="728"/>
      <c r="N110" s="253">
        <v>670</v>
      </c>
      <c r="O110" s="258">
        <f t="shared" ref="O110:O111" si="251">+N110*$X$1</f>
        <v>670</v>
      </c>
      <c r="P110" s="253">
        <v>620</v>
      </c>
      <c r="Q110" s="258">
        <f t="shared" ref="Q110:Q111" si="252">+P110*$X$1</f>
        <v>620</v>
      </c>
      <c r="R110" s="570">
        <v>570</v>
      </c>
      <c r="S110" s="258">
        <f t="shared" ref="S110:S111" si="253">+R110*$X$1</f>
        <v>570</v>
      </c>
      <c r="T110" s="571">
        <v>535</v>
      </c>
      <c r="U110" s="258">
        <f t="shared" ref="U110:U111" si="254">+T110*$X$1</f>
        <v>535</v>
      </c>
      <c r="V110" s="571">
        <v>455</v>
      </c>
      <c r="W110" s="258">
        <f t="shared" ref="W110:W111" si="255">+V110*$X$1</f>
        <v>455</v>
      </c>
      <c r="X110" s="820"/>
      <c r="Y110" s="821"/>
      <c r="Z110" s="821"/>
      <c r="AA110" s="822"/>
      <c r="AB110" s="365" t="s">
        <v>946</v>
      </c>
    </row>
    <row r="111" spans="1:29" ht="12.6" customHeight="1" x14ac:dyDescent="0.2">
      <c r="A111" s="17"/>
      <c r="B111" s="723" t="s">
        <v>903</v>
      </c>
      <c r="C111" s="686"/>
      <c r="D111" s="686"/>
      <c r="E111" s="686"/>
      <c r="F111" s="258"/>
      <c r="G111" s="726" t="s">
        <v>538</v>
      </c>
      <c r="H111" s="727"/>
      <c r="I111" s="727"/>
      <c r="J111" s="727"/>
      <c r="K111" s="727"/>
      <c r="L111" s="727"/>
      <c r="M111" s="728"/>
      <c r="N111" s="284">
        <v>1150</v>
      </c>
      <c r="O111" s="257">
        <f t="shared" si="251"/>
        <v>1150</v>
      </c>
      <c r="P111" s="284">
        <v>1110</v>
      </c>
      <c r="Q111" s="257">
        <f t="shared" si="252"/>
        <v>1110</v>
      </c>
      <c r="R111" s="569">
        <v>1010</v>
      </c>
      <c r="S111" s="257">
        <f t="shared" si="253"/>
        <v>1010</v>
      </c>
      <c r="T111" s="559">
        <v>950</v>
      </c>
      <c r="U111" s="257">
        <f t="shared" si="254"/>
        <v>950</v>
      </c>
      <c r="V111" s="559">
        <v>810</v>
      </c>
      <c r="W111" s="257">
        <f t="shared" si="255"/>
        <v>810</v>
      </c>
      <c r="X111" s="820"/>
      <c r="Y111" s="821"/>
      <c r="Z111" s="821"/>
      <c r="AA111" s="822"/>
      <c r="AB111" s="365">
        <v>293</v>
      </c>
    </row>
    <row r="112" spans="1:29" ht="12.6" customHeight="1" x14ac:dyDescent="0.2">
      <c r="A112" s="17"/>
      <c r="B112" s="723" t="s">
        <v>949</v>
      </c>
      <c r="C112" s="686"/>
      <c r="D112" s="686"/>
      <c r="E112" s="686"/>
      <c r="F112" s="258"/>
      <c r="G112" s="726" t="s">
        <v>539</v>
      </c>
      <c r="H112" s="727"/>
      <c r="I112" s="840"/>
      <c r="J112" s="840"/>
      <c r="K112" s="840"/>
      <c r="L112" s="840"/>
      <c r="M112" s="841"/>
      <c r="N112" s="253">
        <v>1260</v>
      </c>
      <c r="O112" s="258">
        <f t="shared" ref="O112:W116" si="256">+N112*$X$1</f>
        <v>1260</v>
      </c>
      <c r="P112" s="253">
        <v>1200</v>
      </c>
      <c r="Q112" s="258">
        <f t="shared" ref="Q112" si="257">+P112*$X$1</f>
        <v>1200</v>
      </c>
      <c r="R112" s="570">
        <v>1080</v>
      </c>
      <c r="S112" s="258">
        <f t="shared" ref="S112" si="258">+R112*$X$1</f>
        <v>1080</v>
      </c>
      <c r="T112" s="571">
        <v>1015</v>
      </c>
      <c r="U112" s="258">
        <f t="shared" ref="U112" si="259">+T112*$X$1</f>
        <v>1015</v>
      </c>
      <c r="V112" s="571">
        <v>866</v>
      </c>
      <c r="W112" s="258">
        <f t="shared" ref="W112" si="260">+V112*$X$1</f>
        <v>866</v>
      </c>
      <c r="X112" s="820"/>
      <c r="Y112" s="821"/>
      <c r="Z112" s="821"/>
      <c r="AA112" s="822"/>
      <c r="AB112" s="365" t="s">
        <v>947</v>
      </c>
    </row>
    <row r="113" spans="1:28" ht="12.6" customHeight="1" x14ac:dyDescent="0.2">
      <c r="A113" s="17"/>
      <c r="B113" s="723" t="s">
        <v>950</v>
      </c>
      <c r="C113" s="686"/>
      <c r="D113" s="686"/>
      <c r="E113" s="686"/>
      <c r="F113" s="258"/>
      <c r="G113" s="726" t="s">
        <v>538</v>
      </c>
      <c r="H113" s="727"/>
      <c r="I113" s="727"/>
      <c r="J113" s="727"/>
      <c r="K113" s="727"/>
      <c r="L113" s="727"/>
      <c r="M113" s="728"/>
      <c r="N113" s="284">
        <v>770</v>
      </c>
      <c r="O113" s="257">
        <f t="shared" si="256"/>
        <v>770</v>
      </c>
      <c r="P113" s="284">
        <v>690</v>
      </c>
      <c r="Q113" s="257">
        <f t="shared" si="256"/>
        <v>690</v>
      </c>
      <c r="R113" s="569">
        <v>639</v>
      </c>
      <c r="S113" s="257">
        <f t="shared" si="256"/>
        <v>639</v>
      </c>
      <c r="T113" s="559">
        <v>601</v>
      </c>
      <c r="U113" s="257">
        <f t="shared" si="256"/>
        <v>601</v>
      </c>
      <c r="V113" s="559">
        <v>512</v>
      </c>
      <c r="W113" s="257">
        <f t="shared" si="256"/>
        <v>512</v>
      </c>
      <c r="X113" s="820"/>
      <c r="Y113" s="821"/>
      <c r="Z113" s="821"/>
      <c r="AA113" s="822"/>
      <c r="AB113" s="365">
        <v>294</v>
      </c>
    </row>
    <row r="114" spans="1:28" ht="12.6" customHeight="1" x14ac:dyDescent="0.2">
      <c r="A114" s="17"/>
      <c r="B114" s="723" t="s">
        <v>951</v>
      </c>
      <c r="C114" s="686"/>
      <c r="D114" s="686"/>
      <c r="E114" s="686"/>
      <c r="F114" s="258"/>
      <c r="G114" s="726" t="s">
        <v>539</v>
      </c>
      <c r="H114" s="727"/>
      <c r="I114" s="840"/>
      <c r="J114" s="840"/>
      <c r="K114" s="840"/>
      <c r="L114" s="840"/>
      <c r="M114" s="841"/>
      <c r="N114" s="253">
        <v>840</v>
      </c>
      <c r="O114" s="258">
        <f t="shared" si="256"/>
        <v>840</v>
      </c>
      <c r="P114" s="253">
        <v>770</v>
      </c>
      <c r="Q114" s="258">
        <f t="shared" si="256"/>
        <v>770</v>
      </c>
      <c r="R114" s="570">
        <v>709</v>
      </c>
      <c r="S114" s="258">
        <f t="shared" si="256"/>
        <v>709</v>
      </c>
      <c r="T114" s="571">
        <v>667</v>
      </c>
      <c r="U114" s="258">
        <f t="shared" si="256"/>
        <v>667</v>
      </c>
      <c r="V114" s="571">
        <v>570</v>
      </c>
      <c r="W114" s="258">
        <f t="shared" si="256"/>
        <v>570</v>
      </c>
      <c r="X114" s="820"/>
      <c r="Y114" s="821"/>
      <c r="Z114" s="821"/>
      <c r="AA114" s="822"/>
      <c r="AB114" s="365" t="s">
        <v>952</v>
      </c>
    </row>
    <row r="115" spans="1:28" ht="12.6" customHeight="1" x14ac:dyDescent="0.2">
      <c r="A115" s="17"/>
      <c r="B115" s="723" t="s">
        <v>954</v>
      </c>
      <c r="C115" s="686"/>
      <c r="D115" s="686"/>
      <c r="E115" s="686"/>
      <c r="F115" s="258"/>
      <c r="G115" s="726" t="s">
        <v>538</v>
      </c>
      <c r="H115" s="727"/>
      <c r="I115" s="727"/>
      <c r="J115" s="727"/>
      <c r="K115" s="727"/>
      <c r="L115" s="727"/>
      <c r="M115" s="728"/>
      <c r="N115" s="284">
        <v>1998</v>
      </c>
      <c r="O115" s="257">
        <f t="shared" si="256"/>
        <v>1998</v>
      </c>
      <c r="P115" s="284">
        <v>1911</v>
      </c>
      <c r="Q115" s="257">
        <f t="shared" si="256"/>
        <v>1911</v>
      </c>
      <c r="R115" s="569">
        <v>1764</v>
      </c>
      <c r="S115" s="257">
        <f t="shared" si="256"/>
        <v>1764</v>
      </c>
      <c r="T115" s="559">
        <v>1670</v>
      </c>
      <c r="U115" s="257">
        <f t="shared" si="256"/>
        <v>1670</v>
      </c>
      <c r="V115" s="559">
        <v>1415</v>
      </c>
      <c r="W115" s="257">
        <f t="shared" si="256"/>
        <v>1415</v>
      </c>
      <c r="X115" s="820"/>
      <c r="Y115" s="821"/>
      <c r="Z115" s="821"/>
      <c r="AA115" s="822"/>
      <c r="AB115" s="365">
        <v>295</v>
      </c>
    </row>
    <row r="116" spans="1:28" ht="12.6" customHeight="1" x14ac:dyDescent="0.2">
      <c r="A116" s="17"/>
      <c r="B116" s="723" t="s">
        <v>953</v>
      </c>
      <c r="C116" s="686"/>
      <c r="D116" s="686"/>
      <c r="E116" s="686"/>
      <c r="F116" s="258"/>
      <c r="G116" s="726" t="s">
        <v>539</v>
      </c>
      <c r="H116" s="727"/>
      <c r="I116" s="840"/>
      <c r="J116" s="840"/>
      <c r="K116" s="840"/>
      <c r="L116" s="840"/>
      <c r="M116" s="841"/>
      <c r="N116" s="253">
        <v>2070</v>
      </c>
      <c r="O116" s="258">
        <f t="shared" si="256"/>
        <v>2070</v>
      </c>
      <c r="P116" s="253">
        <v>1991</v>
      </c>
      <c r="Q116" s="258">
        <f t="shared" si="256"/>
        <v>1991</v>
      </c>
      <c r="R116" s="570">
        <v>1833</v>
      </c>
      <c r="S116" s="258">
        <f t="shared" si="256"/>
        <v>1833</v>
      </c>
      <c r="T116" s="571">
        <v>1725</v>
      </c>
      <c r="U116" s="258">
        <f t="shared" si="256"/>
        <v>1725</v>
      </c>
      <c r="V116" s="571">
        <v>1471</v>
      </c>
      <c r="W116" s="258">
        <f t="shared" si="256"/>
        <v>1471</v>
      </c>
      <c r="X116" s="820"/>
      <c r="Y116" s="821"/>
      <c r="Z116" s="821"/>
      <c r="AA116" s="822"/>
      <c r="AB116" s="365" t="s">
        <v>1033</v>
      </c>
    </row>
    <row r="117" spans="1:28" ht="12.6" customHeight="1" x14ac:dyDescent="0.2">
      <c r="A117" s="17"/>
      <c r="B117" s="723" t="s">
        <v>955</v>
      </c>
      <c r="C117" s="686"/>
      <c r="D117" s="686"/>
      <c r="E117" s="686"/>
      <c r="F117" s="258"/>
      <c r="G117" s="726" t="s">
        <v>538</v>
      </c>
      <c r="H117" s="727"/>
      <c r="I117" s="727"/>
      <c r="J117" s="727"/>
      <c r="K117" s="727"/>
      <c r="L117" s="727"/>
      <c r="M117" s="728"/>
      <c r="N117" s="284">
        <v>1998</v>
      </c>
      <c r="O117" s="257">
        <f t="shared" ref="O117:O118" si="261">+N117*$X$1</f>
        <v>1998</v>
      </c>
      <c r="P117" s="284">
        <v>1911</v>
      </c>
      <c r="Q117" s="257">
        <f t="shared" ref="Q117:Q118" si="262">+P117*$X$1</f>
        <v>1911</v>
      </c>
      <c r="R117" s="632">
        <v>1764</v>
      </c>
      <c r="S117" s="257">
        <f t="shared" ref="S117:S118" si="263">+R117*$X$1</f>
        <v>1764</v>
      </c>
      <c r="T117" s="559">
        <v>1670</v>
      </c>
      <c r="U117" s="257">
        <f t="shared" ref="U117:U118" si="264">+T117*$X$1</f>
        <v>1670</v>
      </c>
      <c r="V117" s="559">
        <v>1415</v>
      </c>
      <c r="W117" s="257">
        <f t="shared" ref="W117:W118" si="265">+V117*$X$1</f>
        <v>1415</v>
      </c>
      <c r="X117" s="820"/>
      <c r="Y117" s="821"/>
      <c r="Z117" s="821"/>
      <c r="AA117" s="822"/>
      <c r="AB117" s="365">
        <v>298</v>
      </c>
    </row>
    <row r="118" spans="1:28" ht="12.6" customHeight="1" x14ac:dyDescent="0.2">
      <c r="A118" s="17"/>
      <c r="B118" s="723" t="s">
        <v>957</v>
      </c>
      <c r="C118" s="686"/>
      <c r="D118" s="686"/>
      <c r="E118" s="686"/>
      <c r="F118" s="258"/>
      <c r="G118" s="726" t="s">
        <v>539</v>
      </c>
      <c r="H118" s="727"/>
      <c r="I118" s="840"/>
      <c r="J118" s="840"/>
      <c r="K118" s="840"/>
      <c r="L118" s="840"/>
      <c r="M118" s="841"/>
      <c r="N118" s="253">
        <v>2070</v>
      </c>
      <c r="O118" s="258">
        <f t="shared" si="261"/>
        <v>2070</v>
      </c>
      <c r="P118" s="253">
        <v>1991</v>
      </c>
      <c r="Q118" s="258">
        <f t="shared" si="262"/>
        <v>1991</v>
      </c>
      <c r="R118" s="631">
        <v>1833</v>
      </c>
      <c r="S118" s="258">
        <f t="shared" si="263"/>
        <v>1833</v>
      </c>
      <c r="T118" s="576">
        <v>1725</v>
      </c>
      <c r="U118" s="258">
        <f t="shared" si="264"/>
        <v>1725</v>
      </c>
      <c r="V118" s="576">
        <v>1471</v>
      </c>
      <c r="W118" s="258">
        <f t="shared" si="265"/>
        <v>1471</v>
      </c>
      <c r="X118" s="820"/>
      <c r="Y118" s="821"/>
      <c r="Z118" s="821"/>
      <c r="AA118" s="822"/>
      <c r="AB118" s="365" t="s">
        <v>956</v>
      </c>
    </row>
    <row r="119" spans="1:28" ht="12.6" customHeight="1" x14ac:dyDescent="0.2">
      <c r="A119" s="17"/>
      <c r="B119" s="690" t="s">
        <v>937</v>
      </c>
      <c r="C119" s="740"/>
      <c r="D119" s="740"/>
      <c r="E119" s="740"/>
      <c r="F119" s="273">
        <v>400</v>
      </c>
      <c r="G119" s="257">
        <f>+F119*$X$1</f>
        <v>400</v>
      </c>
      <c r="H119" s="84"/>
      <c r="I119" s="741" t="s">
        <v>936</v>
      </c>
      <c r="J119" s="742"/>
      <c r="K119" s="742"/>
      <c r="L119" s="742"/>
      <c r="M119" s="742"/>
      <c r="N119" s="742"/>
      <c r="O119" s="742"/>
      <c r="P119" s="742"/>
      <c r="Q119" s="742"/>
      <c r="R119" s="742"/>
      <c r="S119" s="742"/>
      <c r="T119" s="742"/>
      <c r="U119" s="742"/>
      <c r="V119" s="742"/>
      <c r="W119" s="743"/>
      <c r="X119" s="674"/>
      <c r="Y119" s="677"/>
      <c r="Z119" s="677"/>
      <c r="AA119" s="676"/>
      <c r="AB119" s="365" t="s">
        <v>943</v>
      </c>
    </row>
    <row r="120" spans="1:28" ht="12.6" customHeight="1" x14ac:dyDescent="0.2">
      <c r="A120" s="17"/>
      <c r="B120" s="707" t="s">
        <v>938</v>
      </c>
      <c r="C120" s="770"/>
      <c r="D120" s="770"/>
      <c r="E120" s="770"/>
      <c r="F120" s="283">
        <v>225</v>
      </c>
      <c r="G120" s="258">
        <f t="shared" ref="G120" si="266">+F120*$X$1</f>
        <v>225</v>
      </c>
      <c r="H120" s="107"/>
      <c r="I120" s="744"/>
      <c r="J120" s="745"/>
      <c r="K120" s="745"/>
      <c r="L120" s="745"/>
      <c r="M120" s="745"/>
      <c r="N120" s="745"/>
      <c r="O120" s="745"/>
      <c r="P120" s="745"/>
      <c r="Q120" s="745"/>
      <c r="R120" s="745"/>
      <c r="S120" s="745"/>
      <c r="T120" s="745"/>
      <c r="U120" s="745"/>
      <c r="V120" s="745"/>
      <c r="W120" s="746"/>
      <c r="X120" s="674"/>
      <c r="Y120" s="677"/>
      <c r="Z120" s="677"/>
      <c r="AA120" s="676"/>
      <c r="AB120" s="365" t="s">
        <v>944</v>
      </c>
    </row>
    <row r="121" spans="1:28" ht="12.6" customHeight="1" x14ac:dyDescent="0.2">
      <c r="A121" s="17"/>
      <c r="B121" s="690" t="s">
        <v>935</v>
      </c>
      <c r="C121" s="740"/>
      <c r="D121" s="740"/>
      <c r="E121" s="740"/>
      <c r="F121" s="273">
        <v>300</v>
      </c>
      <c r="G121" s="257">
        <f>+F121*$X$1</f>
        <v>300</v>
      </c>
      <c r="H121" s="107"/>
      <c r="I121" s="747"/>
      <c r="J121" s="748"/>
      <c r="K121" s="748"/>
      <c r="L121" s="748"/>
      <c r="M121" s="748"/>
      <c r="N121" s="748"/>
      <c r="O121" s="748"/>
      <c r="P121" s="748"/>
      <c r="Q121" s="748"/>
      <c r="R121" s="748"/>
      <c r="S121" s="748"/>
      <c r="T121" s="748"/>
      <c r="U121" s="748"/>
      <c r="V121" s="748"/>
      <c r="W121" s="749"/>
      <c r="X121" s="674"/>
      <c r="Y121" s="677"/>
      <c r="Z121" s="677"/>
      <c r="AA121" s="676"/>
      <c r="AB121" s="365" t="s">
        <v>945</v>
      </c>
    </row>
    <row r="122" spans="1:28" ht="12.6" customHeight="1" x14ac:dyDescent="0.2">
      <c r="A122" s="17"/>
      <c r="B122" s="667" t="s">
        <v>710</v>
      </c>
      <c r="C122" s="668"/>
      <c r="D122" s="668"/>
      <c r="E122" s="668"/>
      <c r="F122" s="313"/>
      <c r="G122" s="726" t="s">
        <v>366</v>
      </c>
      <c r="H122" s="727"/>
      <c r="I122" s="727"/>
      <c r="J122" s="727"/>
      <c r="K122" s="728"/>
      <c r="L122" s="536">
        <v>2140</v>
      </c>
      <c r="M122" s="258">
        <f t="shared" ref="M122:O135" si="267">+L122*$X$1</f>
        <v>2140</v>
      </c>
      <c r="N122" s="113">
        <v>1896</v>
      </c>
      <c r="O122" s="258">
        <f t="shared" si="267"/>
        <v>1896</v>
      </c>
      <c r="P122" s="340">
        <v>1891</v>
      </c>
      <c r="Q122" s="258">
        <f t="shared" ref="Q122:Q134" si="268">+P122*$X$1</f>
        <v>1891</v>
      </c>
      <c r="R122" s="406">
        <v>1741</v>
      </c>
      <c r="S122" s="258">
        <f t="shared" ref="S122:S135" si="269">+R122*$X$1</f>
        <v>1741</v>
      </c>
      <c r="T122" s="406">
        <v>1639</v>
      </c>
      <c r="U122" s="283">
        <f t="shared" ref="U122:U128" si="270">+T122*$X$1</f>
        <v>1639</v>
      </c>
      <c r="V122" s="406">
        <v>857</v>
      </c>
      <c r="W122" s="283">
        <f t="shared" ref="W122:W132" si="271">+V122*$X$1</f>
        <v>857</v>
      </c>
      <c r="X122" s="820"/>
      <c r="Y122" s="821"/>
      <c r="Z122" s="821"/>
      <c r="AA122" s="822"/>
      <c r="AB122" s="365">
        <v>301</v>
      </c>
    </row>
    <row r="123" spans="1:28" ht="12.6" customHeight="1" x14ac:dyDescent="0.2">
      <c r="A123" s="17"/>
      <c r="B123" s="672" t="s">
        <v>711</v>
      </c>
      <c r="C123" s="673"/>
      <c r="D123" s="673"/>
      <c r="E123" s="673"/>
      <c r="F123" s="314"/>
      <c r="G123" s="726" t="s">
        <v>366</v>
      </c>
      <c r="H123" s="727"/>
      <c r="I123" s="727"/>
      <c r="J123" s="727"/>
      <c r="K123" s="728"/>
      <c r="L123" s="270">
        <v>2350</v>
      </c>
      <c r="M123" s="510">
        <f t="shared" si="267"/>
        <v>2350</v>
      </c>
      <c r="N123" s="352">
        <v>2053</v>
      </c>
      <c r="O123" s="510">
        <f t="shared" si="267"/>
        <v>2053</v>
      </c>
      <c r="P123" s="271">
        <v>2045</v>
      </c>
      <c r="Q123" s="257">
        <f t="shared" si="268"/>
        <v>2045</v>
      </c>
      <c r="R123" s="107">
        <v>1882</v>
      </c>
      <c r="S123" s="510">
        <f t="shared" si="269"/>
        <v>1882</v>
      </c>
      <c r="T123" s="534">
        <v>1771</v>
      </c>
      <c r="U123" s="273">
        <f t="shared" si="270"/>
        <v>1771</v>
      </c>
      <c r="V123" s="534">
        <v>1004</v>
      </c>
      <c r="W123" s="273">
        <f t="shared" si="271"/>
        <v>1004</v>
      </c>
      <c r="X123" s="820"/>
      <c r="Y123" s="821"/>
      <c r="Z123" s="821"/>
      <c r="AA123" s="822"/>
      <c r="AB123" s="365" t="s">
        <v>150</v>
      </c>
    </row>
    <row r="124" spans="1:28" ht="12.6" customHeight="1" x14ac:dyDescent="0.2">
      <c r="A124" s="17"/>
      <c r="B124" s="667" t="s">
        <v>712</v>
      </c>
      <c r="C124" s="668"/>
      <c r="D124" s="668"/>
      <c r="E124" s="668"/>
      <c r="F124" s="313"/>
      <c r="G124" s="726" t="s">
        <v>366</v>
      </c>
      <c r="H124" s="727"/>
      <c r="I124" s="727"/>
      <c r="J124" s="727"/>
      <c r="K124" s="728"/>
      <c r="L124" s="536">
        <v>3720</v>
      </c>
      <c r="M124" s="258">
        <f t="shared" ref="M124" si="272">+L124*$X$1</f>
        <v>3720</v>
      </c>
      <c r="N124" s="113">
        <v>3271</v>
      </c>
      <c r="O124" s="258">
        <f t="shared" ref="O124" si="273">+N124*$X$1</f>
        <v>3271</v>
      </c>
      <c r="P124" s="340">
        <v>3265</v>
      </c>
      <c r="Q124" s="258">
        <f t="shared" ref="Q124" si="274">+P124*$X$1</f>
        <v>3265</v>
      </c>
      <c r="R124" s="406">
        <v>3005</v>
      </c>
      <c r="S124" s="258">
        <f t="shared" ref="S124" si="275">+R124*$X$1</f>
        <v>3005</v>
      </c>
      <c r="T124" s="406">
        <v>2829</v>
      </c>
      <c r="U124" s="283">
        <f t="shared" ref="U124" si="276">+T124*$X$1</f>
        <v>2829</v>
      </c>
      <c r="V124" s="406">
        <v>1927</v>
      </c>
      <c r="W124" s="283">
        <f t="shared" ref="W124" si="277">+V124*$X$1</f>
        <v>1927</v>
      </c>
      <c r="X124" s="820"/>
      <c r="Y124" s="821"/>
      <c r="Z124" s="821"/>
      <c r="AA124" s="822"/>
      <c r="AB124" s="365" t="s">
        <v>151</v>
      </c>
    </row>
    <row r="125" spans="1:28" ht="12.6" customHeight="1" x14ac:dyDescent="0.2">
      <c r="A125" s="17"/>
      <c r="B125" s="672" t="s">
        <v>731</v>
      </c>
      <c r="C125" s="725"/>
      <c r="D125" s="725"/>
      <c r="E125" s="725"/>
      <c r="F125" s="314"/>
      <c r="G125" s="726" t="s">
        <v>366</v>
      </c>
      <c r="H125" s="727"/>
      <c r="I125" s="727"/>
      <c r="J125" s="727"/>
      <c r="K125" s="728"/>
      <c r="L125" s="533">
        <v>3720</v>
      </c>
      <c r="M125" s="257">
        <f t="shared" ref="M125" si="278">+L125*$X$1</f>
        <v>3720</v>
      </c>
      <c r="N125" s="352">
        <v>3271</v>
      </c>
      <c r="O125" s="257">
        <f t="shared" ref="O125" si="279">+N125*$X$1</f>
        <v>3271</v>
      </c>
      <c r="P125" s="499">
        <v>3265</v>
      </c>
      <c r="Q125" s="257">
        <f t="shared" ref="Q125" si="280">+P125*$X$1</f>
        <v>3265</v>
      </c>
      <c r="R125" s="534">
        <v>3005</v>
      </c>
      <c r="S125" s="257">
        <f t="shared" ref="S125" si="281">+R125*$X$1</f>
        <v>3005</v>
      </c>
      <c r="T125" s="534">
        <v>2829</v>
      </c>
      <c r="U125" s="273">
        <f t="shared" ref="U125" si="282">+T125*$X$1</f>
        <v>2829</v>
      </c>
      <c r="V125" s="534">
        <v>1927</v>
      </c>
      <c r="W125" s="273">
        <f t="shared" ref="W125" si="283">+V125*$X$1</f>
        <v>1927</v>
      </c>
      <c r="X125" s="820"/>
      <c r="Y125" s="821"/>
      <c r="Z125" s="821"/>
      <c r="AA125" s="822"/>
      <c r="AB125" s="365" t="s">
        <v>734</v>
      </c>
    </row>
    <row r="126" spans="1:28" ht="12.6" customHeight="1" x14ac:dyDescent="0.2">
      <c r="A126" s="17"/>
      <c r="B126" s="723" t="s">
        <v>733</v>
      </c>
      <c r="C126" s="789"/>
      <c r="D126" s="789"/>
      <c r="E126" s="789"/>
      <c r="F126" s="313"/>
      <c r="G126" s="726" t="s">
        <v>366</v>
      </c>
      <c r="H126" s="727"/>
      <c r="I126" s="727"/>
      <c r="J126" s="727"/>
      <c r="K126" s="728"/>
      <c r="L126" s="536">
        <v>2795</v>
      </c>
      <c r="M126" s="258">
        <f t="shared" ref="M126" si="284">+L126*$X$1</f>
        <v>2795</v>
      </c>
      <c r="N126" s="82">
        <v>2453</v>
      </c>
      <c r="O126" s="258">
        <f t="shared" ref="O126" si="285">+N126*$X$1</f>
        <v>2453</v>
      </c>
      <c r="P126" s="253">
        <v>2447</v>
      </c>
      <c r="Q126" s="258">
        <f t="shared" ref="Q126" si="286">+P126*$X$1</f>
        <v>2447</v>
      </c>
      <c r="R126" s="406">
        <v>2252</v>
      </c>
      <c r="S126" s="258">
        <f t="shared" ref="S126" si="287">+R126*$X$1</f>
        <v>2252</v>
      </c>
      <c r="T126" s="406">
        <v>2119</v>
      </c>
      <c r="U126" s="258">
        <f t="shared" ref="U126" si="288">+T126*$X$1</f>
        <v>2119</v>
      </c>
      <c r="V126" s="406">
        <v>1307</v>
      </c>
      <c r="W126" s="258">
        <f t="shared" ref="W126" si="289">+V126*$X$1</f>
        <v>1307</v>
      </c>
      <c r="X126" s="820"/>
      <c r="Y126" s="821"/>
      <c r="Z126" s="821"/>
      <c r="AA126" s="822"/>
      <c r="AB126" s="365" t="s">
        <v>737</v>
      </c>
    </row>
    <row r="127" spans="1:28" ht="12.6" customHeight="1" x14ac:dyDescent="0.2">
      <c r="A127" s="17"/>
      <c r="B127" s="672" t="s">
        <v>370</v>
      </c>
      <c r="C127" s="673"/>
      <c r="D127" s="673"/>
      <c r="E127" s="673"/>
      <c r="F127" s="308"/>
      <c r="G127" s="726" t="s">
        <v>365</v>
      </c>
      <c r="H127" s="727"/>
      <c r="I127" s="727"/>
      <c r="J127" s="727"/>
      <c r="K127" s="728"/>
      <c r="L127" s="533">
        <v>1660</v>
      </c>
      <c r="M127" s="257">
        <f t="shared" si="267"/>
        <v>1660</v>
      </c>
      <c r="N127" s="68">
        <v>1441</v>
      </c>
      <c r="O127" s="257">
        <f t="shared" si="267"/>
        <v>1441</v>
      </c>
      <c r="P127" s="284">
        <v>1436</v>
      </c>
      <c r="Q127" s="257">
        <f t="shared" si="268"/>
        <v>1436</v>
      </c>
      <c r="R127" s="534">
        <v>1321</v>
      </c>
      <c r="S127" s="257">
        <f t="shared" si="269"/>
        <v>1321</v>
      </c>
      <c r="T127" s="534">
        <v>1245</v>
      </c>
      <c r="U127" s="257">
        <f t="shared" si="270"/>
        <v>1245</v>
      </c>
      <c r="V127" s="534">
        <v>685</v>
      </c>
      <c r="W127" s="257">
        <f t="shared" si="271"/>
        <v>685</v>
      </c>
      <c r="X127" s="820"/>
      <c r="Y127" s="821"/>
      <c r="Z127" s="821"/>
      <c r="AA127" s="822"/>
      <c r="AB127" s="365">
        <v>302</v>
      </c>
    </row>
    <row r="128" spans="1:28" ht="12.6" customHeight="1" x14ac:dyDescent="0.2">
      <c r="A128" s="17"/>
      <c r="B128" s="667" t="s">
        <v>371</v>
      </c>
      <c r="C128" s="668"/>
      <c r="D128" s="668"/>
      <c r="E128" s="668"/>
      <c r="F128" s="258"/>
      <c r="G128" s="726" t="s">
        <v>365</v>
      </c>
      <c r="H128" s="727"/>
      <c r="I128" s="727"/>
      <c r="J128" s="727"/>
      <c r="K128" s="728"/>
      <c r="L128" s="536">
        <v>1825</v>
      </c>
      <c r="M128" s="258">
        <f t="shared" si="267"/>
        <v>1825</v>
      </c>
      <c r="N128" s="82">
        <v>1595</v>
      </c>
      <c r="O128" s="258">
        <f t="shared" si="267"/>
        <v>1595</v>
      </c>
      <c r="P128" s="253">
        <v>1590</v>
      </c>
      <c r="Q128" s="258">
        <f t="shared" si="268"/>
        <v>1590</v>
      </c>
      <c r="R128" s="406">
        <v>1462</v>
      </c>
      <c r="S128" s="258">
        <f t="shared" si="269"/>
        <v>1462</v>
      </c>
      <c r="T128" s="406">
        <v>1376</v>
      </c>
      <c r="U128" s="258">
        <f t="shared" si="270"/>
        <v>1376</v>
      </c>
      <c r="V128" s="406">
        <v>801</v>
      </c>
      <c r="W128" s="258">
        <f t="shared" si="271"/>
        <v>801</v>
      </c>
      <c r="X128" s="820"/>
      <c r="Y128" s="821"/>
      <c r="Z128" s="821"/>
      <c r="AA128" s="822"/>
      <c r="AB128" s="365" t="s">
        <v>152</v>
      </c>
    </row>
    <row r="129" spans="1:28" ht="12.6" customHeight="1" x14ac:dyDescent="0.2">
      <c r="A129" s="17"/>
      <c r="B129" s="672" t="s">
        <v>342</v>
      </c>
      <c r="C129" s="673"/>
      <c r="D129" s="673"/>
      <c r="E129" s="673"/>
      <c r="F129" s="308"/>
      <c r="G129" s="726" t="s">
        <v>365</v>
      </c>
      <c r="H129" s="727"/>
      <c r="I129" s="727"/>
      <c r="J129" s="727"/>
      <c r="K129" s="728"/>
      <c r="L129" s="533">
        <v>3200</v>
      </c>
      <c r="M129" s="257">
        <f t="shared" ref="M129" si="290">+L129*$X$1</f>
        <v>3200</v>
      </c>
      <c r="N129" s="68">
        <v>2816</v>
      </c>
      <c r="O129" s="257">
        <f t="shared" ref="O129" si="291">+N129*$X$1</f>
        <v>2816</v>
      </c>
      <c r="P129" s="284">
        <v>2810</v>
      </c>
      <c r="Q129" s="257">
        <f t="shared" ref="Q129" si="292">+P129*$X$1</f>
        <v>2810</v>
      </c>
      <c r="R129" s="534">
        <v>2586</v>
      </c>
      <c r="S129" s="257">
        <f t="shared" ref="S129" si="293">+R129*$X$1</f>
        <v>2586</v>
      </c>
      <c r="T129" s="534">
        <v>2434</v>
      </c>
      <c r="U129" s="257">
        <f t="shared" ref="U129" si="294">+T129*$X$1</f>
        <v>2434</v>
      </c>
      <c r="V129" s="534">
        <v>1724</v>
      </c>
      <c r="W129" s="257">
        <f t="shared" ref="W129" si="295">+V129*$X$1</f>
        <v>1724</v>
      </c>
      <c r="X129" s="820"/>
      <c r="Y129" s="821"/>
      <c r="Z129" s="821"/>
      <c r="AA129" s="822"/>
      <c r="AB129" s="365" t="s">
        <v>153</v>
      </c>
    </row>
    <row r="130" spans="1:28" ht="12.6" customHeight="1" x14ac:dyDescent="0.2">
      <c r="A130" s="17"/>
      <c r="B130" s="667" t="s">
        <v>732</v>
      </c>
      <c r="C130" s="752"/>
      <c r="D130" s="752"/>
      <c r="E130" s="752"/>
      <c r="F130" s="307"/>
      <c r="G130" s="726" t="s">
        <v>365</v>
      </c>
      <c r="H130" s="727"/>
      <c r="I130" s="727"/>
      <c r="J130" s="727"/>
      <c r="K130" s="728"/>
      <c r="L130" s="536">
        <v>3200</v>
      </c>
      <c r="M130" s="258">
        <f t="shared" ref="M130" si="296">+L130*$X$1</f>
        <v>3200</v>
      </c>
      <c r="N130" s="82">
        <v>2816</v>
      </c>
      <c r="O130" s="258">
        <f t="shared" ref="O130" si="297">+N130*$X$1</f>
        <v>2816</v>
      </c>
      <c r="P130" s="253">
        <v>2810</v>
      </c>
      <c r="Q130" s="258">
        <f t="shared" ref="Q130" si="298">+P130*$X$1</f>
        <v>2810</v>
      </c>
      <c r="R130" s="406">
        <v>2586</v>
      </c>
      <c r="S130" s="258">
        <f t="shared" ref="S130" si="299">+R130*$X$1</f>
        <v>2586</v>
      </c>
      <c r="T130" s="406">
        <v>2434</v>
      </c>
      <c r="U130" s="258">
        <f t="shared" ref="U130" si="300">+T130*$X$1</f>
        <v>2434</v>
      </c>
      <c r="V130" s="406">
        <v>1724</v>
      </c>
      <c r="W130" s="258">
        <f t="shared" ref="W130" si="301">+V130*$X$1</f>
        <v>1724</v>
      </c>
      <c r="X130" s="820"/>
      <c r="Y130" s="821"/>
      <c r="Z130" s="821"/>
      <c r="AA130" s="822"/>
      <c r="AB130" s="365" t="s">
        <v>735</v>
      </c>
    </row>
    <row r="131" spans="1:28" ht="12.6" customHeight="1" x14ac:dyDescent="0.2">
      <c r="A131" s="17"/>
      <c r="B131" s="723" t="s">
        <v>736</v>
      </c>
      <c r="C131" s="789"/>
      <c r="D131" s="789"/>
      <c r="E131" s="789"/>
      <c r="F131" s="308"/>
      <c r="G131" s="726" t="s">
        <v>365</v>
      </c>
      <c r="H131" s="727"/>
      <c r="I131" s="727"/>
      <c r="J131" s="727"/>
      <c r="K131" s="728"/>
      <c r="L131" s="533">
        <v>2280</v>
      </c>
      <c r="M131" s="257">
        <f t="shared" ref="M131" si="302">+L131*$X$1</f>
        <v>2280</v>
      </c>
      <c r="N131" s="68">
        <v>1998</v>
      </c>
      <c r="O131" s="257">
        <f t="shared" ref="O131" si="303">+N131*$X$1</f>
        <v>1998</v>
      </c>
      <c r="P131" s="284">
        <v>1990</v>
      </c>
      <c r="Q131" s="257">
        <f t="shared" ref="Q131" si="304">+P131*$X$1</f>
        <v>1990</v>
      </c>
      <c r="R131" s="534">
        <v>1832</v>
      </c>
      <c r="S131" s="257">
        <f t="shared" ref="S131" si="305">+R131*$X$1</f>
        <v>1832</v>
      </c>
      <c r="T131" s="534">
        <v>1724</v>
      </c>
      <c r="U131" s="257">
        <f t="shared" ref="U131" si="306">+T131*$X$1</f>
        <v>1724</v>
      </c>
      <c r="V131" s="534">
        <v>1103</v>
      </c>
      <c r="W131" s="257">
        <v>1105</v>
      </c>
      <c r="X131" s="820"/>
      <c r="Y131" s="821"/>
      <c r="Z131" s="821"/>
      <c r="AA131" s="822"/>
      <c r="AB131" s="365" t="s">
        <v>738</v>
      </c>
    </row>
    <row r="132" spans="1:28" ht="12.6" customHeight="1" x14ac:dyDescent="0.2">
      <c r="A132" s="17"/>
      <c r="B132" s="707" t="s">
        <v>583</v>
      </c>
      <c r="C132" s="770"/>
      <c r="D132" s="770"/>
      <c r="E132" s="770"/>
      <c r="F132" s="283"/>
      <c r="G132" s="726" t="s">
        <v>366</v>
      </c>
      <c r="H132" s="727"/>
      <c r="I132" s="727"/>
      <c r="J132" s="727"/>
      <c r="K132" s="728"/>
      <c r="L132" s="536">
        <v>2370</v>
      </c>
      <c r="M132" s="258">
        <f t="shared" si="267"/>
        <v>2370</v>
      </c>
      <c r="N132" s="511">
        <v>2053</v>
      </c>
      <c r="O132" s="258">
        <f t="shared" si="267"/>
        <v>2053</v>
      </c>
      <c r="P132" s="340">
        <v>2046</v>
      </c>
      <c r="Q132" s="258">
        <f t="shared" si="268"/>
        <v>2046</v>
      </c>
      <c r="R132" s="406">
        <v>1882</v>
      </c>
      <c r="S132" s="258">
        <f t="shared" si="269"/>
        <v>1882</v>
      </c>
      <c r="T132" s="406">
        <v>1614</v>
      </c>
      <c r="U132" s="258">
        <v>1771</v>
      </c>
      <c r="V132" s="406">
        <v>1512</v>
      </c>
      <c r="W132" s="258">
        <f t="shared" si="271"/>
        <v>1512</v>
      </c>
      <c r="X132" s="820"/>
      <c r="Y132" s="821"/>
      <c r="Z132" s="821"/>
      <c r="AA132" s="822"/>
      <c r="AB132" s="365">
        <v>303</v>
      </c>
    </row>
    <row r="133" spans="1:28" ht="12.6" customHeight="1" x14ac:dyDescent="0.2">
      <c r="A133" s="17"/>
      <c r="B133" s="672" t="s">
        <v>779</v>
      </c>
      <c r="C133" s="673"/>
      <c r="D133" s="673"/>
      <c r="E133" s="673"/>
      <c r="F133" s="257">
        <v>1870</v>
      </c>
      <c r="G133" s="257">
        <f>+F133*$X$1</f>
        <v>1870</v>
      </c>
      <c r="H133" s="68"/>
      <c r="I133" s="257"/>
      <c r="J133" s="68">
        <f>F133+200</f>
        <v>2070</v>
      </c>
      <c r="K133" s="257">
        <f t="shared" ref="K133" si="307">+J133*$X$1</f>
        <v>2070</v>
      </c>
      <c r="L133" s="534">
        <f t="shared" ref="L133" si="308">F133+150</f>
        <v>2020</v>
      </c>
      <c r="M133" s="257">
        <f t="shared" si="267"/>
        <v>2020</v>
      </c>
      <c r="N133" s="534">
        <f t="shared" ref="N133" si="309">F133+110</f>
        <v>1980</v>
      </c>
      <c r="O133" s="257">
        <f t="shared" si="267"/>
        <v>1980</v>
      </c>
      <c r="P133" s="534">
        <f t="shared" ref="P133" si="310">F133+100</f>
        <v>1970</v>
      </c>
      <c r="Q133" s="257">
        <f t="shared" si="268"/>
        <v>1970</v>
      </c>
      <c r="R133" s="534"/>
      <c r="S133" s="257"/>
      <c r="T133" s="534"/>
      <c r="U133" s="257"/>
      <c r="V133" s="534"/>
      <c r="W133" s="257"/>
      <c r="X133" s="674"/>
      <c r="Y133" s="677"/>
      <c r="Z133" s="677"/>
      <c r="AA133" s="676"/>
      <c r="AB133" s="365">
        <v>304</v>
      </c>
    </row>
    <row r="134" spans="1:28" ht="12.6" customHeight="1" x14ac:dyDescent="0.2">
      <c r="A134" s="17"/>
      <c r="B134" s="667" t="s">
        <v>709</v>
      </c>
      <c r="C134" s="668"/>
      <c r="D134" s="668"/>
      <c r="E134" s="668"/>
      <c r="F134" s="258">
        <v>2190</v>
      </c>
      <c r="G134" s="258">
        <f t="shared" ref="G134" si="311">+F134*$X$1</f>
        <v>2190</v>
      </c>
      <c r="H134" s="406"/>
      <c r="I134" s="258"/>
      <c r="J134" s="406"/>
      <c r="K134" s="258"/>
      <c r="L134" s="406">
        <f>F134+150</f>
        <v>2340</v>
      </c>
      <c r="M134" s="258">
        <f t="shared" si="267"/>
        <v>2340</v>
      </c>
      <c r="N134" s="406">
        <f>F134+100</f>
        <v>2290</v>
      </c>
      <c r="O134" s="258">
        <f>+N134*$X$1</f>
        <v>2290</v>
      </c>
      <c r="P134" s="406">
        <f>F134+90</f>
        <v>2280</v>
      </c>
      <c r="Q134" s="258">
        <f t="shared" si="268"/>
        <v>2280</v>
      </c>
      <c r="R134" s="406">
        <f>F134+70</f>
        <v>2260</v>
      </c>
      <c r="S134" s="258">
        <f>+R134*$X$1</f>
        <v>2260</v>
      </c>
      <c r="T134" s="406">
        <f>F134+56</f>
        <v>2246</v>
      </c>
      <c r="U134" s="258">
        <f t="shared" ref="U134:U135" si="312">+T134*$X$1</f>
        <v>2246</v>
      </c>
      <c r="V134" s="406">
        <f>F134+49</f>
        <v>2239</v>
      </c>
      <c r="W134" s="258">
        <f t="shared" ref="W134:W135" si="313">+V134*$X$1</f>
        <v>2239</v>
      </c>
      <c r="X134" s="674"/>
      <c r="Y134" s="677"/>
      <c r="Z134" s="677"/>
      <c r="AA134" s="676"/>
      <c r="AB134" s="365">
        <v>307</v>
      </c>
    </row>
    <row r="135" spans="1:28" ht="12.6" customHeight="1" x14ac:dyDescent="0.2">
      <c r="A135" s="17"/>
      <c r="B135" s="672" t="s">
        <v>502</v>
      </c>
      <c r="C135" s="673"/>
      <c r="D135" s="673"/>
      <c r="E135" s="673"/>
      <c r="F135" s="273">
        <v>1688</v>
      </c>
      <c r="G135" s="257">
        <f>+F135*$X$1</f>
        <v>1688</v>
      </c>
      <c r="H135" s="252"/>
      <c r="I135" s="305"/>
      <c r="J135" s="559"/>
      <c r="K135" s="257"/>
      <c r="L135" s="559">
        <v>3290</v>
      </c>
      <c r="M135" s="257">
        <f>+L135*$X$1</f>
        <v>3290</v>
      </c>
      <c r="N135" s="559">
        <v>2700</v>
      </c>
      <c r="O135" s="257">
        <f t="shared" si="267"/>
        <v>2700</v>
      </c>
      <c r="P135" s="284">
        <v>2497</v>
      </c>
      <c r="Q135" s="257">
        <f t="shared" ref="Q135" si="314">+P135*$X$1</f>
        <v>2497</v>
      </c>
      <c r="R135" s="559">
        <v>2301</v>
      </c>
      <c r="S135" s="257">
        <f t="shared" si="269"/>
        <v>2301</v>
      </c>
      <c r="T135" s="559">
        <v>2145</v>
      </c>
      <c r="U135" s="257">
        <f t="shared" si="312"/>
        <v>2145</v>
      </c>
      <c r="V135" s="559">
        <v>2055</v>
      </c>
      <c r="W135" s="257">
        <f t="shared" si="313"/>
        <v>2055</v>
      </c>
      <c r="X135" s="674"/>
      <c r="Y135" s="677"/>
      <c r="Z135" s="677"/>
      <c r="AA135" s="676"/>
      <c r="AB135" s="365">
        <v>308</v>
      </c>
    </row>
    <row r="136" spans="1:28" ht="12.6" customHeight="1" x14ac:dyDescent="0.2">
      <c r="A136" s="17"/>
      <c r="B136" s="667" t="s">
        <v>501</v>
      </c>
      <c r="C136" s="668"/>
      <c r="D136" s="668"/>
      <c r="E136" s="668"/>
      <c r="F136" s="283">
        <v>1688</v>
      </c>
      <c r="G136" s="258">
        <f>+F136*$X$1</f>
        <v>1688</v>
      </c>
      <c r="H136" s="251"/>
      <c r="I136" s="306"/>
      <c r="J136" s="564"/>
      <c r="K136" s="258"/>
      <c r="L136" s="564">
        <v>3290</v>
      </c>
      <c r="M136" s="258">
        <f>+L136*$X$1</f>
        <v>3290</v>
      </c>
      <c r="N136" s="564">
        <v>2700</v>
      </c>
      <c r="O136" s="258">
        <f t="shared" ref="O136" si="315">+N136*$X$1</f>
        <v>2700</v>
      </c>
      <c r="P136" s="253">
        <v>2497</v>
      </c>
      <c r="Q136" s="258">
        <f t="shared" ref="Q136" si="316">+P136*$X$1</f>
        <v>2497</v>
      </c>
      <c r="R136" s="564">
        <v>2301</v>
      </c>
      <c r="S136" s="258">
        <f t="shared" ref="S136" si="317">+R136*$X$1</f>
        <v>2301</v>
      </c>
      <c r="T136" s="564">
        <v>2145</v>
      </c>
      <c r="U136" s="258">
        <f t="shared" ref="U136" si="318">+T136*$X$1</f>
        <v>2145</v>
      </c>
      <c r="V136" s="564">
        <v>2055</v>
      </c>
      <c r="W136" s="258">
        <f t="shared" ref="W136" si="319">+V136*$X$1</f>
        <v>2055</v>
      </c>
      <c r="X136" s="674"/>
      <c r="Y136" s="677"/>
      <c r="Z136" s="677"/>
      <c r="AA136" s="676"/>
      <c r="AB136" s="365">
        <v>309</v>
      </c>
    </row>
    <row r="137" spans="1:28" ht="12.6" customHeight="1" x14ac:dyDescent="0.2">
      <c r="A137" s="17"/>
      <c r="B137" s="672" t="s">
        <v>792</v>
      </c>
      <c r="C137" s="673"/>
      <c r="D137" s="673"/>
      <c r="E137" s="673"/>
      <c r="F137" s="333">
        <f>0.77*X2</f>
        <v>1024.1000000000001</v>
      </c>
      <c r="G137" s="257">
        <f>+F137*$X$1</f>
        <v>1024.1000000000001</v>
      </c>
      <c r="H137" s="559"/>
      <c r="I137" s="257"/>
      <c r="J137" s="559">
        <f>F137+200</f>
        <v>1224.1000000000001</v>
      </c>
      <c r="K137" s="257">
        <f t="shared" ref="K137" si="320">+J137*$X$1</f>
        <v>1224.1000000000001</v>
      </c>
      <c r="L137" s="559">
        <f>F137+150</f>
        <v>1174.1000000000001</v>
      </c>
      <c r="M137" s="257">
        <f t="shared" ref="M137:M139" si="321">+L137*$X$1</f>
        <v>1174.1000000000001</v>
      </c>
      <c r="N137" s="559">
        <f>F137+100</f>
        <v>1124.1000000000001</v>
      </c>
      <c r="O137" s="257">
        <f>+N137*$X$1</f>
        <v>1124.1000000000001</v>
      </c>
      <c r="P137" s="559">
        <f>F137+90</f>
        <v>1114.1000000000001</v>
      </c>
      <c r="Q137" s="257">
        <f t="shared" ref="Q137:Q139" si="322">+P137*$X$1</f>
        <v>1114.1000000000001</v>
      </c>
      <c r="R137" s="559">
        <f>F137+70</f>
        <v>1094.1000000000001</v>
      </c>
      <c r="S137" s="257">
        <f>+R137*$X$1</f>
        <v>1094.1000000000001</v>
      </c>
      <c r="T137" s="559">
        <f>F137+56</f>
        <v>1080.1000000000001</v>
      </c>
      <c r="U137" s="257">
        <f t="shared" ref="U137:U139" si="323">+T137*$X$1</f>
        <v>1080.1000000000001</v>
      </c>
      <c r="V137" s="559">
        <f>F137+49</f>
        <v>1073.1000000000001</v>
      </c>
      <c r="W137" s="257">
        <f t="shared" ref="W137:W139" si="324">+V137*$X$1</f>
        <v>1073.1000000000001</v>
      </c>
      <c r="X137" s="674"/>
      <c r="Y137" s="677"/>
      <c r="Z137" s="677"/>
      <c r="AA137" s="676"/>
      <c r="AB137" s="365">
        <v>310</v>
      </c>
    </row>
    <row r="138" spans="1:28" ht="12.6" customHeight="1" x14ac:dyDescent="0.2">
      <c r="A138" s="17"/>
      <c r="B138" s="667" t="s">
        <v>745</v>
      </c>
      <c r="C138" s="668"/>
      <c r="D138" s="668"/>
      <c r="E138" s="668"/>
      <c r="F138" s="334">
        <f>0.77*X2</f>
        <v>1024.1000000000001</v>
      </c>
      <c r="G138" s="258">
        <f>+F138*$X$1</f>
        <v>1024.1000000000001</v>
      </c>
      <c r="H138" s="564"/>
      <c r="I138" s="258"/>
      <c r="J138" s="564">
        <f>F138+200</f>
        <v>1224.1000000000001</v>
      </c>
      <c r="K138" s="258">
        <f t="shared" ref="K138" si="325">+J138*$X$1</f>
        <v>1224.1000000000001</v>
      </c>
      <c r="L138" s="564">
        <f>F138+150</f>
        <v>1174.1000000000001</v>
      </c>
      <c r="M138" s="258">
        <f t="shared" si="321"/>
        <v>1174.1000000000001</v>
      </c>
      <c r="N138" s="564">
        <f>F138+100</f>
        <v>1124.1000000000001</v>
      </c>
      <c r="O138" s="258">
        <f>+N138*$X$1</f>
        <v>1124.1000000000001</v>
      </c>
      <c r="P138" s="564">
        <f>F138+90</f>
        <v>1114.1000000000001</v>
      </c>
      <c r="Q138" s="258">
        <f t="shared" si="322"/>
        <v>1114.1000000000001</v>
      </c>
      <c r="R138" s="564">
        <f>F138+70</f>
        <v>1094.1000000000001</v>
      </c>
      <c r="S138" s="258">
        <f>+R138*$X$1</f>
        <v>1094.1000000000001</v>
      </c>
      <c r="T138" s="564">
        <f>F138+56</f>
        <v>1080.1000000000001</v>
      </c>
      <c r="U138" s="258">
        <f t="shared" si="323"/>
        <v>1080.1000000000001</v>
      </c>
      <c r="V138" s="564">
        <f>F138+49</f>
        <v>1073.1000000000001</v>
      </c>
      <c r="W138" s="258">
        <f t="shared" si="324"/>
        <v>1073.1000000000001</v>
      </c>
      <c r="X138" s="674"/>
      <c r="Y138" s="677"/>
      <c r="Z138" s="677"/>
      <c r="AA138" s="676"/>
      <c r="AB138" s="365">
        <v>311</v>
      </c>
    </row>
    <row r="139" spans="1:28" ht="12.6" customHeight="1" x14ac:dyDescent="0.2">
      <c r="A139" s="17"/>
      <c r="B139" s="672" t="s">
        <v>441</v>
      </c>
      <c r="C139" s="673"/>
      <c r="D139" s="673"/>
      <c r="E139" s="673"/>
      <c r="F139" s="333">
        <f>1.295*X2</f>
        <v>1722.35</v>
      </c>
      <c r="G139" s="257">
        <f t="shared" ref="G139" si="326">+F139*$X$1</f>
        <v>1722.35</v>
      </c>
      <c r="H139" s="559"/>
      <c r="I139" s="257"/>
      <c r="J139" s="559">
        <f>F139+200</f>
        <v>1922.35</v>
      </c>
      <c r="K139" s="257">
        <f t="shared" ref="K139" si="327">+J139*$X$1</f>
        <v>1922.35</v>
      </c>
      <c r="L139" s="559">
        <f>F139+150</f>
        <v>1872.35</v>
      </c>
      <c r="M139" s="257">
        <f t="shared" si="321"/>
        <v>1872.35</v>
      </c>
      <c r="N139" s="559">
        <f>F139+100</f>
        <v>1822.35</v>
      </c>
      <c r="O139" s="257">
        <f>+N139*$X$1</f>
        <v>1822.35</v>
      </c>
      <c r="P139" s="559">
        <f>F139+90</f>
        <v>1812.35</v>
      </c>
      <c r="Q139" s="257">
        <f t="shared" si="322"/>
        <v>1812.35</v>
      </c>
      <c r="R139" s="559">
        <f>F139+70</f>
        <v>1792.35</v>
      </c>
      <c r="S139" s="257">
        <f>+R139*$X$1</f>
        <v>1792.35</v>
      </c>
      <c r="T139" s="559">
        <f>F139+56</f>
        <v>1778.35</v>
      </c>
      <c r="U139" s="257">
        <f t="shared" si="323"/>
        <v>1778.35</v>
      </c>
      <c r="V139" s="559">
        <f>F139+49</f>
        <v>1771.35</v>
      </c>
      <c r="W139" s="257">
        <f t="shared" si="324"/>
        <v>1771.35</v>
      </c>
      <c r="X139" s="674"/>
      <c r="Y139" s="677"/>
      <c r="Z139" s="677"/>
      <c r="AA139" s="676"/>
      <c r="AB139" s="365">
        <v>312</v>
      </c>
    </row>
    <row r="140" spans="1:28" ht="12.6" customHeight="1" x14ac:dyDescent="0.2">
      <c r="A140" s="17"/>
      <c r="B140" s="687" t="s">
        <v>154</v>
      </c>
      <c r="C140" s="688"/>
      <c r="D140" s="688"/>
      <c r="E140" s="689"/>
      <c r="F140" s="258"/>
      <c r="G140" s="258"/>
      <c r="H140" s="406"/>
      <c r="I140" s="258"/>
      <c r="J140" s="82"/>
      <c r="K140" s="258"/>
      <c r="L140" s="406"/>
      <c r="M140" s="258"/>
      <c r="N140" s="406"/>
      <c r="O140" s="258"/>
      <c r="P140" s="406"/>
      <c r="Q140" s="258"/>
      <c r="R140" s="406"/>
      <c r="S140" s="258"/>
      <c r="T140" s="406"/>
      <c r="U140" s="258"/>
      <c r="V140" s="406"/>
      <c r="W140" s="258"/>
      <c r="X140" s="674"/>
      <c r="Y140" s="677"/>
      <c r="Z140" s="677"/>
      <c r="AA140" s="676"/>
      <c r="AB140" s="365" t="s">
        <v>155</v>
      </c>
    </row>
    <row r="141" spans="1:28" ht="12.6" customHeight="1" x14ac:dyDescent="0.2">
      <c r="A141" s="17"/>
      <c r="B141" s="757" t="s">
        <v>156</v>
      </c>
      <c r="C141" s="758"/>
      <c r="D141" s="758"/>
      <c r="E141" s="759"/>
      <c r="F141" s="273"/>
      <c r="G141" s="257"/>
      <c r="H141" s="455"/>
      <c r="I141" s="257"/>
      <c r="J141" s="68"/>
      <c r="K141" s="257"/>
      <c r="L141" s="455"/>
      <c r="M141" s="257"/>
      <c r="N141" s="455"/>
      <c r="O141" s="257"/>
      <c r="P141" s="455"/>
      <c r="Q141" s="257"/>
      <c r="R141" s="455"/>
      <c r="S141" s="257"/>
      <c r="T141" s="455"/>
      <c r="U141" s="257"/>
      <c r="V141" s="455"/>
      <c r="W141" s="257"/>
      <c r="X141" s="810"/>
      <c r="Y141" s="825"/>
      <c r="Z141" s="825"/>
      <c r="AA141" s="826"/>
      <c r="AB141" s="398" t="s">
        <v>157</v>
      </c>
    </row>
    <row r="142" spans="1:28" ht="12.6" customHeight="1" x14ac:dyDescent="0.2">
      <c r="A142" s="17"/>
      <c r="B142" s="687" t="s">
        <v>158</v>
      </c>
      <c r="C142" s="688"/>
      <c r="D142" s="688"/>
      <c r="E142" s="689"/>
      <c r="F142" s="258"/>
      <c r="G142" s="258"/>
      <c r="H142" s="406"/>
      <c r="I142" s="258"/>
      <c r="J142" s="82"/>
      <c r="K142" s="258"/>
      <c r="L142" s="406"/>
      <c r="M142" s="258"/>
      <c r="N142" s="406"/>
      <c r="O142" s="258"/>
      <c r="P142" s="406"/>
      <c r="Q142" s="258"/>
      <c r="R142" s="406"/>
      <c r="S142" s="258"/>
      <c r="T142" s="406"/>
      <c r="U142" s="258"/>
      <c r="V142" s="406"/>
      <c r="W142" s="258"/>
      <c r="X142" s="825"/>
      <c r="Y142" s="825"/>
      <c r="Z142" s="825"/>
      <c r="AA142" s="825"/>
      <c r="AB142" s="178" t="s">
        <v>159</v>
      </c>
    </row>
    <row r="143" spans="1:28" ht="12.6" customHeight="1" x14ac:dyDescent="0.2">
      <c r="A143" s="17"/>
      <c r="B143" s="678" t="s">
        <v>160</v>
      </c>
      <c r="C143" s="679"/>
      <c r="D143" s="679"/>
      <c r="E143" s="680"/>
      <c r="F143" s="257"/>
      <c r="G143" s="257"/>
      <c r="H143" s="455"/>
      <c r="I143" s="257"/>
      <c r="J143" s="68"/>
      <c r="K143" s="257"/>
      <c r="L143" s="455"/>
      <c r="M143" s="257"/>
      <c r="N143" s="455"/>
      <c r="O143" s="257"/>
      <c r="P143" s="455"/>
      <c r="Q143" s="257"/>
      <c r="R143" s="455"/>
      <c r="S143" s="257"/>
      <c r="T143" s="455"/>
      <c r="U143" s="257"/>
      <c r="V143" s="455"/>
      <c r="W143" s="257"/>
      <c r="X143" s="825"/>
      <c r="Y143" s="825"/>
      <c r="Z143" s="825"/>
      <c r="AA143" s="825"/>
      <c r="AB143" s="178" t="s">
        <v>161</v>
      </c>
    </row>
    <row r="144" spans="1:28" ht="12.6" customHeight="1" x14ac:dyDescent="0.2">
      <c r="A144" s="88"/>
      <c r="B144" s="687" t="s">
        <v>332</v>
      </c>
      <c r="C144" s="800"/>
      <c r="D144" s="800"/>
      <c r="E144" s="801"/>
      <c r="F144" s="258"/>
      <c r="G144" s="258"/>
      <c r="H144" s="82"/>
      <c r="I144" s="406"/>
      <c r="J144" s="406"/>
      <c r="K144" s="406"/>
      <c r="L144" s="406"/>
      <c r="M144" s="258"/>
      <c r="N144" s="406"/>
      <c r="O144" s="258"/>
      <c r="P144" s="406"/>
      <c r="Q144" s="258"/>
      <c r="R144" s="406"/>
      <c r="S144" s="258"/>
      <c r="T144" s="406"/>
      <c r="U144" s="258"/>
      <c r="V144" s="406"/>
      <c r="W144" s="258"/>
      <c r="X144" s="732"/>
      <c r="Y144" s="842"/>
      <c r="Z144" s="842"/>
      <c r="AA144" s="843"/>
      <c r="AB144" s="178"/>
    </row>
    <row r="145" spans="1:34" ht="12.6" customHeight="1" x14ac:dyDescent="0.2">
      <c r="A145" s="88"/>
      <c r="B145" s="672" t="s">
        <v>162</v>
      </c>
      <c r="C145" s="673"/>
      <c r="D145" s="673"/>
      <c r="E145" s="673"/>
      <c r="F145" s="257"/>
      <c r="G145" s="257"/>
      <c r="H145" s="68"/>
      <c r="I145" s="455"/>
      <c r="J145" s="455"/>
      <c r="K145" s="455"/>
      <c r="L145" s="455"/>
      <c r="M145" s="257"/>
      <c r="N145" s="455"/>
      <c r="O145" s="257"/>
      <c r="P145" s="455"/>
      <c r="Q145" s="257"/>
      <c r="R145" s="455"/>
      <c r="S145" s="257"/>
      <c r="T145" s="455"/>
      <c r="U145" s="257"/>
      <c r="V145" s="455"/>
      <c r="W145" s="257"/>
      <c r="X145" s="732"/>
      <c r="Y145" s="733"/>
      <c r="Z145" s="733"/>
      <c r="AA145" s="734"/>
      <c r="AB145" s="178">
        <v>316</v>
      </c>
      <c r="AC145" s="57"/>
      <c r="AD145" s="57"/>
      <c r="AE145" s="57"/>
      <c r="AF145" s="57"/>
    </row>
    <row r="146" spans="1:34" ht="12.6" customHeight="1" x14ac:dyDescent="0.2">
      <c r="A146" s="88"/>
      <c r="B146" s="667" t="s">
        <v>163</v>
      </c>
      <c r="C146" s="668"/>
      <c r="D146" s="668"/>
      <c r="E146" s="668"/>
      <c r="F146" s="258"/>
      <c r="G146" s="459"/>
      <c r="H146" s="82"/>
      <c r="I146" s="460"/>
      <c r="J146" s="406"/>
      <c r="K146" s="460"/>
      <c r="L146" s="406"/>
      <c r="M146" s="461"/>
      <c r="N146" s="406"/>
      <c r="O146" s="461"/>
      <c r="P146" s="406"/>
      <c r="Q146" s="461"/>
      <c r="R146" s="406"/>
      <c r="S146" s="461"/>
      <c r="T146" s="406"/>
      <c r="U146" s="258"/>
      <c r="V146" s="406"/>
      <c r="W146" s="258"/>
      <c r="X146" s="732"/>
      <c r="Y146" s="733"/>
      <c r="Z146" s="733"/>
      <c r="AA146" s="734"/>
      <c r="AB146" s="178">
        <v>318</v>
      </c>
      <c r="AC146" s="57"/>
      <c r="AD146" s="57"/>
      <c r="AE146" s="57"/>
      <c r="AF146" s="57"/>
    </row>
    <row r="147" spans="1:34" ht="12.6" customHeight="1" x14ac:dyDescent="0.2">
      <c r="A147" s="17"/>
      <c r="B147" s="823" t="s">
        <v>304</v>
      </c>
      <c r="C147" s="824"/>
      <c r="D147" s="824"/>
      <c r="E147" s="824"/>
      <c r="F147" s="257">
        <v>1147</v>
      </c>
      <c r="G147" s="279">
        <f>+F147*$X$1</f>
        <v>1147</v>
      </c>
      <c r="H147" s="179" t="s">
        <v>164</v>
      </c>
      <c r="I147" s="181"/>
      <c r="J147" s="78"/>
      <c r="K147" s="78"/>
      <c r="L147" s="153"/>
      <c r="M147" s="78"/>
      <c r="N147" s="78"/>
      <c r="O147" s="78"/>
      <c r="P147" s="76">
        <v>90</v>
      </c>
      <c r="Q147" s="180">
        <f>+P147*$X$1</f>
        <v>90</v>
      </c>
      <c r="R147" s="456"/>
      <c r="S147" s="457"/>
      <c r="T147" s="68"/>
      <c r="U147" s="257"/>
      <c r="V147" s="455"/>
      <c r="W147" s="257"/>
      <c r="X147" s="732"/>
      <c r="Y147" s="733"/>
      <c r="Z147" s="733"/>
      <c r="AA147" s="734"/>
      <c r="AB147" s="368"/>
      <c r="AC147" s="863"/>
      <c r="AD147" s="864"/>
      <c r="AE147" s="864"/>
      <c r="AF147" s="864"/>
      <c r="AG147" s="4"/>
    </row>
    <row r="148" spans="1:34" ht="12.6" customHeight="1" x14ac:dyDescent="0.2">
      <c r="A148" s="17"/>
      <c r="B148" s="844" t="s">
        <v>305</v>
      </c>
      <c r="C148" s="845"/>
      <c r="D148" s="845"/>
      <c r="E148" s="845"/>
      <c r="F148" s="258">
        <v>1297</v>
      </c>
      <c r="G148" s="312">
        <f>+F148*$X$1</f>
        <v>1297</v>
      </c>
      <c r="H148" s="241" t="s">
        <v>164</v>
      </c>
      <c r="I148" s="242"/>
      <c r="J148" s="243"/>
      <c r="K148" s="243"/>
      <c r="L148" s="244"/>
      <c r="M148" s="243"/>
      <c r="N148" s="243"/>
      <c r="O148" s="243"/>
      <c r="P148" s="245">
        <v>90</v>
      </c>
      <c r="Q148" s="246">
        <f>+P148*$X$1</f>
        <v>90</v>
      </c>
      <c r="R148" s="464"/>
      <c r="S148" s="462"/>
      <c r="T148" s="463"/>
      <c r="U148" s="260"/>
      <c r="V148" s="86"/>
      <c r="W148" s="260"/>
      <c r="X148" s="732"/>
      <c r="Y148" s="733"/>
      <c r="Z148" s="733"/>
      <c r="AA148" s="734"/>
      <c r="AB148" s="368"/>
    </row>
    <row r="149" spans="1:34" ht="12.6" customHeight="1" x14ac:dyDescent="0.2">
      <c r="A149" s="17"/>
      <c r="B149" s="823" t="s">
        <v>769</v>
      </c>
      <c r="C149" s="824"/>
      <c r="D149" s="824"/>
      <c r="E149" s="824"/>
      <c r="F149" s="257"/>
      <c r="G149" s="257"/>
      <c r="H149" s="248"/>
      <c r="I149" s="257"/>
      <c r="J149" s="534">
        <f>F148+350</f>
        <v>1647</v>
      </c>
      <c r="K149" s="257">
        <f t="shared" ref="K149:K150" si="328">+J149*$X$1</f>
        <v>1647</v>
      </c>
      <c r="L149" s="534">
        <f>F148+300</f>
        <v>1597</v>
      </c>
      <c r="M149" s="257">
        <f>+L149*$X$1</f>
        <v>1597</v>
      </c>
      <c r="N149" s="534">
        <f>F148+250</f>
        <v>1547</v>
      </c>
      <c r="O149" s="257">
        <f>+N149*$X$1</f>
        <v>1547</v>
      </c>
      <c r="P149" s="534">
        <f>F148+235</f>
        <v>1532</v>
      </c>
      <c r="Q149" s="257">
        <f t="shared" ref="Q149:Q150" si="329">+P149*$X$1</f>
        <v>1532</v>
      </c>
      <c r="R149" s="534">
        <f>F148+220</f>
        <v>1517</v>
      </c>
      <c r="S149" s="257">
        <f>+R149*$X$1</f>
        <v>1517</v>
      </c>
      <c r="T149" s="534">
        <f>F148+170</f>
        <v>1467</v>
      </c>
      <c r="U149" s="257">
        <f t="shared" ref="U149:U150" si="330">+T149*$X$1</f>
        <v>1467</v>
      </c>
      <c r="V149" s="534">
        <f>F148+150</f>
        <v>1447</v>
      </c>
      <c r="W149" s="257">
        <f>+V149*$X$1</f>
        <v>1447</v>
      </c>
      <c r="X149" s="732"/>
      <c r="Y149" s="733"/>
      <c r="Z149" s="733"/>
      <c r="AA149" s="734"/>
      <c r="AB149" s="365">
        <v>321</v>
      </c>
    </row>
    <row r="150" spans="1:34" ht="12.6" customHeight="1" x14ac:dyDescent="0.2">
      <c r="A150" s="17"/>
      <c r="B150" s="844" t="s">
        <v>497</v>
      </c>
      <c r="C150" s="845"/>
      <c r="D150" s="845"/>
      <c r="E150" s="845"/>
      <c r="F150" s="258"/>
      <c r="G150" s="258"/>
      <c r="H150" s="267"/>
      <c r="I150" s="258"/>
      <c r="J150" s="406">
        <f>F148+400</f>
        <v>1697</v>
      </c>
      <c r="K150" s="258">
        <f t="shared" si="328"/>
        <v>1697</v>
      </c>
      <c r="L150" s="406">
        <f>F148+350</f>
        <v>1647</v>
      </c>
      <c r="M150" s="258">
        <f>+L150*$X$1</f>
        <v>1647</v>
      </c>
      <c r="N150" s="406">
        <f>F148+300</f>
        <v>1597</v>
      </c>
      <c r="O150" s="258">
        <f>+N150*$X$1</f>
        <v>1597</v>
      </c>
      <c r="P150" s="406">
        <f>F148+260</f>
        <v>1557</v>
      </c>
      <c r="Q150" s="258">
        <f t="shared" si="329"/>
        <v>1557</v>
      </c>
      <c r="R150" s="406">
        <f>F148+240</f>
        <v>1537</v>
      </c>
      <c r="S150" s="258">
        <f>+R150*$X$1</f>
        <v>1537</v>
      </c>
      <c r="T150" s="406">
        <f>F148+220</f>
        <v>1517</v>
      </c>
      <c r="U150" s="258">
        <f t="shared" si="330"/>
        <v>1517</v>
      </c>
      <c r="V150" s="406">
        <f>F148+200</f>
        <v>1497</v>
      </c>
      <c r="W150" s="258">
        <f>+V150*$X$1</f>
        <v>1497</v>
      </c>
      <c r="X150" s="732"/>
      <c r="Y150" s="733"/>
      <c r="Z150" s="733"/>
      <c r="AA150" s="734"/>
      <c r="AB150" s="365">
        <v>322</v>
      </c>
    </row>
    <row r="151" spans="1:34" ht="12.6" customHeight="1" x14ac:dyDescent="0.2">
      <c r="A151" s="17"/>
      <c r="B151" s="823" t="s">
        <v>306</v>
      </c>
      <c r="C151" s="824"/>
      <c r="D151" s="824"/>
      <c r="E151" s="824"/>
      <c r="F151" s="257">
        <v>1435</v>
      </c>
      <c r="G151" s="279">
        <f>+F151*$X$1</f>
        <v>1435</v>
      </c>
      <c r="H151" s="405" t="s">
        <v>164</v>
      </c>
      <c r="I151" s="540"/>
      <c r="J151" s="541"/>
      <c r="K151" s="541"/>
      <c r="L151" s="541"/>
      <c r="M151" s="541"/>
      <c r="N151" s="541"/>
      <c r="O151" s="541"/>
      <c r="P151" s="77">
        <v>130</v>
      </c>
      <c r="Q151" s="247">
        <f>+P151*$X$1</f>
        <v>130</v>
      </c>
      <c r="R151" s="282"/>
      <c r="S151" s="305"/>
      <c r="T151" s="542"/>
      <c r="U151" s="543"/>
      <c r="V151" s="79"/>
      <c r="W151" s="458"/>
      <c r="X151" s="732"/>
      <c r="Y151" s="733"/>
      <c r="Z151" s="733"/>
      <c r="AA151" s="734"/>
      <c r="AB151" s="368"/>
    </row>
    <row r="152" spans="1:34" ht="12.6" customHeight="1" x14ac:dyDescent="0.2">
      <c r="A152" s="17"/>
      <c r="B152" s="667" t="s">
        <v>165</v>
      </c>
      <c r="C152" s="668"/>
      <c r="D152" s="668"/>
      <c r="E152" s="668"/>
      <c r="F152" s="260">
        <v>1585</v>
      </c>
      <c r="G152" s="312">
        <f>+F152*$X$1</f>
        <v>1585</v>
      </c>
      <c r="H152" s="241" t="s">
        <v>164</v>
      </c>
      <c r="I152" s="544"/>
      <c r="J152" s="541"/>
      <c r="K152" s="541"/>
      <c r="L152" s="541"/>
      <c r="M152" s="541"/>
      <c r="N152" s="541"/>
      <c r="O152" s="541"/>
      <c r="P152" s="77">
        <v>130</v>
      </c>
      <c r="Q152" s="180">
        <f>+P152*$X$1</f>
        <v>130</v>
      </c>
      <c r="R152" s="256"/>
      <c r="S152" s="306"/>
      <c r="T152" s="545"/>
      <c r="U152" s="546"/>
      <c r="V152" s="82"/>
      <c r="W152" s="283"/>
      <c r="X152" s="732"/>
      <c r="Y152" s="733"/>
      <c r="Z152" s="733"/>
      <c r="AA152" s="734"/>
      <c r="AB152" s="368"/>
    </row>
    <row r="153" spans="1:34" ht="12.6" customHeight="1" x14ac:dyDescent="0.2">
      <c r="A153" s="17"/>
      <c r="B153" s="672" t="s">
        <v>768</v>
      </c>
      <c r="C153" s="673"/>
      <c r="D153" s="673"/>
      <c r="E153" s="673"/>
      <c r="F153" s="308"/>
      <c r="G153" s="308"/>
      <c r="H153" s="252"/>
      <c r="I153" s="305"/>
      <c r="J153" s="559">
        <f>F152+350</f>
        <v>1935</v>
      </c>
      <c r="K153" s="257">
        <f t="shared" ref="K153:K154" si="331">+J153*$X$1</f>
        <v>1935</v>
      </c>
      <c r="L153" s="559">
        <f>F152+300</f>
        <v>1885</v>
      </c>
      <c r="M153" s="257">
        <f>+L153*$X$1</f>
        <v>1885</v>
      </c>
      <c r="N153" s="559">
        <f>F152+250</f>
        <v>1835</v>
      </c>
      <c r="O153" s="257">
        <f>+N153*$X$1</f>
        <v>1835</v>
      </c>
      <c r="P153" s="559">
        <f>F152+210</f>
        <v>1795</v>
      </c>
      <c r="Q153" s="257">
        <f t="shared" ref="Q153:Q154" si="332">+P153*$X$1</f>
        <v>1795</v>
      </c>
      <c r="R153" s="559">
        <f>F152+190</f>
        <v>1775</v>
      </c>
      <c r="S153" s="257">
        <f>+R153*$X$1</f>
        <v>1775</v>
      </c>
      <c r="T153" s="559">
        <f>F152+170</f>
        <v>1755</v>
      </c>
      <c r="U153" s="257">
        <f t="shared" ref="U153:U154" si="333">+T153*$X$1</f>
        <v>1755</v>
      </c>
      <c r="V153" s="559">
        <f>F152+150</f>
        <v>1735</v>
      </c>
      <c r="W153" s="257">
        <f>+V153*$X$1</f>
        <v>1735</v>
      </c>
      <c r="X153" s="732"/>
      <c r="Y153" s="733"/>
      <c r="Z153" s="733"/>
      <c r="AA153" s="734"/>
      <c r="AB153" s="365">
        <v>325</v>
      </c>
    </row>
    <row r="154" spans="1:34" ht="12.6" customHeight="1" x14ac:dyDescent="0.2">
      <c r="A154" s="17"/>
      <c r="B154" s="667" t="s">
        <v>496</v>
      </c>
      <c r="C154" s="668"/>
      <c r="D154" s="668"/>
      <c r="E154" s="668"/>
      <c r="F154" s="307"/>
      <c r="G154" s="307"/>
      <c r="H154" s="251"/>
      <c r="I154" s="306"/>
      <c r="J154" s="576">
        <f>F152+400</f>
        <v>1985</v>
      </c>
      <c r="K154" s="258">
        <f t="shared" si="331"/>
        <v>1985</v>
      </c>
      <c r="L154" s="576">
        <f>F152+350</f>
        <v>1935</v>
      </c>
      <c r="M154" s="258">
        <f>+L154*$X$1</f>
        <v>1935</v>
      </c>
      <c r="N154" s="576">
        <f>F152+300</f>
        <v>1885</v>
      </c>
      <c r="O154" s="258">
        <f>+N154*$X$1</f>
        <v>1885</v>
      </c>
      <c r="P154" s="576">
        <f>F152+260</f>
        <v>1845</v>
      </c>
      <c r="Q154" s="258">
        <f t="shared" si="332"/>
        <v>1845</v>
      </c>
      <c r="R154" s="576">
        <f>F152+240</f>
        <v>1825</v>
      </c>
      <c r="S154" s="258">
        <f>+R154*$X$1</f>
        <v>1825</v>
      </c>
      <c r="T154" s="576">
        <f>F152+220</f>
        <v>1805</v>
      </c>
      <c r="U154" s="258">
        <f t="shared" si="333"/>
        <v>1805</v>
      </c>
      <c r="V154" s="576">
        <f>F152+200</f>
        <v>1785</v>
      </c>
      <c r="W154" s="258">
        <f>+V154*$X$1</f>
        <v>1785</v>
      </c>
      <c r="X154" s="732"/>
      <c r="Y154" s="733"/>
      <c r="Z154" s="733"/>
      <c r="AA154" s="734"/>
      <c r="AB154" s="365">
        <v>326</v>
      </c>
    </row>
    <row r="155" spans="1:34" ht="12.6" customHeight="1" x14ac:dyDescent="0.2">
      <c r="A155" s="17"/>
      <c r="B155" s="672" t="s">
        <v>322</v>
      </c>
      <c r="C155" s="673"/>
      <c r="D155" s="673"/>
      <c r="E155" s="673"/>
      <c r="F155" s="333">
        <f>8.34*X2</f>
        <v>11092.199999999999</v>
      </c>
      <c r="G155" s="257">
        <f>+F155*$X$1</f>
        <v>11092.199999999999</v>
      </c>
      <c r="H155" s="559">
        <f>F155+600</f>
        <v>11692.199999999999</v>
      </c>
      <c r="I155" s="257">
        <f>+H155*$X$1</f>
        <v>11692.199999999999</v>
      </c>
      <c r="J155" s="559">
        <f>F155+200</f>
        <v>11292.199999999999</v>
      </c>
      <c r="K155" s="257">
        <f>+J155*$X$1</f>
        <v>11292.199999999999</v>
      </c>
      <c r="L155" s="559">
        <f>F155+150</f>
        <v>11242.199999999999</v>
      </c>
      <c r="M155" s="257">
        <f>+L155*$X$1</f>
        <v>11242.199999999999</v>
      </c>
      <c r="N155" s="559">
        <f>F155+100</f>
        <v>11192.199999999999</v>
      </c>
      <c r="O155" s="257">
        <f>+N155*$X$1</f>
        <v>11192.199999999999</v>
      </c>
      <c r="P155" s="559">
        <f>F155+90</f>
        <v>11182.199999999999</v>
      </c>
      <c r="Q155" s="257">
        <f>+P155*$X$1</f>
        <v>11182.199999999999</v>
      </c>
      <c r="R155" s="559">
        <f>F155+70</f>
        <v>11162.199999999999</v>
      </c>
      <c r="S155" s="257">
        <f>+R155*$X$1</f>
        <v>11162.199999999999</v>
      </c>
      <c r="T155" s="559">
        <f>F155+56</f>
        <v>11148.199999999999</v>
      </c>
      <c r="U155" s="257">
        <f>+T155*$X$1</f>
        <v>11148.199999999999</v>
      </c>
      <c r="V155" s="559">
        <f>F155+49</f>
        <v>11141.199999999999</v>
      </c>
      <c r="W155" s="257">
        <f>+V155*$X$1</f>
        <v>11141.199999999999</v>
      </c>
      <c r="X155" s="714"/>
      <c r="Y155" s="808"/>
      <c r="Z155" s="808"/>
      <c r="AA155" s="716"/>
      <c r="AB155" s="178">
        <v>332</v>
      </c>
    </row>
    <row r="156" spans="1:34" ht="12.75" customHeight="1" x14ac:dyDescent="0.2">
      <c r="A156" s="17"/>
      <c r="B156" s="3"/>
      <c r="C156" s="3"/>
      <c r="D156" s="3"/>
      <c r="E156" s="3"/>
      <c r="F156" s="116"/>
      <c r="G156" s="4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7"/>
      <c r="W156" s="7"/>
      <c r="Y156" s="4"/>
      <c r="Z156" s="4"/>
      <c r="AA156" s="4"/>
      <c r="AB156" s="4"/>
      <c r="AC156" s="4"/>
      <c r="AD156" s="4"/>
    </row>
    <row r="157" spans="1:34" ht="12.75" customHeight="1" x14ac:dyDescent="0.2">
      <c r="A157" s="17"/>
      <c r="B157" s="3"/>
      <c r="C157" s="3"/>
      <c r="D157" s="3"/>
      <c r="E157" s="62"/>
      <c r="F157" s="116"/>
      <c r="G157" s="4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7"/>
      <c r="W157" s="7"/>
      <c r="Y157" s="4"/>
      <c r="Z157" s="4"/>
      <c r="AA157" s="4"/>
      <c r="AB157" s="4"/>
      <c r="AC157" s="4"/>
      <c r="AD157" s="4"/>
    </row>
    <row r="158" spans="1:34" ht="12.75" customHeight="1" x14ac:dyDescent="0.2">
      <c r="A158" s="17"/>
      <c r="B158" s="3"/>
      <c r="C158" s="3"/>
      <c r="D158" s="3"/>
      <c r="E158" s="3"/>
      <c r="F158" s="89"/>
      <c r="G158" s="4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7"/>
      <c r="W158" s="7"/>
      <c r="Y158" s="4"/>
      <c r="Z158" s="4"/>
      <c r="AA158" s="4"/>
      <c r="AB158" s="4"/>
      <c r="AC158" s="4"/>
      <c r="AD158" s="4"/>
    </row>
    <row r="159" spans="1:34" ht="14.25" customHeight="1" x14ac:dyDescent="0.2">
      <c r="A159" s="17"/>
      <c r="B159" s="796" t="s">
        <v>11</v>
      </c>
      <c r="C159" s="765" t="s">
        <v>12</v>
      </c>
      <c r="D159" s="766"/>
      <c r="E159" s="766"/>
      <c r="F159" s="649" t="s">
        <v>13</v>
      </c>
      <c r="G159" s="649" t="s">
        <v>13</v>
      </c>
      <c r="H159" s="651" t="s">
        <v>742</v>
      </c>
      <c r="I159" s="651"/>
      <c r="J159" s="652"/>
      <c r="K159" s="652"/>
      <c r="L159" s="652"/>
      <c r="M159" s="652"/>
      <c r="N159" s="652"/>
      <c r="O159" s="652"/>
      <c r="P159" s="652"/>
      <c r="Q159" s="652"/>
      <c r="R159" s="652"/>
      <c r="S159" s="652"/>
      <c r="T159" s="652"/>
      <c r="U159" s="652"/>
      <c r="V159" s="652"/>
      <c r="W159" s="652"/>
      <c r="X159" s="653" t="s">
        <v>14</v>
      </c>
      <c r="Y159" s="702"/>
      <c r="Z159" s="702"/>
      <c r="AA159" s="703"/>
      <c r="AB159" s="638" t="s">
        <v>15</v>
      </c>
      <c r="AF159" s="640" t="s">
        <v>3</v>
      </c>
      <c r="AG159" s="641"/>
      <c r="AH159" s="641"/>
    </row>
    <row r="160" spans="1:34" ht="12.6" customHeight="1" x14ac:dyDescent="0.2">
      <c r="A160" s="17"/>
      <c r="B160" s="796"/>
      <c r="C160" s="766"/>
      <c r="D160" s="766"/>
      <c r="E160" s="766"/>
      <c r="F160" s="650"/>
      <c r="G160" s="650"/>
      <c r="H160" s="415"/>
      <c r="I160" s="413" t="s">
        <v>267</v>
      </c>
      <c r="J160" s="415"/>
      <c r="K160" s="413" t="s">
        <v>17</v>
      </c>
      <c r="L160" s="416"/>
      <c r="M160" s="416" t="s">
        <v>18</v>
      </c>
      <c r="N160" s="416"/>
      <c r="O160" s="413" t="s">
        <v>19</v>
      </c>
      <c r="P160" s="416"/>
      <c r="Q160" s="416" t="s">
        <v>268</v>
      </c>
      <c r="R160" s="416"/>
      <c r="S160" s="416" t="s">
        <v>20</v>
      </c>
      <c r="T160" s="416"/>
      <c r="U160" s="416" t="s">
        <v>21</v>
      </c>
      <c r="V160" s="416"/>
      <c r="W160" s="416" t="s">
        <v>22</v>
      </c>
      <c r="X160" s="704"/>
      <c r="Y160" s="705"/>
      <c r="Z160" s="705"/>
      <c r="AA160" s="706"/>
      <c r="AB160" s="639"/>
      <c r="AG160" s="31"/>
    </row>
    <row r="161" spans="1:38" ht="12.6" customHeight="1" x14ac:dyDescent="0.2">
      <c r="A161" s="19"/>
      <c r="B161" s="642" t="s">
        <v>971</v>
      </c>
      <c r="C161" s="662"/>
      <c r="D161" s="662"/>
      <c r="E161" s="663"/>
      <c r="F161" s="334">
        <f>1.883*X2</f>
        <v>2504.39</v>
      </c>
      <c r="G161" s="272">
        <f>+F161*$X$1</f>
        <v>2504.39</v>
      </c>
      <c r="H161" s="576">
        <f t="shared" ref="H161" si="334">F161+600</f>
        <v>3104.39</v>
      </c>
      <c r="I161" s="258">
        <f t="shared" ref="I161" si="335">+H161*$X$1</f>
        <v>3104.39</v>
      </c>
      <c r="J161" s="82">
        <f>F161+200</f>
        <v>2704.39</v>
      </c>
      <c r="K161" s="258">
        <f t="shared" ref="K161" si="336">+J161*$X$1</f>
        <v>2704.39</v>
      </c>
      <c r="L161" s="576">
        <f t="shared" ref="L161" si="337">F161+150</f>
        <v>2654.39</v>
      </c>
      <c r="M161" s="258">
        <f t="shared" ref="M161" si="338">+L161*$X$1</f>
        <v>2654.39</v>
      </c>
      <c r="N161" s="576">
        <f t="shared" ref="N161" si="339">F161+110</f>
        <v>2614.39</v>
      </c>
      <c r="O161" s="258">
        <f t="shared" ref="O161" si="340">+N161*$X$1</f>
        <v>2614.39</v>
      </c>
      <c r="P161" s="576">
        <f t="shared" ref="P161" si="341">F161+100</f>
        <v>2604.39</v>
      </c>
      <c r="Q161" s="258">
        <f t="shared" ref="Q161" si="342">+P161*$X$1</f>
        <v>2604.39</v>
      </c>
      <c r="R161" s="576">
        <f t="shared" ref="R161" si="343">F161+80</f>
        <v>2584.39</v>
      </c>
      <c r="S161" s="258">
        <f t="shared" ref="S161" si="344">+R161*$X$1</f>
        <v>2584.39</v>
      </c>
      <c r="T161" s="576">
        <f t="shared" ref="T161" si="345">F161+65</f>
        <v>2569.39</v>
      </c>
      <c r="U161" s="258">
        <f t="shared" ref="U161" si="346">+T161*$X$1</f>
        <v>2569.39</v>
      </c>
      <c r="V161" s="576">
        <f t="shared" ref="V161" si="347">F161+56</f>
        <v>2560.39</v>
      </c>
      <c r="W161" s="258">
        <f t="shared" ref="W161" si="348">+V161*$X$1</f>
        <v>2560.39</v>
      </c>
      <c r="X161" s="810"/>
      <c r="Y161" s="811"/>
      <c r="Z161" s="811"/>
      <c r="AA161" s="812"/>
      <c r="AB161" s="178">
        <v>341</v>
      </c>
    </row>
    <row r="162" spans="1:38" ht="12.6" customHeight="1" x14ac:dyDescent="0.2">
      <c r="A162" s="19"/>
      <c r="B162" s="1009" t="s">
        <v>166</v>
      </c>
      <c r="C162" s="1010"/>
      <c r="D162" s="1010"/>
      <c r="E162" s="1010"/>
      <c r="F162" s="257">
        <v>530</v>
      </c>
      <c r="G162" s="257">
        <f t="shared" ref="G162" si="349">+F162*$X$1</f>
        <v>530</v>
      </c>
      <c r="H162" s="633"/>
      <c r="I162" s="633"/>
      <c r="J162" s="559">
        <f>F162+400</f>
        <v>930</v>
      </c>
      <c r="K162" s="257">
        <f t="shared" ref="K162" si="350">+J162*$X$1</f>
        <v>930</v>
      </c>
      <c r="L162" s="559">
        <f>F162+360</f>
        <v>890</v>
      </c>
      <c r="M162" s="257">
        <f>+L162*$X$1</f>
        <v>890</v>
      </c>
      <c r="N162" s="559">
        <f>F162+340</f>
        <v>870</v>
      </c>
      <c r="O162" s="257">
        <f>+N162*$X$1</f>
        <v>870</v>
      </c>
      <c r="P162" s="559">
        <f>F162+300</f>
        <v>830</v>
      </c>
      <c r="Q162" s="257">
        <f t="shared" ref="Q162" si="351">+P162*$X$1</f>
        <v>830</v>
      </c>
      <c r="R162" s="559">
        <f>F162+260</f>
        <v>790</v>
      </c>
      <c r="S162" s="257">
        <f>+R162*$X$1</f>
        <v>790</v>
      </c>
      <c r="T162" s="559"/>
      <c r="U162" s="257"/>
      <c r="V162" s="559"/>
      <c r="W162" s="257"/>
      <c r="X162" s="135"/>
      <c r="Y162" s="135"/>
      <c r="Z162" s="135"/>
      <c r="AA162" s="135"/>
      <c r="AB162" s="178">
        <v>347</v>
      </c>
    </row>
    <row r="163" spans="1:38" ht="12.6" customHeight="1" x14ac:dyDescent="0.2">
      <c r="A163" s="19"/>
      <c r="B163" s="667" t="s">
        <v>580</v>
      </c>
      <c r="C163" s="668"/>
      <c r="D163" s="668"/>
      <c r="E163" s="668"/>
      <c r="F163" s="265"/>
      <c r="G163" s="634"/>
      <c r="H163" s="576"/>
      <c r="I163" s="576"/>
      <c r="J163" s="576"/>
      <c r="K163" s="576"/>
      <c r="L163" s="251"/>
      <c r="M163" s="251"/>
      <c r="N163" s="634"/>
      <c r="O163" s="576"/>
      <c r="P163" s="251"/>
      <c r="Q163" s="251"/>
      <c r="R163" s="576"/>
      <c r="S163" s="576"/>
      <c r="T163" s="576"/>
      <c r="U163" s="85"/>
      <c r="V163" s="576"/>
      <c r="W163" s="85"/>
      <c r="X163" s="135"/>
      <c r="Y163" s="135"/>
      <c r="Z163" s="135"/>
      <c r="AA163" s="135"/>
      <c r="AB163" s="178">
        <v>348</v>
      </c>
    </row>
    <row r="164" spans="1:38" ht="12.6" customHeight="1" x14ac:dyDescent="0.2">
      <c r="A164" s="19"/>
      <c r="B164" s="672" t="s">
        <v>167</v>
      </c>
      <c r="C164" s="673"/>
      <c r="D164" s="673"/>
      <c r="E164" s="673"/>
      <c r="F164" s="266"/>
      <c r="G164" s="635"/>
      <c r="H164" s="559"/>
      <c r="I164" s="559"/>
      <c r="J164" s="559"/>
      <c r="K164" s="559"/>
      <c r="L164" s="252"/>
      <c r="M164" s="252"/>
      <c r="N164" s="635"/>
      <c r="O164" s="559"/>
      <c r="P164" s="252"/>
      <c r="Q164" s="252"/>
      <c r="R164" s="559"/>
      <c r="S164" s="559"/>
      <c r="T164" s="559"/>
      <c r="U164" s="87"/>
      <c r="V164" s="559"/>
      <c r="W164" s="87"/>
      <c r="X164" s="135"/>
      <c r="Y164" s="135"/>
      <c r="Z164" s="135"/>
      <c r="AA164" s="135"/>
      <c r="AB164" s="178">
        <v>349</v>
      </c>
    </row>
    <row r="165" spans="1:38" ht="12.6" customHeight="1" x14ac:dyDescent="0.2">
      <c r="A165" s="19"/>
      <c r="B165" s="667" t="s">
        <v>168</v>
      </c>
      <c r="C165" s="668"/>
      <c r="D165" s="668"/>
      <c r="E165" s="668"/>
      <c r="F165" s="265"/>
      <c r="G165" s="634"/>
      <c r="H165" s="576"/>
      <c r="I165" s="576"/>
      <c r="J165" s="576"/>
      <c r="K165" s="576"/>
      <c r="L165" s="251"/>
      <c r="M165" s="251"/>
      <c r="N165" s="634"/>
      <c r="O165" s="576"/>
      <c r="P165" s="251"/>
      <c r="Q165" s="251"/>
      <c r="R165" s="576"/>
      <c r="S165" s="576"/>
      <c r="T165" s="576"/>
      <c r="U165" s="85"/>
      <c r="V165" s="576"/>
      <c r="W165" s="85"/>
      <c r="X165" s="135"/>
      <c r="Y165" s="135"/>
      <c r="Z165" s="135"/>
      <c r="AA165" s="135"/>
      <c r="AB165" s="178">
        <v>350</v>
      </c>
    </row>
    <row r="166" spans="1:38" ht="12.6" customHeight="1" x14ac:dyDescent="0.2">
      <c r="A166" s="19"/>
      <c r="B166" s="672" t="s">
        <v>169</v>
      </c>
      <c r="C166" s="673"/>
      <c r="D166" s="673"/>
      <c r="E166" s="673"/>
      <c r="F166" s="266"/>
      <c r="G166" s="635"/>
      <c r="H166" s="559"/>
      <c r="I166" s="559"/>
      <c r="J166" s="559"/>
      <c r="K166" s="559"/>
      <c r="L166" s="252"/>
      <c r="M166" s="252"/>
      <c r="N166" s="635"/>
      <c r="O166" s="559"/>
      <c r="P166" s="252"/>
      <c r="Q166" s="252"/>
      <c r="R166" s="559"/>
      <c r="S166" s="559"/>
      <c r="T166" s="559"/>
      <c r="U166" s="87"/>
      <c r="V166" s="559"/>
      <c r="W166" s="87"/>
      <c r="X166" s="135"/>
      <c r="Y166" s="135"/>
      <c r="Z166" s="135"/>
      <c r="AA166" s="135"/>
      <c r="AB166" s="178">
        <v>351</v>
      </c>
    </row>
    <row r="167" spans="1:38" ht="12.6" customHeight="1" x14ac:dyDescent="0.2">
      <c r="A167" s="19"/>
      <c r="B167" s="667" t="s">
        <v>170</v>
      </c>
      <c r="C167" s="668"/>
      <c r="D167" s="668"/>
      <c r="E167" s="668"/>
      <c r="F167" s="265"/>
      <c r="G167" s="634"/>
      <c r="H167" s="576"/>
      <c r="I167" s="576"/>
      <c r="J167" s="576"/>
      <c r="K167" s="576"/>
      <c r="L167" s="251"/>
      <c r="M167" s="251"/>
      <c r="N167" s="92"/>
      <c r="O167" s="576"/>
      <c r="P167" s="251"/>
      <c r="Q167" s="251"/>
      <c r="R167" s="576"/>
      <c r="S167" s="576"/>
      <c r="T167" s="92"/>
      <c r="U167" s="636"/>
      <c r="V167" s="92"/>
      <c r="W167" s="636"/>
      <c r="X167" s="135"/>
      <c r="Y167" s="135"/>
      <c r="Z167" s="135"/>
      <c r="AA167" s="135"/>
      <c r="AB167" s="178">
        <v>352</v>
      </c>
    </row>
    <row r="168" spans="1:38" ht="12.6" customHeight="1" x14ac:dyDescent="0.2">
      <c r="A168" s="19"/>
      <c r="B168" s="678" t="s">
        <v>339</v>
      </c>
      <c r="C168" s="679"/>
      <c r="D168" s="679"/>
      <c r="E168" s="680"/>
      <c r="F168" s="337">
        <f>0.6*X2</f>
        <v>798</v>
      </c>
      <c r="G168" s="235">
        <f t="shared" ref="G168" si="352">+F168*$X$1</f>
        <v>798</v>
      </c>
      <c r="H168" s="342"/>
      <c r="I168" s="257"/>
      <c r="J168" s="68"/>
      <c r="K168" s="257"/>
      <c r="L168" s="559">
        <f t="shared" ref="L168" si="353">F168+150</f>
        <v>948</v>
      </c>
      <c r="M168" s="257">
        <f t="shared" ref="M168" si="354">+L168*$X$1</f>
        <v>948</v>
      </c>
      <c r="N168" s="559">
        <f t="shared" ref="N168" si="355">F168+110</f>
        <v>908</v>
      </c>
      <c r="O168" s="257">
        <f t="shared" ref="O168" si="356">+N168*$X$1</f>
        <v>908</v>
      </c>
      <c r="P168" s="559">
        <f t="shared" ref="P168" si="357">F168+100</f>
        <v>898</v>
      </c>
      <c r="Q168" s="257">
        <f t="shared" ref="Q168" si="358">+P168*$X$1</f>
        <v>898</v>
      </c>
      <c r="R168" s="559">
        <f t="shared" ref="R168" si="359">F168+80</f>
        <v>878</v>
      </c>
      <c r="S168" s="257">
        <f t="shared" ref="S168" si="360">+R168*$X$1</f>
        <v>878</v>
      </c>
      <c r="T168" s="559">
        <f t="shared" ref="T168" si="361">F168+65</f>
        <v>863</v>
      </c>
      <c r="U168" s="257">
        <f t="shared" ref="U168" si="362">+T168*$X$1</f>
        <v>863</v>
      </c>
      <c r="V168" s="559">
        <f t="shared" ref="V168" si="363">F168+56</f>
        <v>854</v>
      </c>
      <c r="W168" s="257">
        <f t="shared" ref="W168" si="364">+V168*$X$1</f>
        <v>854</v>
      </c>
      <c r="X168" s="810"/>
      <c r="Y168" s="811"/>
      <c r="Z168" s="811"/>
      <c r="AA168" s="812"/>
      <c r="AB168" s="178">
        <v>370</v>
      </c>
    </row>
    <row r="169" spans="1:38" ht="12.6" customHeight="1" x14ac:dyDescent="0.2">
      <c r="A169" s="19"/>
      <c r="B169" s="982" t="s">
        <v>500</v>
      </c>
      <c r="C169" s="983"/>
      <c r="D169" s="983"/>
      <c r="E169" s="984"/>
      <c r="F169" s="468">
        <v>760</v>
      </c>
      <c r="G169" s="548">
        <f t="shared" ref="G169" si="365">+F169*$X$1</f>
        <v>760</v>
      </c>
      <c r="H169" s="552"/>
      <c r="I169" s="469"/>
      <c r="J169" s="471">
        <f>F169+200</f>
        <v>960</v>
      </c>
      <c r="K169" s="469">
        <f t="shared" ref="K169" si="366">+J169*$X$1</f>
        <v>960</v>
      </c>
      <c r="L169" s="602">
        <f t="shared" ref="L169" si="367">F169+150</f>
        <v>910</v>
      </c>
      <c r="M169" s="469">
        <f t="shared" ref="M169" si="368">+L169*$X$1</f>
        <v>910</v>
      </c>
      <c r="N169" s="602">
        <f t="shared" ref="N169" si="369">F169+110</f>
        <v>870</v>
      </c>
      <c r="O169" s="469">
        <f t="shared" ref="O169" si="370">+N169*$X$1</f>
        <v>870</v>
      </c>
      <c r="P169" s="602">
        <f t="shared" ref="P169" si="371">F169+100</f>
        <v>860</v>
      </c>
      <c r="Q169" s="469">
        <f t="shared" ref="Q169" si="372">+P169*$X$1</f>
        <v>860</v>
      </c>
      <c r="R169" s="602">
        <f t="shared" ref="R169" si="373">F169+80</f>
        <v>840</v>
      </c>
      <c r="S169" s="469">
        <f t="shared" ref="S169" si="374">+R169*$X$1</f>
        <v>840</v>
      </c>
      <c r="T169" s="602">
        <f t="shared" ref="T169" si="375">F169+65</f>
        <v>825</v>
      </c>
      <c r="U169" s="469">
        <f t="shared" ref="U169" si="376">+T169*$X$1</f>
        <v>825</v>
      </c>
      <c r="V169" s="602">
        <f t="shared" ref="V169" si="377">F169+56</f>
        <v>816</v>
      </c>
      <c r="W169" s="469">
        <f t="shared" ref="W169" si="378">+V169*$X$1</f>
        <v>816</v>
      </c>
      <c r="X169" s="810"/>
      <c r="Y169" s="811"/>
      <c r="Z169" s="811"/>
      <c r="AA169" s="812"/>
      <c r="AB169" s="354">
        <v>373</v>
      </c>
    </row>
    <row r="170" spans="1:38" ht="12.6" customHeight="1" x14ac:dyDescent="0.2">
      <c r="A170" s="19"/>
      <c r="B170" s="678" t="s">
        <v>171</v>
      </c>
      <c r="C170" s="679"/>
      <c r="D170" s="679"/>
      <c r="E170" s="680"/>
      <c r="F170" s="333">
        <f>1.36*X2</f>
        <v>1808.8000000000002</v>
      </c>
      <c r="G170" s="235">
        <f>+F170*$X$1</f>
        <v>1808.8000000000002</v>
      </c>
      <c r="H170" s="342"/>
      <c r="I170" s="257"/>
      <c r="J170" s="68">
        <f>F170+200</f>
        <v>2008.8000000000002</v>
      </c>
      <c r="K170" s="257">
        <f t="shared" ref="K170:K173" si="379">+J170*$X$1</f>
        <v>2008.8000000000002</v>
      </c>
      <c r="L170" s="559">
        <f t="shared" ref="L170" si="380">F170+150</f>
        <v>1958.8000000000002</v>
      </c>
      <c r="M170" s="257">
        <f t="shared" ref="M170:M173" si="381">+L170*$X$1</f>
        <v>1958.8000000000002</v>
      </c>
      <c r="N170" s="559">
        <f t="shared" ref="N170" si="382">F170+110</f>
        <v>1918.8000000000002</v>
      </c>
      <c r="O170" s="257">
        <f t="shared" ref="O170" si="383">+N170*$X$1</f>
        <v>1918.8000000000002</v>
      </c>
      <c r="P170" s="559">
        <f t="shared" ref="P170" si="384">F170+100</f>
        <v>1908.8000000000002</v>
      </c>
      <c r="Q170" s="257">
        <f t="shared" ref="Q170:Q173" si="385">+P170*$X$1</f>
        <v>1908.8000000000002</v>
      </c>
      <c r="R170" s="559">
        <f t="shared" ref="R170" si="386">F170+80</f>
        <v>1888.8000000000002</v>
      </c>
      <c r="S170" s="257">
        <f t="shared" ref="S170" si="387">+R170*$X$1</f>
        <v>1888.8000000000002</v>
      </c>
      <c r="T170" s="559">
        <f t="shared" ref="T170" si="388">F170+65</f>
        <v>1873.8000000000002</v>
      </c>
      <c r="U170" s="257">
        <f t="shared" ref="U170:U173" si="389">+T170*$X$1</f>
        <v>1873.8000000000002</v>
      </c>
      <c r="V170" s="559">
        <f t="shared" ref="V170" si="390">F170+56</f>
        <v>1864.8000000000002</v>
      </c>
      <c r="W170" s="257">
        <f t="shared" ref="W170:W173" si="391">+V170*$X$1</f>
        <v>1864.8000000000002</v>
      </c>
      <c r="X170" s="810"/>
      <c r="Y170" s="811"/>
      <c r="Z170" s="811"/>
      <c r="AA170" s="812"/>
      <c r="AB170" s="178">
        <v>375</v>
      </c>
    </row>
    <row r="171" spans="1:38" ht="12.6" customHeight="1" x14ac:dyDescent="0.2">
      <c r="A171" s="19"/>
      <c r="B171" s="687" t="s">
        <v>172</v>
      </c>
      <c r="C171" s="688"/>
      <c r="D171" s="688"/>
      <c r="E171" s="689"/>
      <c r="F171" s="334">
        <f>4.67*X2</f>
        <v>6211.0999999999995</v>
      </c>
      <c r="G171" s="272">
        <f>+F171*$X$1</f>
        <v>6211.0999999999995</v>
      </c>
      <c r="H171" s="576">
        <f>F171+600</f>
        <v>6811.0999999999995</v>
      </c>
      <c r="I171" s="258">
        <f t="shared" ref="I171:I173" si="392">+H171*$X$1</f>
        <v>6811.0999999999995</v>
      </c>
      <c r="J171" s="576">
        <f>F171+200</f>
        <v>6411.0999999999995</v>
      </c>
      <c r="K171" s="258">
        <f t="shared" si="379"/>
        <v>6411.0999999999995</v>
      </c>
      <c r="L171" s="576">
        <f>F171+150</f>
        <v>6361.0999999999995</v>
      </c>
      <c r="M171" s="258">
        <f t="shared" si="381"/>
        <v>6361.0999999999995</v>
      </c>
      <c r="N171" s="576">
        <f>F171+100</f>
        <v>6311.0999999999995</v>
      </c>
      <c r="O171" s="258">
        <f>+N171*$X$1</f>
        <v>6311.0999999999995</v>
      </c>
      <c r="P171" s="576">
        <f>F171+90</f>
        <v>6301.0999999999995</v>
      </c>
      <c r="Q171" s="258">
        <f t="shared" si="385"/>
        <v>6301.0999999999995</v>
      </c>
      <c r="R171" s="576">
        <f>F171+70</f>
        <v>6281.0999999999995</v>
      </c>
      <c r="S171" s="258">
        <f>+R171*$X$1</f>
        <v>6281.0999999999995</v>
      </c>
      <c r="T171" s="576">
        <f>F171+56</f>
        <v>6267.0999999999995</v>
      </c>
      <c r="U171" s="258">
        <f t="shared" si="389"/>
        <v>6267.0999999999995</v>
      </c>
      <c r="V171" s="576">
        <f>F171+49</f>
        <v>6260.0999999999995</v>
      </c>
      <c r="W171" s="258">
        <f t="shared" si="391"/>
        <v>6260.0999999999995</v>
      </c>
      <c r="X171" s="714"/>
      <c r="Y171" s="808"/>
      <c r="Z171" s="808"/>
      <c r="AA171" s="716"/>
      <c r="AB171" s="178">
        <v>376</v>
      </c>
    </row>
    <row r="172" spans="1:38" ht="12.6" customHeight="1" x14ac:dyDescent="0.2">
      <c r="A172" s="94"/>
      <c r="B172" s="642" t="s">
        <v>969</v>
      </c>
      <c r="C172" s="662"/>
      <c r="D172" s="662"/>
      <c r="E172" s="663"/>
      <c r="F172" s="333">
        <f>7.9*X2</f>
        <v>10507</v>
      </c>
      <c r="G172" s="257">
        <f t="shared" ref="G172:G173" si="393">+F172*$X$1</f>
        <v>10507</v>
      </c>
      <c r="H172" s="559">
        <f>F172+900</f>
        <v>11407</v>
      </c>
      <c r="I172" s="257">
        <f t="shared" si="392"/>
        <v>11407</v>
      </c>
      <c r="J172" s="559">
        <f>F172+300</f>
        <v>10807</v>
      </c>
      <c r="K172" s="257">
        <f t="shared" si="379"/>
        <v>10807</v>
      </c>
      <c r="L172" s="559">
        <f>F172+240</f>
        <v>10747</v>
      </c>
      <c r="M172" s="257">
        <f t="shared" si="381"/>
        <v>10747</v>
      </c>
      <c r="N172" s="559">
        <f>F172+200</f>
        <v>10707</v>
      </c>
      <c r="O172" s="257">
        <f t="shared" ref="O172:O173" si="394">+N172*$X$1</f>
        <v>10707</v>
      </c>
      <c r="P172" s="559">
        <f>F172+160</f>
        <v>10667</v>
      </c>
      <c r="Q172" s="257">
        <f t="shared" si="385"/>
        <v>10667</v>
      </c>
      <c r="R172" s="559">
        <f>F172+140</f>
        <v>10647</v>
      </c>
      <c r="S172" s="257">
        <f t="shared" ref="S172:S173" si="395">+R172*$X$1</f>
        <v>10647</v>
      </c>
      <c r="T172" s="559">
        <f>F172+110</f>
        <v>10617</v>
      </c>
      <c r="U172" s="257">
        <f t="shared" si="389"/>
        <v>10617</v>
      </c>
      <c r="V172" s="559">
        <f>F172+90</f>
        <v>10597</v>
      </c>
      <c r="W172" s="257">
        <f t="shared" si="391"/>
        <v>10597</v>
      </c>
      <c r="X172" s="810"/>
      <c r="Y172" s="811"/>
      <c r="Z172" s="811"/>
      <c r="AA172" s="812"/>
      <c r="AB172" s="178">
        <v>378</v>
      </c>
    </row>
    <row r="173" spans="1:38" s="1" customFormat="1" ht="12.6" customHeight="1" x14ac:dyDescent="0.2">
      <c r="A173" s="18"/>
      <c r="B173" s="642" t="s">
        <v>999</v>
      </c>
      <c r="C173" s="662"/>
      <c r="D173" s="662"/>
      <c r="E173" s="663"/>
      <c r="F173" s="503">
        <f>4.27*X2</f>
        <v>5679.0999999999995</v>
      </c>
      <c r="G173" s="258">
        <f t="shared" si="393"/>
        <v>5679.0999999999995</v>
      </c>
      <c r="H173" s="82">
        <f>F173+500</f>
        <v>6179.0999999999995</v>
      </c>
      <c r="I173" s="258">
        <f t="shared" si="392"/>
        <v>6179.0999999999995</v>
      </c>
      <c r="J173" s="576">
        <f>F173+210</f>
        <v>5889.0999999999995</v>
      </c>
      <c r="K173" s="258">
        <f t="shared" si="379"/>
        <v>5889.0999999999995</v>
      </c>
      <c r="L173" s="576">
        <f>F173+150</f>
        <v>5829.0999999999995</v>
      </c>
      <c r="M173" s="258">
        <f t="shared" si="381"/>
        <v>5829.0999999999995</v>
      </c>
      <c r="N173" s="576">
        <f>F173+120</f>
        <v>5799.0999999999995</v>
      </c>
      <c r="O173" s="258">
        <f t="shared" si="394"/>
        <v>5799.0999999999995</v>
      </c>
      <c r="P173" s="576">
        <f>F173+95</f>
        <v>5774.0999999999995</v>
      </c>
      <c r="Q173" s="258">
        <f t="shared" si="385"/>
        <v>5774.0999999999995</v>
      </c>
      <c r="R173" s="576">
        <f>F173+85</f>
        <v>5764.0999999999995</v>
      </c>
      <c r="S173" s="258">
        <f t="shared" si="395"/>
        <v>5764.0999999999995</v>
      </c>
      <c r="T173" s="576">
        <f>F173+77</f>
        <v>5756.0999999999995</v>
      </c>
      <c r="U173" s="258">
        <f t="shared" si="389"/>
        <v>5756.0999999999995</v>
      </c>
      <c r="V173" s="576">
        <f>F173+68</f>
        <v>5747.0999999999995</v>
      </c>
      <c r="W173" s="258">
        <f t="shared" si="391"/>
        <v>5747.0999999999995</v>
      </c>
      <c r="X173" s="599"/>
      <c r="Y173" s="600"/>
      <c r="Z173" s="600"/>
      <c r="AA173" s="601"/>
      <c r="AB173" s="178">
        <v>380</v>
      </c>
      <c r="AC173" s="4"/>
      <c r="AD173" s="4"/>
      <c r="AE173" s="4"/>
      <c r="AF173" s="4"/>
      <c r="AG173" s="4"/>
      <c r="AH173" s="433"/>
      <c r="AI173" s="4"/>
      <c r="AJ173" s="4"/>
      <c r="AK173" s="4"/>
      <c r="AL173" s="4"/>
    </row>
    <row r="174" spans="1:38" ht="12.6" customHeight="1" x14ac:dyDescent="0.2">
      <c r="A174" s="94"/>
      <c r="B174" s="642" t="s">
        <v>858</v>
      </c>
      <c r="C174" s="662"/>
      <c r="D174" s="662"/>
      <c r="E174" s="663"/>
      <c r="F174" s="333">
        <f>2.58*X2</f>
        <v>3431.4</v>
      </c>
      <c r="G174" s="257">
        <f t="shared" ref="G174" si="396">+F174*$X$1</f>
        <v>3431.4</v>
      </c>
      <c r="H174" s="559">
        <f t="shared" ref="H174:H189" si="397">F174+600</f>
        <v>4031.4</v>
      </c>
      <c r="I174" s="257">
        <f t="shared" ref="I174:I176" si="398">+H174*$X$1</f>
        <v>4031.4</v>
      </c>
      <c r="J174" s="68">
        <f t="shared" ref="J174:J184" si="399">F174+200</f>
        <v>3631.4</v>
      </c>
      <c r="K174" s="257">
        <f t="shared" ref="K174:K176" si="400">+J174*$X$1</f>
        <v>3631.4</v>
      </c>
      <c r="L174" s="559">
        <f t="shared" ref="L174:L176" si="401">F174+150</f>
        <v>3581.4</v>
      </c>
      <c r="M174" s="257">
        <f t="shared" ref="M174:M176" si="402">+L174*$X$1</f>
        <v>3581.4</v>
      </c>
      <c r="N174" s="559">
        <f t="shared" ref="N174:N176" si="403">F174+110</f>
        <v>3541.4</v>
      </c>
      <c r="O174" s="257">
        <f t="shared" ref="O174:O176" si="404">+N174*$X$1</f>
        <v>3541.4</v>
      </c>
      <c r="P174" s="559">
        <f t="shared" ref="P174:P176" si="405">F174+100</f>
        <v>3531.4</v>
      </c>
      <c r="Q174" s="257">
        <f t="shared" ref="Q174:Q176" si="406">+P174*$X$1</f>
        <v>3531.4</v>
      </c>
      <c r="R174" s="559">
        <f t="shared" ref="R174:R176" si="407">F174+80</f>
        <v>3511.4</v>
      </c>
      <c r="S174" s="257">
        <f t="shared" ref="S174:S176" si="408">+R174*$X$1</f>
        <v>3511.4</v>
      </c>
      <c r="T174" s="559">
        <f t="shared" ref="T174:T176" si="409">F174+65</f>
        <v>3496.4</v>
      </c>
      <c r="U174" s="257">
        <f t="shared" ref="U174:U176" si="410">+T174*$X$1</f>
        <v>3496.4</v>
      </c>
      <c r="V174" s="559">
        <f t="shared" ref="V174:V176" si="411">F174+56</f>
        <v>3487.4</v>
      </c>
      <c r="W174" s="257">
        <f t="shared" ref="W174:W176" si="412">+V174*$X$1</f>
        <v>3487.4</v>
      </c>
      <c r="X174" s="810"/>
      <c r="Y174" s="811"/>
      <c r="Z174" s="811"/>
      <c r="AA174" s="812"/>
      <c r="AB174" s="178">
        <v>381</v>
      </c>
    </row>
    <row r="175" spans="1:38" ht="12.6" customHeight="1" x14ac:dyDescent="0.2">
      <c r="A175" s="94"/>
      <c r="B175" s="687" t="s">
        <v>357</v>
      </c>
      <c r="C175" s="688"/>
      <c r="D175" s="688"/>
      <c r="E175" s="689"/>
      <c r="F175" s="334">
        <f>1.82*X2</f>
        <v>2420.6</v>
      </c>
      <c r="G175" s="272">
        <f t="shared" ref="G175:G179" si="413">+F175*$X$1</f>
        <v>2420.6</v>
      </c>
      <c r="H175" s="576">
        <f t="shared" si="397"/>
        <v>3020.6</v>
      </c>
      <c r="I175" s="258">
        <f t="shared" si="398"/>
        <v>3020.6</v>
      </c>
      <c r="J175" s="82">
        <f t="shared" si="399"/>
        <v>2620.6</v>
      </c>
      <c r="K175" s="258">
        <f t="shared" si="400"/>
        <v>2620.6</v>
      </c>
      <c r="L175" s="576">
        <f t="shared" si="401"/>
        <v>2570.6</v>
      </c>
      <c r="M175" s="258">
        <f t="shared" si="402"/>
        <v>2570.6</v>
      </c>
      <c r="N175" s="576">
        <f t="shared" si="403"/>
        <v>2530.6</v>
      </c>
      <c r="O175" s="258">
        <f t="shared" si="404"/>
        <v>2530.6</v>
      </c>
      <c r="P175" s="576">
        <f t="shared" si="405"/>
        <v>2520.6</v>
      </c>
      <c r="Q175" s="258">
        <f t="shared" si="406"/>
        <v>2520.6</v>
      </c>
      <c r="R175" s="576">
        <f t="shared" si="407"/>
        <v>2500.6</v>
      </c>
      <c r="S175" s="258">
        <f t="shared" si="408"/>
        <v>2500.6</v>
      </c>
      <c r="T175" s="576">
        <f t="shared" si="409"/>
        <v>2485.6</v>
      </c>
      <c r="U175" s="258">
        <f t="shared" si="410"/>
        <v>2485.6</v>
      </c>
      <c r="V175" s="576">
        <f t="shared" si="411"/>
        <v>2476.6</v>
      </c>
      <c r="W175" s="258">
        <f t="shared" si="412"/>
        <v>2476.6</v>
      </c>
      <c r="X175" s="810"/>
      <c r="Y175" s="811"/>
      <c r="Z175" s="811"/>
      <c r="AA175" s="812"/>
      <c r="AB175" s="178">
        <v>382</v>
      </c>
    </row>
    <row r="176" spans="1:38" ht="12.6" customHeight="1" x14ac:dyDescent="0.2">
      <c r="A176" s="94"/>
      <c r="B176" s="678" t="s">
        <v>866</v>
      </c>
      <c r="C176" s="679"/>
      <c r="D176" s="679"/>
      <c r="E176" s="680"/>
      <c r="F176" s="333">
        <f>29.4*X2</f>
        <v>39102</v>
      </c>
      <c r="G176" s="257">
        <f t="shared" si="413"/>
        <v>39102</v>
      </c>
      <c r="H176" s="559">
        <f t="shared" si="397"/>
        <v>39702</v>
      </c>
      <c r="I176" s="257">
        <f t="shared" si="398"/>
        <v>39702</v>
      </c>
      <c r="J176" s="68">
        <f t="shared" si="399"/>
        <v>39302</v>
      </c>
      <c r="K176" s="257">
        <f t="shared" si="400"/>
        <v>39302</v>
      </c>
      <c r="L176" s="559">
        <f t="shared" si="401"/>
        <v>39252</v>
      </c>
      <c r="M176" s="257">
        <f t="shared" si="402"/>
        <v>39252</v>
      </c>
      <c r="N176" s="559">
        <f t="shared" si="403"/>
        <v>39212</v>
      </c>
      <c r="O176" s="257">
        <f t="shared" si="404"/>
        <v>39212</v>
      </c>
      <c r="P176" s="559">
        <f t="shared" si="405"/>
        <v>39202</v>
      </c>
      <c r="Q176" s="257">
        <f t="shared" si="406"/>
        <v>39202</v>
      </c>
      <c r="R176" s="559">
        <f t="shared" si="407"/>
        <v>39182</v>
      </c>
      <c r="S176" s="257">
        <f t="shared" si="408"/>
        <v>39182</v>
      </c>
      <c r="T176" s="559">
        <f t="shared" si="409"/>
        <v>39167</v>
      </c>
      <c r="U176" s="257">
        <f t="shared" si="410"/>
        <v>39167</v>
      </c>
      <c r="V176" s="559">
        <f t="shared" si="411"/>
        <v>39158</v>
      </c>
      <c r="W176" s="257">
        <f t="shared" si="412"/>
        <v>39158</v>
      </c>
      <c r="X176" s="810"/>
      <c r="Y176" s="811"/>
      <c r="Z176" s="811"/>
      <c r="AA176" s="812"/>
      <c r="AB176" s="178">
        <v>384</v>
      </c>
    </row>
    <row r="177" spans="1:38" ht="12.6" customHeight="1" x14ac:dyDescent="0.2">
      <c r="A177" s="94"/>
      <c r="B177" s="642" t="s">
        <v>1034</v>
      </c>
      <c r="C177" s="662"/>
      <c r="D177" s="662"/>
      <c r="E177" s="663"/>
      <c r="F177" s="334">
        <v>28206</v>
      </c>
      <c r="G177" s="258">
        <f t="shared" ref="G177" si="414">+F177*$X$1</f>
        <v>28206</v>
      </c>
      <c r="H177" s="576">
        <f t="shared" ref="H177" si="415">F177+600</f>
        <v>28806</v>
      </c>
      <c r="I177" s="258">
        <f t="shared" ref="I177" si="416">+H177*$X$1</f>
        <v>28806</v>
      </c>
      <c r="J177" s="82">
        <f t="shared" ref="J177" si="417">F177+200</f>
        <v>28406</v>
      </c>
      <c r="K177" s="258">
        <f t="shared" ref="K177" si="418">+J177*$X$1</f>
        <v>28406</v>
      </c>
      <c r="L177" s="576">
        <f t="shared" ref="L177" si="419">F177+150</f>
        <v>28356</v>
      </c>
      <c r="M177" s="258">
        <f t="shared" ref="M177" si="420">+L177*$X$1</f>
        <v>28356</v>
      </c>
      <c r="N177" s="576">
        <f t="shared" ref="N177" si="421">F177+110</f>
        <v>28316</v>
      </c>
      <c r="O177" s="258">
        <f t="shared" ref="O177" si="422">+N177*$X$1</f>
        <v>28316</v>
      </c>
      <c r="P177" s="576">
        <f t="shared" ref="P177" si="423">F177+100</f>
        <v>28306</v>
      </c>
      <c r="Q177" s="258">
        <f t="shared" ref="Q177" si="424">+P177*$X$1</f>
        <v>28306</v>
      </c>
      <c r="R177" s="576">
        <f t="shared" ref="R177" si="425">F177+80</f>
        <v>28286</v>
      </c>
      <c r="S177" s="258">
        <f t="shared" ref="S177" si="426">+R177*$X$1</f>
        <v>28286</v>
      </c>
      <c r="T177" s="576">
        <f t="shared" ref="T177" si="427">F177+65</f>
        <v>28271</v>
      </c>
      <c r="U177" s="258">
        <f t="shared" ref="U177" si="428">+T177*$X$1</f>
        <v>28271</v>
      </c>
      <c r="V177" s="576">
        <f t="shared" ref="V177" si="429">F177+56</f>
        <v>28262</v>
      </c>
      <c r="W177" s="258">
        <f t="shared" ref="W177" si="430">+V177*$X$1</f>
        <v>28262</v>
      </c>
      <c r="X177" s="810"/>
      <c r="Y177" s="811"/>
      <c r="Z177" s="811"/>
      <c r="AA177" s="812"/>
      <c r="AB177" s="178">
        <v>387</v>
      </c>
    </row>
    <row r="178" spans="1:38" ht="12.6" customHeight="1" x14ac:dyDescent="0.2">
      <c r="A178" s="19"/>
      <c r="B178" s="678" t="s">
        <v>816</v>
      </c>
      <c r="C178" s="679"/>
      <c r="D178" s="679"/>
      <c r="E178" s="680"/>
      <c r="F178" s="333">
        <f>17.8*X2</f>
        <v>23674</v>
      </c>
      <c r="G178" s="235">
        <f t="shared" si="413"/>
        <v>23674</v>
      </c>
      <c r="H178" s="534">
        <f t="shared" si="397"/>
        <v>24274</v>
      </c>
      <c r="I178" s="257">
        <f t="shared" ref="I178:I182" si="431">+H178*$X$1</f>
        <v>24274</v>
      </c>
      <c r="J178" s="534">
        <f t="shared" si="399"/>
        <v>23874</v>
      </c>
      <c r="K178" s="257">
        <f t="shared" ref="K178:K182" si="432">+J178*$X$1</f>
        <v>23874</v>
      </c>
      <c r="L178" s="534">
        <f>F178+150</f>
        <v>23824</v>
      </c>
      <c r="M178" s="257">
        <f t="shared" ref="M178:M182" si="433">+L178*$X$1</f>
        <v>23824</v>
      </c>
      <c r="N178" s="534">
        <f>F178+100</f>
        <v>23774</v>
      </c>
      <c r="O178" s="257">
        <f>+N178*$X$1</f>
        <v>23774</v>
      </c>
      <c r="P178" s="534">
        <f>F178+90</f>
        <v>23764</v>
      </c>
      <c r="Q178" s="257">
        <f t="shared" ref="Q178:Q182" si="434">+P178*$X$1</f>
        <v>23764</v>
      </c>
      <c r="R178" s="534">
        <f>F178+70</f>
        <v>23744</v>
      </c>
      <c r="S178" s="257">
        <f>+R178*$X$1</f>
        <v>23744</v>
      </c>
      <c r="T178" s="534">
        <f>F178+56</f>
        <v>23730</v>
      </c>
      <c r="U178" s="257">
        <f t="shared" ref="U178:U186" si="435">+T178*$X$1</f>
        <v>23730</v>
      </c>
      <c r="V178" s="534">
        <f>F178+49</f>
        <v>23723</v>
      </c>
      <c r="W178" s="257">
        <f t="shared" ref="W178:W186" si="436">+V178*$X$1</f>
        <v>23723</v>
      </c>
      <c r="X178" s="810"/>
      <c r="Y178" s="811"/>
      <c r="Z178" s="811"/>
      <c r="AA178" s="812"/>
      <c r="AB178" s="178">
        <v>392</v>
      </c>
    </row>
    <row r="179" spans="1:38" ht="12.6" customHeight="1" x14ac:dyDescent="0.2">
      <c r="A179" s="19"/>
      <c r="B179" s="687" t="s">
        <v>878</v>
      </c>
      <c r="C179" s="688"/>
      <c r="D179" s="688"/>
      <c r="E179" s="689"/>
      <c r="F179" s="334">
        <f>50.44*X2</f>
        <v>67085.2</v>
      </c>
      <c r="G179" s="272">
        <f t="shared" si="413"/>
        <v>67085.2</v>
      </c>
      <c r="H179" s="406">
        <f t="shared" si="397"/>
        <v>67685.2</v>
      </c>
      <c r="I179" s="258">
        <f t="shared" si="431"/>
        <v>67685.2</v>
      </c>
      <c r="J179" s="82">
        <f t="shared" si="399"/>
        <v>67285.2</v>
      </c>
      <c r="K179" s="258">
        <f t="shared" si="432"/>
        <v>67285.2</v>
      </c>
      <c r="L179" s="406">
        <f t="shared" ref="L179:L182" si="437">F179+150</f>
        <v>67235.199999999997</v>
      </c>
      <c r="M179" s="258">
        <f t="shared" si="433"/>
        <v>67235.199999999997</v>
      </c>
      <c r="N179" s="406">
        <f t="shared" ref="N179:N182" si="438">F179+110</f>
        <v>67195.199999999997</v>
      </c>
      <c r="O179" s="258">
        <f t="shared" ref="O179:O182" si="439">+N179*$X$1</f>
        <v>67195.199999999997</v>
      </c>
      <c r="P179" s="406">
        <f t="shared" ref="P179:P182" si="440">F179+100</f>
        <v>67185.2</v>
      </c>
      <c r="Q179" s="258">
        <f t="shared" si="434"/>
        <v>67185.2</v>
      </c>
      <c r="R179" s="406">
        <f t="shared" ref="R179:R182" si="441">F179+80</f>
        <v>67165.2</v>
      </c>
      <c r="S179" s="258">
        <f t="shared" ref="S179:S182" si="442">+R179*$X$1</f>
        <v>67165.2</v>
      </c>
      <c r="T179" s="406">
        <f t="shared" ref="T179:T182" si="443">F179+65</f>
        <v>67150.2</v>
      </c>
      <c r="U179" s="258">
        <f t="shared" si="435"/>
        <v>67150.2</v>
      </c>
      <c r="V179" s="406">
        <f t="shared" ref="V179:V182" si="444">F179+56</f>
        <v>67141.2</v>
      </c>
      <c r="W179" s="258">
        <f t="shared" si="436"/>
        <v>67141.2</v>
      </c>
      <c r="X179" s="810"/>
      <c r="Y179" s="811"/>
      <c r="Z179" s="811"/>
      <c r="AA179" s="812"/>
      <c r="AB179" s="178">
        <v>393</v>
      </c>
    </row>
    <row r="180" spans="1:38" ht="12.6" customHeight="1" x14ac:dyDescent="0.2">
      <c r="A180" s="19"/>
      <c r="B180" s="678" t="s">
        <v>877</v>
      </c>
      <c r="C180" s="679"/>
      <c r="D180" s="679"/>
      <c r="E180" s="680"/>
      <c r="F180" s="333">
        <f>32.8*X2</f>
        <v>43623.999999999993</v>
      </c>
      <c r="G180" s="235">
        <f t="shared" ref="G180" si="445">+F180*$X$1</f>
        <v>43623.999999999993</v>
      </c>
      <c r="H180" s="406">
        <f t="shared" si="397"/>
        <v>44223.999999999993</v>
      </c>
      <c r="I180" s="257">
        <f t="shared" si="431"/>
        <v>44223.999999999993</v>
      </c>
      <c r="J180" s="68">
        <f t="shared" si="399"/>
        <v>43823.999999999993</v>
      </c>
      <c r="K180" s="257">
        <f t="shared" si="432"/>
        <v>43823.999999999993</v>
      </c>
      <c r="L180" s="534">
        <f t="shared" si="437"/>
        <v>43773.999999999993</v>
      </c>
      <c r="M180" s="257">
        <f t="shared" si="433"/>
        <v>43773.999999999993</v>
      </c>
      <c r="N180" s="534">
        <f t="shared" si="438"/>
        <v>43733.999999999993</v>
      </c>
      <c r="O180" s="257">
        <f t="shared" si="439"/>
        <v>43733.999999999993</v>
      </c>
      <c r="P180" s="534">
        <f t="shared" si="440"/>
        <v>43723.999999999993</v>
      </c>
      <c r="Q180" s="257">
        <f t="shared" si="434"/>
        <v>43723.999999999993</v>
      </c>
      <c r="R180" s="534">
        <f t="shared" si="441"/>
        <v>43703.999999999993</v>
      </c>
      <c r="S180" s="257">
        <f t="shared" si="442"/>
        <v>43703.999999999993</v>
      </c>
      <c r="T180" s="534">
        <f t="shared" si="443"/>
        <v>43688.999999999993</v>
      </c>
      <c r="U180" s="257">
        <f t="shared" si="435"/>
        <v>43688.999999999993</v>
      </c>
      <c r="V180" s="534">
        <f t="shared" si="444"/>
        <v>43679.999999999993</v>
      </c>
      <c r="W180" s="257">
        <f t="shared" si="436"/>
        <v>43679.999999999993</v>
      </c>
      <c r="X180" s="810"/>
      <c r="Y180" s="811"/>
      <c r="Z180" s="811"/>
      <c r="AA180" s="812"/>
      <c r="AB180" s="178">
        <v>394</v>
      </c>
    </row>
    <row r="181" spans="1:38" ht="12.6" customHeight="1" x14ac:dyDescent="0.2">
      <c r="A181" s="19"/>
      <c r="B181" s="687" t="s">
        <v>856</v>
      </c>
      <c r="C181" s="688"/>
      <c r="D181" s="688"/>
      <c r="E181" s="689"/>
      <c r="F181" s="334">
        <f>17.2*X2</f>
        <v>22876</v>
      </c>
      <c r="G181" s="272">
        <f t="shared" ref="G181:G183" si="446">+F181*$X$1</f>
        <v>22876</v>
      </c>
      <c r="H181" s="406">
        <f t="shared" si="397"/>
        <v>23476</v>
      </c>
      <c r="I181" s="258">
        <f t="shared" si="431"/>
        <v>23476</v>
      </c>
      <c r="J181" s="82">
        <f t="shared" si="399"/>
        <v>23076</v>
      </c>
      <c r="K181" s="258">
        <f t="shared" si="432"/>
        <v>23076</v>
      </c>
      <c r="L181" s="406">
        <f t="shared" si="437"/>
        <v>23026</v>
      </c>
      <c r="M181" s="258">
        <f t="shared" si="433"/>
        <v>23026</v>
      </c>
      <c r="N181" s="406">
        <f t="shared" si="438"/>
        <v>22986</v>
      </c>
      <c r="O181" s="258">
        <f t="shared" si="439"/>
        <v>22986</v>
      </c>
      <c r="P181" s="406">
        <f t="shared" si="440"/>
        <v>22976</v>
      </c>
      <c r="Q181" s="258">
        <f t="shared" si="434"/>
        <v>22976</v>
      </c>
      <c r="R181" s="406">
        <f t="shared" si="441"/>
        <v>22956</v>
      </c>
      <c r="S181" s="258">
        <f t="shared" si="442"/>
        <v>22956</v>
      </c>
      <c r="T181" s="406">
        <f t="shared" si="443"/>
        <v>22941</v>
      </c>
      <c r="U181" s="258">
        <f t="shared" si="435"/>
        <v>22941</v>
      </c>
      <c r="V181" s="406">
        <f t="shared" si="444"/>
        <v>22932</v>
      </c>
      <c r="W181" s="258">
        <f t="shared" si="436"/>
        <v>22932</v>
      </c>
      <c r="X181" s="810"/>
      <c r="Y181" s="811"/>
      <c r="Z181" s="811"/>
      <c r="AA181" s="812"/>
      <c r="AB181" s="178">
        <v>395</v>
      </c>
    </row>
    <row r="182" spans="1:38" ht="12.6" customHeight="1" x14ac:dyDescent="0.2">
      <c r="A182" s="19"/>
      <c r="B182" s="678" t="s">
        <v>890</v>
      </c>
      <c r="C182" s="679"/>
      <c r="D182" s="679"/>
      <c r="E182" s="680"/>
      <c r="F182" s="333">
        <f>21.95*X2</f>
        <v>29193.5</v>
      </c>
      <c r="G182" s="235">
        <f t="shared" ref="G182" si="447">+F182*$X$1</f>
        <v>29193.5</v>
      </c>
      <c r="H182" s="406">
        <f t="shared" si="397"/>
        <v>29793.5</v>
      </c>
      <c r="I182" s="257">
        <f t="shared" si="431"/>
        <v>29793.5</v>
      </c>
      <c r="J182" s="68">
        <f t="shared" si="399"/>
        <v>29393.5</v>
      </c>
      <c r="K182" s="257">
        <f t="shared" si="432"/>
        <v>29393.5</v>
      </c>
      <c r="L182" s="534">
        <f t="shared" si="437"/>
        <v>29343.5</v>
      </c>
      <c r="M182" s="257">
        <f t="shared" si="433"/>
        <v>29343.5</v>
      </c>
      <c r="N182" s="534">
        <f t="shared" si="438"/>
        <v>29303.5</v>
      </c>
      <c r="O182" s="257">
        <f t="shared" si="439"/>
        <v>29303.5</v>
      </c>
      <c r="P182" s="534">
        <f t="shared" si="440"/>
        <v>29293.5</v>
      </c>
      <c r="Q182" s="257">
        <f t="shared" si="434"/>
        <v>29293.5</v>
      </c>
      <c r="R182" s="534">
        <f t="shared" si="441"/>
        <v>29273.5</v>
      </c>
      <c r="S182" s="257">
        <f t="shared" si="442"/>
        <v>29273.5</v>
      </c>
      <c r="T182" s="534">
        <f t="shared" si="443"/>
        <v>29258.5</v>
      </c>
      <c r="U182" s="257">
        <f t="shared" si="435"/>
        <v>29258.5</v>
      </c>
      <c r="V182" s="534">
        <f t="shared" si="444"/>
        <v>29249.5</v>
      </c>
      <c r="W182" s="257">
        <f t="shared" si="436"/>
        <v>29249.5</v>
      </c>
      <c r="X182" s="810"/>
      <c r="Y182" s="811"/>
      <c r="Z182" s="811"/>
      <c r="AA182" s="812"/>
      <c r="AB182" s="178">
        <v>396</v>
      </c>
    </row>
    <row r="183" spans="1:38" ht="12.6" customHeight="1" x14ac:dyDescent="0.2">
      <c r="A183" s="19"/>
      <c r="B183" s="687" t="s">
        <v>854</v>
      </c>
      <c r="C183" s="688"/>
      <c r="D183" s="688"/>
      <c r="E183" s="689"/>
      <c r="F183" s="334">
        <f>19.4*X2</f>
        <v>25801.999999999996</v>
      </c>
      <c r="G183" s="272">
        <f t="shared" si="446"/>
        <v>25801.999999999996</v>
      </c>
      <c r="H183" s="406">
        <f t="shared" si="397"/>
        <v>26401.999999999996</v>
      </c>
      <c r="I183" s="258">
        <f t="shared" ref="I183:I185" si="448">+H183*$X$1</f>
        <v>26401.999999999996</v>
      </c>
      <c r="J183" s="406">
        <f t="shared" si="399"/>
        <v>26001.999999999996</v>
      </c>
      <c r="K183" s="258">
        <f t="shared" ref="K183:K185" si="449">+J183*$X$1</f>
        <v>26001.999999999996</v>
      </c>
      <c r="L183" s="406">
        <f>F183+150</f>
        <v>25951.999999999996</v>
      </c>
      <c r="M183" s="258">
        <f t="shared" ref="M183:M185" si="450">+L183*$X$1</f>
        <v>25951.999999999996</v>
      </c>
      <c r="N183" s="406">
        <f>F183+100</f>
        <v>25901.999999999996</v>
      </c>
      <c r="O183" s="258">
        <f>+N183*$X$1</f>
        <v>25901.999999999996</v>
      </c>
      <c r="P183" s="406">
        <f>F183+90</f>
        <v>25891.999999999996</v>
      </c>
      <c r="Q183" s="258">
        <f t="shared" ref="Q183:Q185" si="451">+P183*$X$1</f>
        <v>25891.999999999996</v>
      </c>
      <c r="R183" s="406">
        <f>F183+70</f>
        <v>25871.999999999996</v>
      </c>
      <c r="S183" s="258">
        <f>+R183*$X$1</f>
        <v>25871.999999999996</v>
      </c>
      <c r="T183" s="406">
        <f>F183+56</f>
        <v>25857.999999999996</v>
      </c>
      <c r="U183" s="258">
        <f t="shared" ref="U183:U185" si="452">+T183*$X$1</f>
        <v>25857.999999999996</v>
      </c>
      <c r="V183" s="406">
        <f>F183+49</f>
        <v>25850.999999999996</v>
      </c>
      <c r="W183" s="258">
        <f t="shared" ref="W183:W185" si="453">+V183*$X$1</f>
        <v>25850.999999999996</v>
      </c>
      <c r="X183" s="810"/>
      <c r="Y183" s="811"/>
      <c r="Z183" s="811"/>
      <c r="AA183" s="812"/>
      <c r="AB183" s="178">
        <v>397</v>
      </c>
    </row>
    <row r="184" spans="1:38" ht="12.6" customHeight="1" x14ac:dyDescent="0.2">
      <c r="A184" s="19"/>
      <c r="B184" s="678" t="s">
        <v>855</v>
      </c>
      <c r="C184" s="679"/>
      <c r="D184" s="679"/>
      <c r="E184" s="680"/>
      <c r="F184" s="333">
        <f>15.4*X2</f>
        <v>20482</v>
      </c>
      <c r="G184" s="235">
        <f t="shared" ref="G184:G186" si="454">+F184*$X$1</f>
        <v>20482</v>
      </c>
      <c r="H184" s="534">
        <f t="shared" si="397"/>
        <v>21082</v>
      </c>
      <c r="I184" s="257">
        <f t="shared" si="448"/>
        <v>21082</v>
      </c>
      <c r="J184" s="534">
        <f t="shared" si="399"/>
        <v>20682</v>
      </c>
      <c r="K184" s="257">
        <f t="shared" si="449"/>
        <v>20682</v>
      </c>
      <c r="L184" s="534">
        <f>F184+150</f>
        <v>20632</v>
      </c>
      <c r="M184" s="257">
        <f t="shared" si="450"/>
        <v>20632</v>
      </c>
      <c r="N184" s="534">
        <f>F184+100</f>
        <v>20582</v>
      </c>
      <c r="O184" s="257">
        <f>+N184*$X$1</f>
        <v>20582</v>
      </c>
      <c r="P184" s="534">
        <f>F184+90</f>
        <v>20572</v>
      </c>
      <c r="Q184" s="257">
        <f t="shared" si="451"/>
        <v>20572</v>
      </c>
      <c r="R184" s="534">
        <f>F184+70</f>
        <v>20552</v>
      </c>
      <c r="S184" s="257">
        <f>+R184*$X$1</f>
        <v>20552</v>
      </c>
      <c r="T184" s="534">
        <f>F184+56</f>
        <v>20538</v>
      </c>
      <c r="U184" s="257">
        <f t="shared" si="452"/>
        <v>20538</v>
      </c>
      <c r="V184" s="534">
        <f>F184+49</f>
        <v>20531</v>
      </c>
      <c r="W184" s="257">
        <f t="shared" si="453"/>
        <v>20531</v>
      </c>
      <c r="X184" s="810"/>
      <c r="Y184" s="811"/>
      <c r="Z184" s="811"/>
      <c r="AA184" s="812"/>
      <c r="AB184" s="178">
        <v>398</v>
      </c>
    </row>
    <row r="185" spans="1:38" s="1" customFormat="1" ht="12.6" customHeight="1" x14ac:dyDescent="0.2">
      <c r="A185" s="18"/>
      <c r="B185" s="687" t="s">
        <v>880</v>
      </c>
      <c r="C185" s="688"/>
      <c r="D185" s="688"/>
      <c r="E185" s="689"/>
      <c r="F185" s="503">
        <f>25.63*X2</f>
        <v>34087.9</v>
      </c>
      <c r="G185" s="258">
        <f t="shared" si="454"/>
        <v>34087.9</v>
      </c>
      <c r="H185" s="82">
        <f t="shared" si="397"/>
        <v>34687.9</v>
      </c>
      <c r="I185" s="258">
        <f t="shared" si="448"/>
        <v>34687.9</v>
      </c>
      <c r="J185" s="406">
        <f>F185+220</f>
        <v>34307.9</v>
      </c>
      <c r="K185" s="258">
        <f t="shared" si="449"/>
        <v>34307.9</v>
      </c>
      <c r="L185" s="406">
        <f>F185+170</f>
        <v>34257.9</v>
      </c>
      <c r="M185" s="258">
        <f t="shared" si="450"/>
        <v>34257.9</v>
      </c>
      <c r="N185" s="406">
        <f>F185+120</f>
        <v>34207.9</v>
      </c>
      <c r="O185" s="258">
        <f t="shared" ref="O185" si="455">+N185*$X$1</f>
        <v>34207.9</v>
      </c>
      <c r="P185" s="406">
        <f>F185+110</f>
        <v>34197.9</v>
      </c>
      <c r="Q185" s="258">
        <f t="shared" si="451"/>
        <v>34197.9</v>
      </c>
      <c r="R185" s="406">
        <f>F185+95</f>
        <v>34182.9</v>
      </c>
      <c r="S185" s="258">
        <f t="shared" ref="S185" si="456">+R185*$X$1</f>
        <v>34182.9</v>
      </c>
      <c r="T185" s="406">
        <f>F185+85</f>
        <v>34172.9</v>
      </c>
      <c r="U185" s="258">
        <f t="shared" si="452"/>
        <v>34172.9</v>
      </c>
      <c r="V185" s="406">
        <f>F185+76</f>
        <v>34163.9</v>
      </c>
      <c r="W185" s="258">
        <f t="shared" si="453"/>
        <v>34163.9</v>
      </c>
      <c r="X185" s="521"/>
      <c r="Y185" s="522"/>
      <c r="Z185" s="522"/>
      <c r="AA185" s="523"/>
      <c r="AB185" s="178">
        <v>399</v>
      </c>
      <c r="AC185" s="4"/>
      <c r="AD185" s="4"/>
      <c r="AE185" s="4"/>
      <c r="AF185" s="4"/>
      <c r="AG185" s="4"/>
      <c r="AH185" s="116"/>
      <c r="AI185" s="4"/>
      <c r="AJ185" s="4"/>
      <c r="AK185" s="4"/>
      <c r="AL185" s="4"/>
    </row>
    <row r="186" spans="1:38" ht="12.6" customHeight="1" x14ac:dyDescent="0.2">
      <c r="A186" s="19"/>
      <c r="B186" s="678" t="s">
        <v>879</v>
      </c>
      <c r="C186" s="679"/>
      <c r="D186" s="679"/>
      <c r="E186" s="680"/>
      <c r="F186" s="333">
        <f>28.77*X2</f>
        <v>38264.1</v>
      </c>
      <c r="G186" s="235">
        <f t="shared" si="454"/>
        <v>38264.1</v>
      </c>
      <c r="H186" s="534">
        <f t="shared" si="397"/>
        <v>38864.1</v>
      </c>
      <c r="I186" s="257">
        <f t="shared" ref="I186:I189" si="457">+H186*$X$1</f>
        <v>38864.1</v>
      </c>
      <c r="J186" s="68">
        <f t="shared" ref="J186:J191" si="458">F186+200</f>
        <v>38464.1</v>
      </c>
      <c r="K186" s="257">
        <f t="shared" ref="K186:K189" si="459">+J186*$X$1</f>
        <v>38464.1</v>
      </c>
      <c r="L186" s="534">
        <f t="shared" ref="L186" si="460">F186+150</f>
        <v>38414.1</v>
      </c>
      <c r="M186" s="257">
        <f t="shared" ref="M186:M189" si="461">+L186*$X$1</f>
        <v>38414.1</v>
      </c>
      <c r="N186" s="534">
        <f t="shared" ref="N186" si="462">F186+110</f>
        <v>38374.1</v>
      </c>
      <c r="O186" s="257">
        <f t="shared" ref="O186" si="463">+N186*$X$1</f>
        <v>38374.1</v>
      </c>
      <c r="P186" s="534">
        <f t="shared" ref="P186" si="464">F186+100</f>
        <v>38364.1</v>
      </c>
      <c r="Q186" s="257">
        <f t="shared" ref="Q186:Q189" si="465">+P186*$X$1</f>
        <v>38364.1</v>
      </c>
      <c r="R186" s="534">
        <f t="shared" ref="R186" si="466">F186+80</f>
        <v>38344.1</v>
      </c>
      <c r="S186" s="257">
        <f t="shared" ref="S186" si="467">+R186*$X$1</f>
        <v>38344.1</v>
      </c>
      <c r="T186" s="534">
        <f t="shared" ref="T186" si="468">F186+65</f>
        <v>38329.1</v>
      </c>
      <c r="U186" s="257">
        <f t="shared" si="435"/>
        <v>38329.1</v>
      </c>
      <c r="V186" s="534">
        <f t="shared" ref="V186" si="469">F186+56</f>
        <v>38320.1</v>
      </c>
      <c r="W186" s="257">
        <f t="shared" si="436"/>
        <v>38320.1</v>
      </c>
      <c r="X186" s="810"/>
      <c r="Y186" s="811"/>
      <c r="Z186" s="811"/>
      <c r="AA186" s="812"/>
      <c r="AB186" s="178">
        <v>402</v>
      </c>
    </row>
    <row r="187" spans="1:38" ht="12.6" customHeight="1" x14ac:dyDescent="0.2">
      <c r="A187" s="19"/>
      <c r="B187" s="713" t="s">
        <v>555</v>
      </c>
      <c r="C187" s="771"/>
      <c r="D187" s="771"/>
      <c r="E187" s="771"/>
      <c r="F187" s="334">
        <f>13.317*X2</f>
        <v>17711.61</v>
      </c>
      <c r="G187" s="272">
        <f t="shared" ref="G187" si="470">+F187*$X$1</f>
        <v>17711.61</v>
      </c>
      <c r="H187" s="406">
        <f t="shared" si="397"/>
        <v>18311.61</v>
      </c>
      <c r="I187" s="258">
        <f t="shared" ref="I187" si="471">+H187*$X$1</f>
        <v>18311.61</v>
      </c>
      <c r="J187" s="406">
        <f t="shared" si="458"/>
        <v>17911.61</v>
      </c>
      <c r="K187" s="258">
        <f t="shared" si="459"/>
        <v>17911.61</v>
      </c>
      <c r="L187" s="406">
        <f>F187+150</f>
        <v>17861.61</v>
      </c>
      <c r="M187" s="258">
        <f t="shared" ref="M187" si="472">+L187*$X$1</f>
        <v>17861.61</v>
      </c>
      <c r="N187" s="406">
        <f>F187+100</f>
        <v>17811.61</v>
      </c>
      <c r="O187" s="258">
        <f>+N187*$X$1</f>
        <v>17811.61</v>
      </c>
      <c r="P187" s="406">
        <f>F187+90</f>
        <v>17801.61</v>
      </c>
      <c r="Q187" s="258">
        <f t="shared" ref="Q187" si="473">+P187*$X$1</f>
        <v>17801.61</v>
      </c>
      <c r="R187" s="406">
        <f>F187+70</f>
        <v>17781.61</v>
      </c>
      <c r="S187" s="258">
        <f>+R187*$X$1</f>
        <v>17781.61</v>
      </c>
      <c r="T187" s="406">
        <f>F187+56</f>
        <v>17767.61</v>
      </c>
      <c r="U187" s="258">
        <f t="shared" ref="U187" si="474">+T187*$X$1</f>
        <v>17767.61</v>
      </c>
      <c r="V187" s="406">
        <f>F187+49</f>
        <v>17760.61</v>
      </c>
      <c r="W187" s="258">
        <f t="shared" ref="W187" si="475">+V187*$X$1</f>
        <v>17760.61</v>
      </c>
      <c r="X187" s="715"/>
      <c r="Y187" s="808"/>
      <c r="Z187" s="808"/>
      <c r="AA187" s="716"/>
      <c r="AB187" s="178" t="s">
        <v>556</v>
      </c>
    </row>
    <row r="188" spans="1:38" ht="12.6" customHeight="1" x14ac:dyDescent="0.2">
      <c r="A188" s="19"/>
      <c r="B188" s="665" t="s">
        <v>564</v>
      </c>
      <c r="C188" s="666"/>
      <c r="D188" s="666"/>
      <c r="E188" s="666"/>
      <c r="F188" s="333">
        <f>17.78*X2</f>
        <v>23647.4</v>
      </c>
      <c r="G188" s="235">
        <f t="shared" ref="G188" si="476">+F188*$X$1</f>
        <v>23647.4</v>
      </c>
      <c r="H188" s="534">
        <f t="shared" si="397"/>
        <v>24247.4</v>
      </c>
      <c r="I188" s="257">
        <f t="shared" si="457"/>
        <v>24247.4</v>
      </c>
      <c r="J188" s="534">
        <f t="shared" si="458"/>
        <v>23847.4</v>
      </c>
      <c r="K188" s="257">
        <f t="shared" si="459"/>
        <v>23847.4</v>
      </c>
      <c r="L188" s="534">
        <f>F188+150</f>
        <v>23797.4</v>
      </c>
      <c r="M188" s="257">
        <f t="shared" si="461"/>
        <v>23797.4</v>
      </c>
      <c r="N188" s="534">
        <f>F188+100</f>
        <v>23747.4</v>
      </c>
      <c r="O188" s="257">
        <f>+N188*$X$1</f>
        <v>23747.4</v>
      </c>
      <c r="P188" s="534">
        <f>F188+90</f>
        <v>23737.4</v>
      </c>
      <c r="Q188" s="257">
        <f t="shared" si="465"/>
        <v>23737.4</v>
      </c>
      <c r="R188" s="534">
        <f>F188+70</f>
        <v>23717.4</v>
      </c>
      <c r="S188" s="257">
        <f>+R188*$X$1</f>
        <v>23717.4</v>
      </c>
      <c r="T188" s="534">
        <f>F188+56</f>
        <v>23703.4</v>
      </c>
      <c r="U188" s="257">
        <f t="shared" ref="U188:U189" si="477">+T188*$X$1</f>
        <v>23703.4</v>
      </c>
      <c r="V188" s="534">
        <f>F188+49</f>
        <v>23696.400000000001</v>
      </c>
      <c r="W188" s="257">
        <f t="shared" ref="W188:W189" si="478">+V188*$X$1</f>
        <v>23696.400000000001</v>
      </c>
      <c r="X188" s="166"/>
      <c r="Y188" s="168"/>
      <c r="Z188" s="168"/>
      <c r="AA188" s="166"/>
      <c r="AB188" s="178" t="s">
        <v>563</v>
      </c>
    </row>
    <row r="189" spans="1:38" ht="12.6" customHeight="1" x14ac:dyDescent="0.2">
      <c r="A189" s="19"/>
      <c r="B189" s="713" t="s">
        <v>558</v>
      </c>
      <c r="C189" s="771"/>
      <c r="D189" s="771"/>
      <c r="E189" s="771"/>
      <c r="F189" s="334">
        <f>12.84*X2</f>
        <v>17077.2</v>
      </c>
      <c r="G189" s="272">
        <f t="shared" ref="G189" si="479">+F189*$X$1</f>
        <v>17077.2</v>
      </c>
      <c r="H189" s="406">
        <f t="shared" si="397"/>
        <v>17677.2</v>
      </c>
      <c r="I189" s="258">
        <f t="shared" si="457"/>
        <v>17677.2</v>
      </c>
      <c r="J189" s="82">
        <f t="shared" si="458"/>
        <v>17277.2</v>
      </c>
      <c r="K189" s="258">
        <f t="shared" si="459"/>
        <v>17277.2</v>
      </c>
      <c r="L189" s="406">
        <f t="shared" ref="L189" si="480">F189+150</f>
        <v>17227.2</v>
      </c>
      <c r="M189" s="258">
        <f t="shared" si="461"/>
        <v>17227.2</v>
      </c>
      <c r="N189" s="406">
        <f t="shared" ref="N189" si="481">F189+110</f>
        <v>17187.2</v>
      </c>
      <c r="O189" s="258">
        <f t="shared" ref="O189" si="482">+N189*$X$1</f>
        <v>17187.2</v>
      </c>
      <c r="P189" s="406">
        <f t="shared" ref="P189" si="483">F189+100</f>
        <v>17177.2</v>
      </c>
      <c r="Q189" s="258">
        <f t="shared" si="465"/>
        <v>17177.2</v>
      </c>
      <c r="R189" s="406">
        <f t="shared" ref="R189" si="484">F189+80</f>
        <v>17157.2</v>
      </c>
      <c r="S189" s="258">
        <f t="shared" ref="S189" si="485">+R189*$X$1</f>
        <v>17157.2</v>
      </c>
      <c r="T189" s="406">
        <f t="shared" ref="T189" si="486">F189+65</f>
        <v>17142.2</v>
      </c>
      <c r="U189" s="258">
        <f t="shared" si="477"/>
        <v>17142.2</v>
      </c>
      <c r="V189" s="406">
        <f t="shared" ref="V189" si="487">F189+56</f>
        <v>17133.2</v>
      </c>
      <c r="W189" s="258">
        <f t="shared" si="478"/>
        <v>17133.2</v>
      </c>
      <c r="X189" s="810"/>
      <c r="Y189" s="811"/>
      <c r="Z189" s="811"/>
      <c r="AA189" s="812"/>
      <c r="AB189" s="178" t="s">
        <v>557</v>
      </c>
    </row>
    <row r="190" spans="1:38" ht="12.6" customHeight="1" x14ac:dyDescent="0.2">
      <c r="A190" s="19"/>
      <c r="B190" s="665" t="s">
        <v>318</v>
      </c>
      <c r="C190" s="666"/>
      <c r="D190" s="666"/>
      <c r="E190" s="666"/>
      <c r="F190" s="333">
        <f>15.93*X2</f>
        <v>21186.899999999998</v>
      </c>
      <c r="G190" s="235">
        <f t="shared" ref="G190:G191" si="488">+F190*$X$1</f>
        <v>21186.899999999998</v>
      </c>
      <c r="H190" s="534"/>
      <c r="I190" s="257"/>
      <c r="J190" s="68">
        <f t="shared" si="458"/>
        <v>21386.899999999998</v>
      </c>
      <c r="K190" s="257">
        <f t="shared" ref="K190" si="489">+J190*$X$1</f>
        <v>21386.899999999998</v>
      </c>
      <c r="L190" s="534">
        <f t="shared" ref="L190" si="490">F190+150</f>
        <v>21336.899999999998</v>
      </c>
      <c r="M190" s="257">
        <f t="shared" ref="M190" si="491">+L190*$X$1</f>
        <v>21336.899999999998</v>
      </c>
      <c r="N190" s="534">
        <f t="shared" ref="N190" si="492">F190+110</f>
        <v>21296.899999999998</v>
      </c>
      <c r="O190" s="257">
        <f t="shared" ref="O190" si="493">+N190*$X$1</f>
        <v>21296.899999999998</v>
      </c>
      <c r="P190" s="534">
        <f t="shared" ref="P190" si="494">F190+100</f>
        <v>21286.899999999998</v>
      </c>
      <c r="Q190" s="257">
        <f t="shared" ref="Q190" si="495">+P190*$X$1</f>
        <v>21286.899999999998</v>
      </c>
      <c r="R190" s="534">
        <f t="shared" ref="R190" si="496">F190+80</f>
        <v>21266.899999999998</v>
      </c>
      <c r="S190" s="257">
        <f t="shared" ref="S190" si="497">+R190*$X$1</f>
        <v>21266.899999999998</v>
      </c>
      <c r="T190" s="534">
        <f t="shared" ref="T190" si="498">F190+65</f>
        <v>21251.899999999998</v>
      </c>
      <c r="U190" s="257">
        <f t="shared" ref="U190" si="499">+T190*$X$1</f>
        <v>21251.899999999998</v>
      </c>
      <c r="V190" s="68"/>
      <c r="W190" s="68"/>
      <c r="X190" s="810"/>
      <c r="Y190" s="811"/>
      <c r="Z190" s="811"/>
      <c r="AA190" s="812"/>
      <c r="AB190" s="178">
        <v>405</v>
      </c>
    </row>
    <row r="191" spans="1:38" ht="12.6" customHeight="1" x14ac:dyDescent="0.2">
      <c r="A191" s="19"/>
      <c r="B191" s="713" t="s">
        <v>562</v>
      </c>
      <c r="C191" s="771"/>
      <c r="D191" s="771"/>
      <c r="E191" s="771"/>
      <c r="F191" s="334">
        <f>15.6*X2</f>
        <v>20748</v>
      </c>
      <c r="G191" s="272">
        <f t="shared" si="488"/>
        <v>20748</v>
      </c>
      <c r="H191" s="406">
        <f>F191+600</f>
        <v>21348</v>
      </c>
      <c r="I191" s="258">
        <f t="shared" ref="I191:I192" si="500">+H191*$X$1</f>
        <v>21348</v>
      </c>
      <c r="J191" s="406">
        <f t="shared" si="458"/>
        <v>20948</v>
      </c>
      <c r="K191" s="258">
        <f t="shared" ref="K191:K192" si="501">+J191*$X$1</f>
        <v>20948</v>
      </c>
      <c r="L191" s="406">
        <f>F191+150</f>
        <v>20898</v>
      </c>
      <c r="M191" s="258">
        <f t="shared" ref="M191:M192" si="502">+L191*$X$1</f>
        <v>20898</v>
      </c>
      <c r="N191" s="406">
        <f>F191+100</f>
        <v>20848</v>
      </c>
      <c r="O191" s="258">
        <f>+N191*$X$1</f>
        <v>20848</v>
      </c>
      <c r="P191" s="406">
        <f>F191+90</f>
        <v>20838</v>
      </c>
      <c r="Q191" s="258">
        <f t="shared" ref="Q191:Q192" si="503">+P191*$X$1</f>
        <v>20838</v>
      </c>
      <c r="R191" s="406">
        <f>F191+70</f>
        <v>20818</v>
      </c>
      <c r="S191" s="258">
        <f>+R191*$X$1</f>
        <v>20818</v>
      </c>
      <c r="T191" s="406">
        <f>F191+56</f>
        <v>20804</v>
      </c>
      <c r="U191" s="258">
        <f t="shared" ref="U191:U192" si="504">+T191*$X$1</f>
        <v>20804</v>
      </c>
      <c r="V191" s="406">
        <f>F191+49</f>
        <v>20797</v>
      </c>
      <c r="W191" s="258">
        <f t="shared" ref="W191:W192" si="505">+V191*$X$1</f>
        <v>20797</v>
      </c>
      <c r="X191" s="715"/>
      <c r="Y191" s="808"/>
      <c r="Z191" s="808"/>
      <c r="AA191" s="716"/>
      <c r="AB191" s="178" t="s">
        <v>561</v>
      </c>
    </row>
    <row r="192" spans="1:38" ht="12.6" customHeight="1" x14ac:dyDescent="0.2">
      <c r="A192" s="19"/>
      <c r="B192" s="672" t="s">
        <v>560</v>
      </c>
      <c r="C192" s="673"/>
      <c r="D192" s="673"/>
      <c r="E192" s="673"/>
      <c r="F192" s="333">
        <f>16.54*X2</f>
        <v>21998.199999999997</v>
      </c>
      <c r="G192" s="235">
        <f t="shared" ref="G192" si="506">+F192*$X$1</f>
        <v>21998.199999999997</v>
      </c>
      <c r="H192" s="68">
        <f>F192+600</f>
        <v>22598.199999999997</v>
      </c>
      <c r="I192" s="257">
        <f t="shared" si="500"/>
        <v>22598.199999999997</v>
      </c>
      <c r="J192" s="534">
        <f>F192+220</f>
        <v>22218.199999999997</v>
      </c>
      <c r="K192" s="257">
        <f t="shared" si="501"/>
        <v>22218.199999999997</v>
      </c>
      <c r="L192" s="534">
        <f>F192+170</f>
        <v>22168.199999999997</v>
      </c>
      <c r="M192" s="257">
        <f t="shared" si="502"/>
        <v>22168.199999999997</v>
      </c>
      <c r="N192" s="534">
        <f>F192+120</f>
        <v>22118.199999999997</v>
      </c>
      <c r="O192" s="257">
        <f t="shared" ref="O192" si="507">+N192*$X$1</f>
        <v>22118.199999999997</v>
      </c>
      <c r="P192" s="534">
        <f>F192+110</f>
        <v>22108.199999999997</v>
      </c>
      <c r="Q192" s="257">
        <f t="shared" si="503"/>
        <v>22108.199999999997</v>
      </c>
      <c r="R192" s="534">
        <f>F192+95</f>
        <v>22093.199999999997</v>
      </c>
      <c r="S192" s="257">
        <f t="shared" ref="S192" si="508">+R192*$X$1</f>
        <v>22093.199999999997</v>
      </c>
      <c r="T192" s="534">
        <f>F192+85</f>
        <v>22083.199999999997</v>
      </c>
      <c r="U192" s="257">
        <f t="shared" si="504"/>
        <v>22083.199999999997</v>
      </c>
      <c r="V192" s="534">
        <f>F192+76</f>
        <v>22074.199999999997</v>
      </c>
      <c r="W192" s="257">
        <f t="shared" si="505"/>
        <v>22074.199999999997</v>
      </c>
      <c r="X192" s="810"/>
      <c r="Y192" s="811"/>
      <c r="Z192" s="811"/>
      <c r="AA192" s="812"/>
      <c r="AB192" s="178" t="s">
        <v>559</v>
      </c>
    </row>
    <row r="193" spans="1:38" ht="12.6" customHeight="1" x14ac:dyDescent="0.2">
      <c r="A193" s="23"/>
      <c r="B193" s="707" t="s">
        <v>581</v>
      </c>
      <c r="C193" s="770"/>
      <c r="D193" s="770"/>
      <c r="E193" s="770"/>
      <c r="F193" s="283">
        <v>180</v>
      </c>
      <c r="G193" s="443"/>
      <c r="H193" s="326"/>
      <c r="I193" s="813" t="s">
        <v>532</v>
      </c>
      <c r="J193" s="814"/>
      <c r="K193" s="814"/>
      <c r="L193" s="814"/>
      <c r="M193" s="815"/>
      <c r="N193" s="406">
        <f>F193+220</f>
        <v>400</v>
      </c>
      <c r="O193" s="258">
        <f t="shared" ref="O193" si="509">+N193*$X$1</f>
        <v>400</v>
      </c>
      <c r="P193" s="406">
        <f>F193+200</f>
        <v>380</v>
      </c>
      <c r="Q193" s="258">
        <f t="shared" ref="Q193" si="510">+P193*$X$1</f>
        <v>380</v>
      </c>
      <c r="R193" s="406">
        <f>F193+170</f>
        <v>350</v>
      </c>
      <c r="S193" s="258">
        <f t="shared" ref="S193" si="511">+R193*$X$1</f>
        <v>350</v>
      </c>
      <c r="T193" s="406">
        <f>F193+155</f>
        <v>335</v>
      </c>
      <c r="U193" s="258">
        <f t="shared" ref="U193" si="512">+T193*$X$1</f>
        <v>335</v>
      </c>
      <c r="V193" s="406">
        <f>F193+140</f>
        <v>320</v>
      </c>
      <c r="W193" s="258">
        <f t="shared" ref="W193" si="513">+V193*$X$1</f>
        <v>320</v>
      </c>
      <c r="X193" s="145"/>
      <c r="Y193" s="135"/>
      <c r="Z193" s="135"/>
      <c r="AA193" s="135"/>
      <c r="AB193" s="178">
        <v>415</v>
      </c>
    </row>
    <row r="194" spans="1:38" ht="12.6" customHeight="1" x14ac:dyDescent="0.2">
      <c r="A194" s="23"/>
      <c r="B194" s="672" t="s">
        <v>480</v>
      </c>
      <c r="C194" s="673"/>
      <c r="D194" s="673"/>
      <c r="E194" s="673"/>
      <c r="F194" s="273">
        <v>200</v>
      </c>
      <c r="G194" s="235"/>
      <c r="H194" s="327"/>
      <c r="I194" s="816"/>
      <c r="J194" s="816"/>
      <c r="K194" s="816"/>
      <c r="L194" s="816"/>
      <c r="M194" s="817"/>
      <c r="N194" s="534">
        <f>F194+220</f>
        <v>420</v>
      </c>
      <c r="O194" s="257">
        <f t="shared" ref="O194:O197" si="514">+N194*$X$1</f>
        <v>420</v>
      </c>
      <c r="P194" s="534">
        <f>F194+200</f>
        <v>400</v>
      </c>
      <c r="Q194" s="257">
        <f t="shared" ref="Q194:Q197" si="515">+P194*$X$1</f>
        <v>400</v>
      </c>
      <c r="R194" s="534">
        <f>F194+170</f>
        <v>370</v>
      </c>
      <c r="S194" s="257">
        <f t="shared" ref="S194:S197" si="516">+R194*$X$1</f>
        <v>370</v>
      </c>
      <c r="T194" s="534">
        <f>F194+155</f>
        <v>355</v>
      </c>
      <c r="U194" s="257">
        <f t="shared" ref="U194:U197" si="517">+T194*$X$1</f>
        <v>355</v>
      </c>
      <c r="V194" s="534">
        <f>F194+140</f>
        <v>340</v>
      </c>
      <c r="W194" s="257">
        <f t="shared" ref="W194:W197" si="518">+V194*$X$1</f>
        <v>340</v>
      </c>
      <c r="X194" s="145"/>
      <c r="Y194" s="135"/>
      <c r="Z194" s="135"/>
      <c r="AA194" s="135"/>
      <c r="AB194" s="178">
        <v>416</v>
      </c>
    </row>
    <row r="195" spans="1:38" ht="12.6" customHeight="1" x14ac:dyDescent="0.2">
      <c r="A195" s="23"/>
      <c r="B195" s="667" t="s">
        <v>481</v>
      </c>
      <c r="C195" s="668"/>
      <c r="D195" s="668"/>
      <c r="E195" s="668"/>
      <c r="F195" s="283">
        <v>193</v>
      </c>
      <c r="G195" s="272"/>
      <c r="H195" s="327"/>
      <c r="I195" s="816"/>
      <c r="J195" s="816"/>
      <c r="K195" s="816"/>
      <c r="L195" s="816"/>
      <c r="M195" s="817"/>
      <c r="N195" s="406">
        <f>F195+220</f>
        <v>413</v>
      </c>
      <c r="O195" s="258">
        <f t="shared" si="514"/>
        <v>413</v>
      </c>
      <c r="P195" s="406">
        <f>F195+200</f>
        <v>393</v>
      </c>
      <c r="Q195" s="258">
        <f t="shared" si="515"/>
        <v>393</v>
      </c>
      <c r="R195" s="406">
        <f>F195+170</f>
        <v>363</v>
      </c>
      <c r="S195" s="258">
        <f t="shared" si="516"/>
        <v>363</v>
      </c>
      <c r="T195" s="406">
        <f>F195+155</f>
        <v>348</v>
      </c>
      <c r="U195" s="258">
        <f t="shared" si="517"/>
        <v>348</v>
      </c>
      <c r="V195" s="406">
        <f>F195+140</f>
        <v>333</v>
      </c>
      <c r="W195" s="258">
        <f t="shared" si="518"/>
        <v>333</v>
      </c>
      <c r="X195" s="145"/>
      <c r="Y195" s="135"/>
      <c r="Z195" s="135"/>
      <c r="AA195" s="135"/>
      <c r="AB195" s="178">
        <v>417</v>
      </c>
    </row>
    <row r="196" spans="1:38" ht="12.6" customHeight="1" x14ac:dyDescent="0.2">
      <c r="A196" s="23"/>
      <c r="B196" s="672" t="s">
        <v>482</v>
      </c>
      <c r="C196" s="673"/>
      <c r="D196" s="673"/>
      <c r="E196" s="673"/>
      <c r="F196" s="273">
        <v>193</v>
      </c>
      <c r="G196" s="235"/>
      <c r="H196" s="328"/>
      <c r="I196" s="818"/>
      <c r="J196" s="818"/>
      <c r="K196" s="818"/>
      <c r="L196" s="818"/>
      <c r="M196" s="819"/>
      <c r="N196" s="534">
        <f>F196+220</f>
        <v>413</v>
      </c>
      <c r="O196" s="257">
        <f t="shared" si="514"/>
        <v>413</v>
      </c>
      <c r="P196" s="534">
        <f>F196+200</f>
        <v>393</v>
      </c>
      <c r="Q196" s="257">
        <f t="shared" si="515"/>
        <v>393</v>
      </c>
      <c r="R196" s="534">
        <f>F196+170</f>
        <v>363</v>
      </c>
      <c r="S196" s="257">
        <f t="shared" si="516"/>
        <v>363</v>
      </c>
      <c r="T196" s="534">
        <f>F196+155</f>
        <v>348</v>
      </c>
      <c r="U196" s="257">
        <f t="shared" si="517"/>
        <v>348</v>
      </c>
      <c r="V196" s="534">
        <f>F196+140</f>
        <v>333</v>
      </c>
      <c r="W196" s="257">
        <f t="shared" si="518"/>
        <v>333</v>
      </c>
      <c r="X196" s="145"/>
      <c r="Y196" s="135"/>
      <c r="Z196" s="135"/>
      <c r="AA196" s="135"/>
      <c r="AB196" s="178">
        <v>418</v>
      </c>
    </row>
    <row r="197" spans="1:38" ht="12.6" customHeight="1" x14ac:dyDescent="0.2">
      <c r="A197" s="23"/>
      <c r="B197" s="667" t="s">
        <v>173</v>
      </c>
      <c r="C197" s="668"/>
      <c r="D197" s="668"/>
      <c r="E197" s="668"/>
      <c r="F197" s="336">
        <v>896</v>
      </c>
      <c r="G197" s="283">
        <f t="shared" ref="G197:G210" si="519">+F197*$X$1</f>
        <v>896</v>
      </c>
      <c r="H197" s="256"/>
      <c r="I197" s="310"/>
      <c r="J197" s="108"/>
      <c r="K197" s="442"/>
      <c r="L197" s="406">
        <f>F197+170</f>
        <v>1066</v>
      </c>
      <c r="M197" s="258">
        <f t="shared" ref="M197" si="520">+L197*$X$1</f>
        <v>1066</v>
      </c>
      <c r="N197" s="406">
        <f>F197+120</f>
        <v>1016</v>
      </c>
      <c r="O197" s="258">
        <f t="shared" si="514"/>
        <v>1016</v>
      </c>
      <c r="P197" s="406">
        <f>F197+110</f>
        <v>1006</v>
      </c>
      <c r="Q197" s="258">
        <f t="shared" si="515"/>
        <v>1006</v>
      </c>
      <c r="R197" s="406">
        <f>F197+95</f>
        <v>991</v>
      </c>
      <c r="S197" s="258">
        <f t="shared" si="516"/>
        <v>991</v>
      </c>
      <c r="T197" s="406">
        <f>F197+85</f>
        <v>981</v>
      </c>
      <c r="U197" s="258">
        <f t="shared" si="517"/>
        <v>981</v>
      </c>
      <c r="V197" s="406">
        <f>F197+76</f>
        <v>972</v>
      </c>
      <c r="W197" s="258">
        <f t="shared" si="518"/>
        <v>972</v>
      </c>
      <c r="X197" s="729"/>
      <c r="Y197" s="730"/>
      <c r="Z197" s="730"/>
      <c r="AA197" s="731"/>
      <c r="AB197" s="365">
        <v>421</v>
      </c>
    </row>
    <row r="198" spans="1:38" ht="12.6" customHeight="1" x14ac:dyDescent="0.2">
      <c r="A198" s="23"/>
      <c r="B198" s="672" t="s">
        <v>537</v>
      </c>
      <c r="C198" s="673"/>
      <c r="D198" s="673"/>
      <c r="E198" s="673"/>
      <c r="F198" s="337">
        <v>813</v>
      </c>
      <c r="G198" s="273">
        <f t="shared" si="519"/>
        <v>813</v>
      </c>
      <c r="H198" s="1180" t="s">
        <v>567</v>
      </c>
      <c r="I198" s="1181"/>
      <c r="J198" s="1181"/>
      <c r="K198" s="1182"/>
      <c r="L198" s="534">
        <f>F198+220</f>
        <v>1033</v>
      </c>
      <c r="M198" s="257">
        <f t="shared" ref="M198" si="521">+L198*$X$1</f>
        <v>1033</v>
      </c>
      <c r="N198" s="534">
        <f>F198+150</f>
        <v>963</v>
      </c>
      <c r="O198" s="257">
        <f t="shared" ref="O198" si="522">+N198*$X$1</f>
        <v>963</v>
      </c>
      <c r="P198" s="534">
        <f>F198+130</f>
        <v>943</v>
      </c>
      <c r="Q198" s="257">
        <f t="shared" ref="Q198" si="523">+P198*$X$1</f>
        <v>943</v>
      </c>
      <c r="R198" s="534">
        <f>F198+115</f>
        <v>928</v>
      </c>
      <c r="S198" s="257">
        <f t="shared" ref="S198" si="524">+R198*$X$1</f>
        <v>928</v>
      </c>
      <c r="T198" s="93">
        <f>F198+108</f>
        <v>921</v>
      </c>
      <c r="U198" s="235">
        <f t="shared" ref="U198" si="525">+T198*$X$1</f>
        <v>921</v>
      </c>
      <c r="V198" s="534">
        <f>F198+101</f>
        <v>914</v>
      </c>
      <c r="W198" s="257">
        <f t="shared" ref="W198" si="526">+V198*$X$1</f>
        <v>914</v>
      </c>
      <c r="X198" s="729"/>
      <c r="Y198" s="730"/>
      <c r="Z198" s="730"/>
      <c r="AA198" s="731"/>
      <c r="AB198" s="365" t="s">
        <v>657</v>
      </c>
    </row>
    <row r="199" spans="1:38" ht="12.6" customHeight="1" x14ac:dyDescent="0.2">
      <c r="A199" s="23"/>
      <c r="B199" s="667" t="s">
        <v>534</v>
      </c>
      <c r="C199" s="668"/>
      <c r="D199" s="668"/>
      <c r="E199" s="668"/>
      <c r="F199" s="336">
        <v>813</v>
      </c>
      <c r="G199" s="283">
        <f t="shared" si="519"/>
        <v>813</v>
      </c>
      <c r="H199" s="1183"/>
      <c r="I199" s="1184"/>
      <c r="J199" s="1184"/>
      <c r="K199" s="1185"/>
      <c r="L199" s="406">
        <f t="shared" ref="L199:L202" si="527">F199+220</f>
        <v>1033</v>
      </c>
      <c r="M199" s="258">
        <f t="shared" ref="M199:M201" si="528">+L199*$X$1</f>
        <v>1033</v>
      </c>
      <c r="N199" s="534">
        <f t="shared" ref="N199:N202" si="529">F199+150</f>
        <v>963</v>
      </c>
      <c r="O199" s="258">
        <f t="shared" ref="O199:O201" si="530">+N199*$X$1</f>
        <v>963</v>
      </c>
      <c r="P199" s="406">
        <f t="shared" ref="P199:P202" si="531">F199+130</f>
        <v>943</v>
      </c>
      <c r="Q199" s="258">
        <f t="shared" ref="Q199:Q202" si="532">+P199*$X$1</f>
        <v>943</v>
      </c>
      <c r="R199" s="534">
        <f t="shared" ref="R199:R202" si="533">F199+115</f>
        <v>928</v>
      </c>
      <c r="S199" s="258">
        <f t="shared" ref="S199:S201" si="534">+R199*$X$1</f>
        <v>928</v>
      </c>
      <c r="T199" s="93">
        <f t="shared" ref="T199:T202" si="535">F199+108</f>
        <v>921</v>
      </c>
      <c r="U199" s="272">
        <f t="shared" ref="U199:U201" si="536">+T199*$X$1</f>
        <v>921</v>
      </c>
      <c r="V199" s="534">
        <f t="shared" ref="V199:V202" si="537">F199+101</f>
        <v>914</v>
      </c>
      <c r="W199" s="258">
        <f t="shared" ref="W199:W201" si="538">+V199*$X$1</f>
        <v>914</v>
      </c>
      <c r="X199" s="729"/>
      <c r="Y199" s="730"/>
      <c r="Z199" s="730"/>
      <c r="AA199" s="731"/>
      <c r="AB199" s="365" t="s">
        <v>652</v>
      </c>
    </row>
    <row r="200" spans="1:38" ht="12.6" customHeight="1" x14ac:dyDescent="0.2">
      <c r="A200" s="23"/>
      <c r="B200" s="672" t="s">
        <v>533</v>
      </c>
      <c r="C200" s="673"/>
      <c r="D200" s="673"/>
      <c r="E200" s="673"/>
      <c r="F200" s="337">
        <v>813</v>
      </c>
      <c r="G200" s="273">
        <f t="shared" si="519"/>
        <v>813</v>
      </c>
      <c r="H200" s="1183"/>
      <c r="I200" s="1184"/>
      <c r="J200" s="1184"/>
      <c r="K200" s="1185"/>
      <c r="L200" s="534">
        <f t="shared" si="527"/>
        <v>1033</v>
      </c>
      <c r="M200" s="257">
        <f t="shared" si="528"/>
        <v>1033</v>
      </c>
      <c r="N200" s="534">
        <f t="shared" si="529"/>
        <v>963</v>
      </c>
      <c r="O200" s="257">
        <f t="shared" si="530"/>
        <v>963</v>
      </c>
      <c r="P200" s="534">
        <f t="shared" si="531"/>
        <v>943</v>
      </c>
      <c r="Q200" s="257">
        <f t="shared" si="532"/>
        <v>943</v>
      </c>
      <c r="R200" s="534">
        <f t="shared" si="533"/>
        <v>928</v>
      </c>
      <c r="S200" s="257">
        <f t="shared" si="534"/>
        <v>928</v>
      </c>
      <c r="T200" s="93">
        <f t="shared" si="535"/>
        <v>921</v>
      </c>
      <c r="U200" s="235">
        <f t="shared" si="536"/>
        <v>921</v>
      </c>
      <c r="V200" s="534">
        <f t="shared" si="537"/>
        <v>914</v>
      </c>
      <c r="W200" s="257">
        <f t="shared" si="538"/>
        <v>914</v>
      </c>
      <c r="X200" s="729"/>
      <c r="Y200" s="730"/>
      <c r="Z200" s="730"/>
      <c r="AA200" s="731"/>
      <c r="AB200" s="365" t="s">
        <v>654</v>
      </c>
    </row>
    <row r="201" spans="1:38" ht="12.6" customHeight="1" x14ac:dyDescent="0.2">
      <c r="A201" s="23"/>
      <c r="B201" s="667" t="s">
        <v>536</v>
      </c>
      <c r="C201" s="668"/>
      <c r="D201" s="668"/>
      <c r="E201" s="668"/>
      <c r="F201" s="336">
        <v>813</v>
      </c>
      <c r="G201" s="283">
        <f t="shared" si="519"/>
        <v>813</v>
      </c>
      <c r="H201" s="1183"/>
      <c r="I201" s="1184"/>
      <c r="J201" s="1184"/>
      <c r="K201" s="1185"/>
      <c r="L201" s="406">
        <f t="shared" si="527"/>
        <v>1033</v>
      </c>
      <c r="M201" s="258">
        <f t="shared" si="528"/>
        <v>1033</v>
      </c>
      <c r="N201" s="534">
        <f t="shared" si="529"/>
        <v>963</v>
      </c>
      <c r="O201" s="258">
        <f t="shared" si="530"/>
        <v>963</v>
      </c>
      <c r="P201" s="406">
        <f t="shared" si="531"/>
        <v>943</v>
      </c>
      <c r="Q201" s="258">
        <f t="shared" si="532"/>
        <v>943</v>
      </c>
      <c r="R201" s="534">
        <f t="shared" si="533"/>
        <v>928</v>
      </c>
      <c r="S201" s="258">
        <f t="shared" si="534"/>
        <v>928</v>
      </c>
      <c r="T201" s="93">
        <f t="shared" si="535"/>
        <v>921</v>
      </c>
      <c r="U201" s="272">
        <f t="shared" si="536"/>
        <v>921</v>
      </c>
      <c r="V201" s="534">
        <f t="shared" si="537"/>
        <v>914</v>
      </c>
      <c r="W201" s="258">
        <f t="shared" si="538"/>
        <v>914</v>
      </c>
      <c r="X201" s="1177"/>
      <c r="Y201" s="1178"/>
      <c r="Z201" s="1178"/>
      <c r="AA201" s="1179"/>
      <c r="AB201" s="365" t="s">
        <v>653</v>
      </c>
    </row>
    <row r="202" spans="1:38" ht="12.6" customHeight="1" x14ac:dyDescent="0.2">
      <c r="A202" s="23"/>
      <c r="B202" s="672" t="s">
        <v>656</v>
      </c>
      <c r="C202" s="673"/>
      <c r="D202" s="673"/>
      <c r="E202" s="673"/>
      <c r="F202" s="337">
        <v>890</v>
      </c>
      <c r="G202" s="273">
        <f t="shared" ref="G202" si="539">+F202*$X$1</f>
        <v>890</v>
      </c>
      <c r="H202" s="1183"/>
      <c r="I202" s="1184"/>
      <c r="J202" s="1184"/>
      <c r="K202" s="1185"/>
      <c r="L202" s="534">
        <f t="shared" si="527"/>
        <v>1110</v>
      </c>
      <c r="M202" s="257">
        <f t="shared" ref="M202" si="540">+L202*$X$1</f>
        <v>1110</v>
      </c>
      <c r="N202" s="534">
        <f t="shared" si="529"/>
        <v>1040</v>
      </c>
      <c r="O202" s="257">
        <f t="shared" ref="O202" si="541">+N202*$X$1</f>
        <v>1040</v>
      </c>
      <c r="P202" s="534">
        <f t="shared" si="531"/>
        <v>1020</v>
      </c>
      <c r="Q202" s="257">
        <f t="shared" si="532"/>
        <v>1020</v>
      </c>
      <c r="R202" s="534">
        <f t="shared" si="533"/>
        <v>1005</v>
      </c>
      <c r="S202" s="257">
        <f t="shared" ref="S202" si="542">+R202*$X$1</f>
        <v>1005</v>
      </c>
      <c r="T202" s="93">
        <f t="shared" si="535"/>
        <v>998</v>
      </c>
      <c r="U202" s="235">
        <f t="shared" ref="U202" si="543">+T202*$X$1</f>
        <v>998</v>
      </c>
      <c r="V202" s="534">
        <f t="shared" si="537"/>
        <v>991</v>
      </c>
      <c r="W202" s="257">
        <f t="shared" ref="W202" si="544">+V202*$X$1</f>
        <v>991</v>
      </c>
      <c r="X202" s="729"/>
      <c r="Y202" s="730"/>
      <c r="Z202" s="730"/>
      <c r="AA202" s="731"/>
      <c r="AB202" s="365" t="s">
        <v>655</v>
      </c>
    </row>
    <row r="203" spans="1:38" ht="12.6" customHeight="1" x14ac:dyDescent="0.2">
      <c r="A203" s="23"/>
      <c r="B203" s="667" t="s">
        <v>535</v>
      </c>
      <c r="C203" s="668"/>
      <c r="D203" s="668"/>
      <c r="E203" s="668"/>
      <c r="F203" s="336">
        <v>906</v>
      </c>
      <c r="G203" s="283">
        <f t="shared" si="519"/>
        <v>906</v>
      </c>
      <c r="H203" s="1186"/>
      <c r="I203" s="1187"/>
      <c r="J203" s="1187"/>
      <c r="K203" s="1188"/>
      <c r="L203" s="406">
        <f>F203+250</f>
        <v>1156</v>
      </c>
      <c r="M203" s="258">
        <f t="shared" ref="M203:M207" si="545">+L203*$X$1</f>
        <v>1156</v>
      </c>
      <c r="N203" s="406">
        <f>F203+180</f>
        <v>1086</v>
      </c>
      <c r="O203" s="258">
        <f t="shared" ref="O203:O207" si="546">+N203*$X$1</f>
        <v>1086</v>
      </c>
      <c r="P203" s="406">
        <f>F203+160</f>
        <v>1066</v>
      </c>
      <c r="Q203" s="258">
        <f t="shared" ref="Q203:Q207" si="547">+P203*$X$1</f>
        <v>1066</v>
      </c>
      <c r="R203" s="406">
        <f>F203+145</f>
        <v>1051</v>
      </c>
      <c r="S203" s="258">
        <f t="shared" ref="S203:S207" si="548">+R203*$X$1</f>
        <v>1051</v>
      </c>
      <c r="T203" s="92">
        <f>F203+135</f>
        <v>1041</v>
      </c>
      <c r="U203" s="272">
        <f t="shared" ref="U203:U207" si="549">+T203*$X$1</f>
        <v>1041</v>
      </c>
      <c r="V203" s="406">
        <f>F203+130</f>
        <v>1036</v>
      </c>
      <c r="W203" s="258">
        <f t="shared" ref="W203:W207" si="550">+V203*$X$1</f>
        <v>1036</v>
      </c>
      <c r="X203" s="729"/>
      <c r="Y203" s="730"/>
      <c r="Z203" s="730"/>
      <c r="AA203" s="731"/>
      <c r="AB203" s="365" t="s">
        <v>651</v>
      </c>
    </row>
    <row r="204" spans="1:38" ht="12.6" customHeight="1" x14ac:dyDescent="0.2">
      <c r="A204" s="94"/>
      <c r="B204" s="711" t="s">
        <v>869</v>
      </c>
      <c r="C204" s="981"/>
      <c r="D204" s="981"/>
      <c r="E204" s="981"/>
      <c r="F204" s="441">
        <f>0.89*X2</f>
        <v>1183.7</v>
      </c>
      <c r="G204" s="567">
        <f t="shared" si="519"/>
        <v>1183.7</v>
      </c>
      <c r="H204" s="342"/>
      <c r="I204" s="294"/>
      <c r="J204" s="529"/>
      <c r="K204" s="294"/>
      <c r="L204" s="534">
        <f t="shared" ref="L204:L207" si="551">F204+150</f>
        <v>1333.7</v>
      </c>
      <c r="M204" s="257">
        <f t="shared" si="545"/>
        <v>1333.7</v>
      </c>
      <c r="N204" s="534">
        <f t="shared" ref="N204:N207" si="552">F204+110</f>
        <v>1293.7</v>
      </c>
      <c r="O204" s="257">
        <f t="shared" si="546"/>
        <v>1293.7</v>
      </c>
      <c r="P204" s="534">
        <f t="shared" ref="P204:P207" si="553">F204+100</f>
        <v>1283.7</v>
      </c>
      <c r="Q204" s="257">
        <f t="shared" si="547"/>
        <v>1283.7</v>
      </c>
      <c r="R204" s="534">
        <f t="shared" ref="R204:R207" si="554">F204+80</f>
        <v>1263.7</v>
      </c>
      <c r="S204" s="257">
        <f t="shared" si="548"/>
        <v>1263.7</v>
      </c>
      <c r="T204" s="534">
        <f t="shared" ref="T204:T207" si="555">F204+65</f>
        <v>1248.7</v>
      </c>
      <c r="U204" s="257">
        <f t="shared" si="549"/>
        <v>1248.7</v>
      </c>
      <c r="V204" s="534">
        <f t="shared" ref="V204:V207" si="556">F204+56</f>
        <v>1239.7</v>
      </c>
      <c r="W204" s="257">
        <f t="shared" si="550"/>
        <v>1239.7</v>
      </c>
      <c r="X204" s="135"/>
      <c r="Y204" s="144"/>
      <c r="Z204" s="135"/>
      <c r="AA204" s="135"/>
      <c r="AB204" s="178">
        <v>425</v>
      </c>
    </row>
    <row r="205" spans="1:38" ht="12.6" customHeight="1" x14ac:dyDescent="0.2">
      <c r="A205" s="94"/>
      <c r="B205" s="667" t="s">
        <v>775</v>
      </c>
      <c r="C205" s="752"/>
      <c r="D205" s="752"/>
      <c r="E205" s="752"/>
      <c r="F205" s="334">
        <f>0.64*X2</f>
        <v>851.2</v>
      </c>
      <c r="G205" s="258">
        <f t="shared" ref="G205" si="557">+F205*$X$1</f>
        <v>851.2</v>
      </c>
      <c r="H205" s="90"/>
      <c r="I205" s="293"/>
      <c r="J205" s="528"/>
      <c r="K205" s="293"/>
      <c r="L205" s="406">
        <f t="shared" si="551"/>
        <v>1001.2</v>
      </c>
      <c r="M205" s="258">
        <f t="shared" si="545"/>
        <v>1001.2</v>
      </c>
      <c r="N205" s="406">
        <f t="shared" si="552"/>
        <v>961.2</v>
      </c>
      <c r="O205" s="258">
        <f t="shared" si="546"/>
        <v>961.2</v>
      </c>
      <c r="P205" s="406">
        <f t="shared" si="553"/>
        <v>951.2</v>
      </c>
      <c r="Q205" s="258">
        <f t="shared" si="547"/>
        <v>951.2</v>
      </c>
      <c r="R205" s="406">
        <f t="shared" si="554"/>
        <v>931.2</v>
      </c>
      <c r="S205" s="258">
        <f t="shared" si="548"/>
        <v>931.2</v>
      </c>
      <c r="T205" s="406">
        <f t="shared" si="555"/>
        <v>916.2</v>
      </c>
      <c r="U205" s="258">
        <f t="shared" si="549"/>
        <v>916.2</v>
      </c>
      <c r="V205" s="406">
        <f t="shared" si="556"/>
        <v>907.2</v>
      </c>
      <c r="W205" s="258">
        <f t="shared" si="550"/>
        <v>907.2</v>
      </c>
      <c r="X205" s="135"/>
      <c r="Y205" s="144"/>
      <c r="Z205" s="135"/>
      <c r="AA205" s="135"/>
      <c r="AB205" s="178">
        <v>426</v>
      </c>
    </row>
    <row r="206" spans="1:38" ht="12.6" customHeight="1" x14ac:dyDescent="0.2">
      <c r="A206" s="94"/>
      <c r="B206" s="672" t="s">
        <v>450</v>
      </c>
      <c r="C206" s="673"/>
      <c r="D206" s="673"/>
      <c r="E206" s="673"/>
      <c r="F206" s="333">
        <f>0.63*X2</f>
        <v>837.9</v>
      </c>
      <c r="G206" s="257">
        <f t="shared" si="519"/>
        <v>837.9</v>
      </c>
      <c r="H206" s="342"/>
      <c r="I206" s="294"/>
      <c r="J206" s="529"/>
      <c r="K206" s="294"/>
      <c r="L206" s="534">
        <f t="shared" si="551"/>
        <v>987.9</v>
      </c>
      <c r="M206" s="257">
        <f t="shared" si="545"/>
        <v>987.9</v>
      </c>
      <c r="N206" s="534">
        <f t="shared" si="552"/>
        <v>947.9</v>
      </c>
      <c r="O206" s="257">
        <f t="shared" si="546"/>
        <v>947.9</v>
      </c>
      <c r="P206" s="534">
        <f t="shared" si="553"/>
        <v>937.9</v>
      </c>
      <c r="Q206" s="257">
        <f t="shared" si="547"/>
        <v>937.9</v>
      </c>
      <c r="R206" s="534">
        <f t="shared" si="554"/>
        <v>917.9</v>
      </c>
      <c r="S206" s="257">
        <f t="shared" si="548"/>
        <v>917.9</v>
      </c>
      <c r="T206" s="534">
        <f t="shared" si="555"/>
        <v>902.9</v>
      </c>
      <c r="U206" s="257">
        <f t="shared" si="549"/>
        <v>902.9</v>
      </c>
      <c r="V206" s="534">
        <f t="shared" si="556"/>
        <v>893.9</v>
      </c>
      <c r="W206" s="257">
        <f t="shared" si="550"/>
        <v>893.9</v>
      </c>
      <c r="X206" s="135"/>
      <c r="Y206" s="144"/>
      <c r="Z206" s="135"/>
      <c r="AA206" s="135"/>
      <c r="AB206" s="178" t="s">
        <v>499</v>
      </c>
    </row>
    <row r="207" spans="1:38" ht="12.6" customHeight="1" x14ac:dyDescent="0.2">
      <c r="A207" s="94"/>
      <c r="B207" s="709" t="s">
        <v>440</v>
      </c>
      <c r="C207" s="710"/>
      <c r="D207" s="710"/>
      <c r="E207" s="710"/>
      <c r="F207" s="473">
        <f>0.51*X2</f>
        <v>678.30000000000007</v>
      </c>
      <c r="G207" s="469">
        <f t="shared" ref="G207:G208" si="558">+F207*$X$1</f>
        <v>678.30000000000007</v>
      </c>
      <c r="H207" s="552"/>
      <c r="I207" s="589"/>
      <c r="J207" s="630"/>
      <c r="K207" s="589"/>
      <c r="L207" s="624">
        <f t="shared" si="551"/>
        <v>828.30000000000007</v>
      </c>
      <c r="M207" s="469">
        <f t="shared" si="545"/>
        <v>828.30000000000007</v>
      </c>
      <c r="N207" s="624">
        <f t="shared" si="552"/>
        <v>788.30000000000007</v>
      </c>
      <c r="O207" s="469">
        <f t="shared" si="546"/>
        <v>788.30000000000007</v>
      </c>
      <c r="P207" s="624">
        <f t="shared" si="553"/>
        <v>778.30000000000007</v>
      </c>
      <c r="Q207" s="469">
        <f t="shared" si="547"/>
        <v>778.30000000000007</v>
      </c>
      <c r="R207" s="624">
        <f t="shared" si="554"/>
        <v>758.30000000000007</v>
      </c>
      <c r="S207" s="469">
        <f t="shared" si="548"/>
        <v>758.30000000000007</v>
      </c>
      <c r="T207" s="624">
        <f t="shared" si="555"/>
        <v>743.30000000000007</v>
      </c>
      <c r="U207" s="469">
        <f t="shared" si="549"/>
        <v>743.30000000000007</v>
      </c>
      <c r="V207" s="624">
        <f t="shared" si="556"/>
        <v>734.30000000000007</v>
      </c>
      <c r="W207" s="469">
        <f t="shared" si="550"/>
        <v>734.30000000000007</v>
      </c>
      <c r="X207" s="135"/>
      <c r="Y207" s="144"/>
      <c r="Z207" s="135"/>
      <c r="AA207" s="135"/>
      <c r="AB207" s="178">
        <v>428</v>
      </c>
    </row>
    <row r="208" spans="1:38" s="1" customFormat="1" ht="12.6" customHeight="1" x14ac:dyDescent="0.2">
      <c r="A208" s="18"/>
      <c r="B208" s="642" t="s">
        <v>867</v>
      </c>
      <c r="C208" s="662"/>
      <c r="D208" s="662"/>
      <c r="E208" s="663"/>
      <c r="F208" s="465">
        <f>11.67*X2</f>
        <v>15521.1</v>
      </c>
      <c r="G208" s="257">
        <f t="shared" si="558"/>
        <v>15521.1</v>
      </c>
      <c r="H208" s="68">
        <f>F208+600</f>
        <v>16121.1</v>
      </c>
      <c r="I208" s="257">
        <f t="shared" ref="I208:I209" si="559">+H208*$X$1</f>
        <v>16121.1</v>
      </c>
      <c r="J208" s="534">
        <f>F208+220</f>
        <v>15741.1</v>
      </c>
      <c r="K208" s="257">
        <f t="shared" ref="K208:K209" si="560">+J208*$X$1</f>
        <v>15741.1</v>
      </c>
      <c r="L208" s="534">
        <f>F208+170</f>
        <v>15691.1</v>
      </c>
      <c r="M208" s="257">
        <f t="shared" ref="M208:M209" si="561">+L208*$X$1</f>
        <v>15691.1</v>
      </c>
      <c r="N208" s="534">
        <f>F208+120</f>
        <v>15641.1</v>
      </c>
      <c r="O208" s="257">
        <f t="shared" ref="O208" si="562">+N208*$X$1</f>
        <v>15641.1</v>
      </c>
      <c r="P208" s="534">
        <f>F208+110</f>
        <v>15631.1</v>
      </c>
      <c r="Q208" s="257">
        <f t="shared" ref="Q208:Q209" si="563">+P208*$X$1</f>
        <v>15631.1</v>
      </c>
      <c r="R208" s="534">
        <f>F208+95</f>
        <v>15616.1</v>
      </c>
      <c r="S208" s="257">
        <f t="shared" ref="S208" si="564">+R208*$X$1</f>
        <v>15616.1</v>
      </c>
      <c r="T208" s="534">
        <f>F208+85</f>
        <v>15606.1</v>
      </c>
      <c r="U208" s="257">
        <f t="shared" ref="U208:U209" si="565">+T208*$X$1</f>
        <v>15606.1</v>
      </c>
      <c r="V208" s="534">
        <f>F208+76</f>
        <v>15597.1</v>
      </c>
      <c r="W208" s="257">
        <f t="shared" ref="W208:W209" si="566">+V208*$X$1</f>
        <v>15597.1</v>
      </c>
      <c r="X208" s="512"/>
      <c r="Y208" s="513"/>
      <c r="Z208" s="513"/>
      <c r="AA208" s="514"/>
      <c r="AB208" s="178">
        <v>430</v>
      </c>
      <c r="AC208" s="4"/>
      <c r="AD208" s="4"/>
      <c r="AE208" s="4"/>
      <c r="AF208" s="4"/>
      <c r="AG208" s="4"/>
      <c r="AH208" s="116"/>
      <c r="AI208" s="4"/>
      <c r="AJ208" s="4"/>
      <c r="AK208" s="4"/>
      <c r="AL208" s="4"/>
    </row>
    <row r="209" spans="1:38" s="1" customFormat="1" ht="12.6" customHeight="1" x14ac:dyDescent="0.2">
      <c r="A209" s="18"/>
      <c r="B209" s="642" t="s">
        <v>868</v>
      </c>
      <c r="C209" s="662"/>
      <c r="D209" s="662"/>
      <c r="E209" s="663"/>
      <c r="F209" s="503">
        <f>12.7*X2</f>
        <v>16891</v>
      </c>
      <c r="G209" s="258">
        <f t="shared" ref="G209" si="567">+F209*$X$1</f>
        <v>16891</v>
      </c>
      <c r="H209" s="406">
        <f>F209+600</f>
        <v>17491</v>
      </c>
      <c r="I209" s="258">
        <f t="shared" si="559"/>
        <v>17491</v>
      </c>
      <c r="J209" s="406">
        <f>F209+200</f>
        <v>17091</v>
      </c>
      <c r="K209" s="258">
        <f t="shared" si="560"/>
        <v>17091</v>
      </c>
      <c r="L209" s="406">
        <f>F209+150</f>
        <v>17041</v>
      </c>
      <c r="M209" s="258">
        <f t="shared" si="561"/>
        <v>17041</v>
      </c>
      <c r="N209" s="406">
        <f>F209+100</f>
        <v>16991</v>
      </c>
      <c r="O209" s="258">
        <f>+N209*$X$1</f>
        <v>16991</v>
      </c>
      <c r="P209" s="406">
        <f>F209+90</f>
        <v>16981</v>
      </c>
      <c r="Q209" s="258">
        <f t="shared" si="563"/>
        <v>16981</v>
      </c>
      <c r="R209" s="406">
        <f>F209+70</f>
        <v>16961</v>
      </c>
      <c r="S209" s="258">
        <f>+R209*$X$1</f>
        <v>16961</v>
      </c>
      <c r="T209" s="406">
        <f>F209+56</f>
        <v>16947</v>
      </c>
      <c r="U209" s="258">
        <f t="shared" si="565"/>
        <v>16947</v>
      </c>
      <c r="V209" s="406">
        <f>F209+49</f>
        <v>16940</v>
      </c>
      <c r="W209" s="258">
        <f t="shared" si="566"/>
        <v>16940</v>
      </c>
      <c r="X209" s="518"/>
      <c r="Y209" s="520"/>
      <c r="Z209" s="520"/>
      <c r="AA209" s="519"/>
      <c r="AB209" s="178">
        <v>431</v>
      </c>
      <c r="AC209" s="4"/>
      <c r="AD209" s="4"/>
      <c r="AE209" s="4"/>
      <c r="AF209" s="4"/>
      <c r="AG209" s="4"/>
      <c r="AH209" s="116"/>
      <c r="AI209" s="4"/>
      <c r="AJ209" s="4"/>
      <c r="AK209" s="4"/>
      <c r="AL209" s="4"/>
    </row>
    <row r="210" spans="1:38" ht="12.6" customHeight="1" x14ac:dyDescent="0.2">
      <c r="A210" s="17"/>
      <c r="B210" s="672" t="s">
        <v>174</v>
      </c>
      <c r="C210" s="673"/>
      <c r="D210" s="673"/>
      <c r="E210" s="673"/>
      <c r="F210" s="333">
        <f>1.53*X2</f>
        <v>2034.9</v>
      </c>
      <c r="G210" s="257">
        <f t="shared" si="519"/>
        <v>2034.9</v>
      </c>
      <c r="H210" s="534">
        <f>F210+600</f>
        <v>2634.9</v>
      </c>
      <c r="I210" s="257">
        <f t="shared" ref="I210" si="568">+H210*$X$1</f>
        <v>2634.9</v>
      </c>
      <c r="J210" s="68">
        <f>F210+200</f>
        <v>2234.9</v>
      </c>
      <c r="K210" s="257">
        <f t="shared" ref="K210" si="569">+J210*$X$1</f>
        <v>2234.9</v>
      </c>
      <c r="L210" s="534">
        <f t="shared" ref="L210" si="570">F210+150</f>
        <v>2184.9</v>
      </c>
      <c r="M210" s="257">
        <f t="shared" ref="M210" si="571">+L210*$X$1</f>
        <v>2184.9</v>
      </c>
      <c r="N210" s="534">
        <f t="shared" ref="N210" si="572">F210+110</f>
        <v>2144.9</v>
      </c>
      <c r="O210" s="257">
        <f t="shared" ref="O210" si="573">+N210*$X$1</f>
        <v>2144.9</v>
      </c>
      <c r="P210" s="534">
        <f t="shared" ref="P210" si="574">F210+100</f>
        <v>2134.9</v>
      </c>
      <c r="Q210" s="257">
        <f t="shared" ref="Q210" si="575">+P210*$X$1</f>
        <v>2134.9</v>
      </c>
      <c r="R210" s="534">
        <f t="shared" ref="R210" si="576">F210+80</f>
        <v>2114.9</v>
      </c>
      <c r="S210" s="257">
        <f t="shared" ref="S210" si="577">+R210*$X$1</f>
        <v>2114.9</v>
      </c>
      <c r="T210" s="534">
        <f t="shared" ref="T210" si="578">F210+65</f>
        <v>2099.9</v>
      </c>
      <c r="U210" s="257">
        <f t="shared" ref="U210" si="579">+T210*$X$1</f>
        <v>2099.9</v>
      </c>
      <c r="V210" s="534">
        <f t="shared" ref="V210" si="580">F210+56</f>
        <v>2090.9</v>
      </c>
      <c r="W210" s="257">
        <f t="shared" ref="W210" si="581">+V210*$X$1</f>
        <v>2090.9</v>
      </c>
      <c r="X210" s="135"/>
      <c r="Y210" s="144"/>
      <c r="Z210" s="135"/>
      <c r="AA210" s="135"/>
      <c r="AB210" s="178">
        <v>442</v>
      </c>
    </row>
    <row r="211" spans="1:38" ht="12.6" customHeight="1" x14ac:dyDescent="0.2">
      <c r="A211" s="17"/>
      <c r="B211" s="667" t="s">
        <v>333</v>
      </c>
      <c r="C211" s="737"/>
      <c r="D211" s="737"/>
      <c r="E211" s="737"/>
      <c r="F211" s="334">
        <f>1.98*X2</f>
        <v>2633.4</v>
      </c>
      <c r="G211" s="444">
        <f t="shared" ref="G211:G213" si="582">+F211*$X$1</f>
        <v>2633.4</v>
      </c>
      <c r="H211" s="406"/>
      <c r="I211" s="258"/>
      <c r="J211" s="82">
        <f t="shared" ref="J211:J217" si="583">F211+200</f>
        <v>2833.4</v>
      </c>
      <c r="K211" s="258">
        <f t="shared" ref="K211" si="584">+J211*$X$1</f>
        <v>2833.4</v>
      </c>
      <c r="L211" s="406">
        <f t="shared" ref="L211" si="585">F211+150</f>
        <v>2783.4</v>
      </c>
      <c r="M211" s="258">
        <f t="shared" ref="M211" si="586">+L211*$X$1</f>
        <v>2783.4</v>
      </c>
      <c r="N211" s="406">
        <f t="shared" ref="N211" si="587">F211+110</f>
        <v>2743.4</v>
      </c>
      <c r="O211" s="258">
        <f t="shared" ref="O211" si="588">+N211*$X$1</f>
        <v>2743.4</v>
      </c>
      <c r="P211" s="406"/>
      <c r="Q211" s="258"/>
      <c r="R211" s="406"/>
      <c r="S211" s="258"/>
      <c r="T211" s="406"/>
      <c r="U211" s="258"/>
      <c r="V211" s="406"/>
      <c r="W211" s="258"/>
      <c r="X211" s="135"/>
      <c r="Y211" s="144"/>
      <c r="Z211" s="135"/>
      <c r="AA211" s="135"/>
      <c r="AB211" s="178">
        <v>465</v>
      </c>
    </row>
    <row r="212" spans="1:38" ht="12.6" customHeight="1" x14ac:dyDescent="0.2">
      <c r="A212" s="17"/>
      <c r="B212" s="672" t="s">
        <v>741</v>
      </c>
      <c r="C212" s="684"/>
      <c r="D212" s="684"/>
      <c r="E212" s="684"/>
      <c r="F212" s="333">
        <f>1.38*X2</f>
        <v>1835.3999999999999</v>
      </c>
      <c r="G212" s="302">
        <f t="shared" ref="G212" si="589">+F212*$X$1</f>
        <v>1835.3999999999999</v>
      </c>
      <c r="H212" s="534"/>
      <c r="I212" s="257"/>
      <c r="J212" s="68">
        <f t="shared" si="583"/>
        <v>2035.3999999999999</v>
      </c>
      <c r="K212" s="257">
        <f t="shared" ref="K212:K217" si="590">+J212*$X$1</f>
        <v>2035.3999999999999</v>
      </c>
      <c r="L212" s="534">
        <f t="shared" ref="L212:L217" si="591">F212+150</f>
        <v>1985.3999999999999</v>
      </c>
      <c r="M212" s="257">
        <f t="shared" ref="M212:M217" si="592">+L212*$X$1</f>
        <v>1985.3999999999999</v>
      </c>
      <c r="N212" s="534">
        <f t="shared" ref="N212:N217" si="593">F212+110</f>
        <v>1945.3999999999999</v>
      </c>
      <c r="O212" s="257">
        <f t="shared" ref="O212:O217" si="594">+N212*$X$1</f>
        <v>1945.3999999999999</v>
      </c>
      <c r="P212" s="534">
        <f t="shared" ref="P212:P217" si="595">F212+100</f>
        <v>1935.3999999999999</v>
      </c>
      <c r="Q212" s="257">
        <f t="shared" ref="Q212:Q217" si="596">+P212*$X$1</f>
        <v>1935.3999999999999</v>
      </c>
      <c r="R212" s="534">
        <f t="shared" ref="R212:R217" si="597">F212+80</f>
        <v>1915.3999999999999</v>
      </c>
      <c r="S212" s="257">
        <f t="shared" ref="S212:S217" si="598">+R212*$X$1</f>
        <v>1915.3999999999999</v>
      </c>
      <c r="T212" s="534">
        <f t="shared" ref="T212:T217" si="599">F212+65</f>
        <v>1900.3999999999999</v>
      </c>
      <c r="U212" s="257">
        <f t="shared" ref="U212:U217" si="600">+T212*$X$1</f>
        <v>1900.3999999999999</v>
      </c>
      <c r="V212" s="534">
        <f t="shared" ref="V212:V217" si="601">F212+56</f>
        <v>1891.3999999999999</v>
      </c>
      <c r="W212" s="257">
        <f t="shared" ref="W212:W217" si="602">+V212*$X$1</f>
        <v>1891.3999999999999</v>
      </c>
      <c r="X212" s="135"/>
      <c r="Y212" s="144"/>
      <c r="Z212" s="135"/>
      <c r="AA212" s="135"/>
      <c r="AB212" s="178">
        <v>466</v>
      </c>
    </row>
    <row r="213" spans="1:38" ht="12.6" customHeight="1" x14ac:dyDescent="0.2">
      <c r="A213" s="17"/>
      <c r="B213" s="707" t="s">
        <v>573</v>
      </c>
      <c r="C213" s="708"/>
      <c r="D213" s="708"/>
      <c r="E213" s="708"/>
      <c r="F213" s="336">
        <f>1*X2</f>
        <v>1330</v>
      </c>
      <c r="G213" s="303">
        <f t="shared" si="582"/>
        <v>1330</v>
      </c>
      <c r="H213" s="406"/>
      <c r="I213" s="258"/>
      <c r="J213" s="82">
        <f t="shared" si="583"/>
        <v>1530</v>
      </c>
      <c r="K213" s="258">
        <f t="shared" si="590"/>
        <v>1530</v>
      </c>
      <c r="L213" s="406">
        <f t="shared" si="591"/>
        <v>1480</v>
      </c>
      <c r="M213" s="258">
        <f t="shared" si="592"/>
        <v>1480</v>
      </c>
      <c r="N213" s="406">
        <f t="shared" si="593"/>
        <v>1440</v>
      </c>
      <c r="O213" s="258">
        <f t="shared" si="594"/>
        <v>1440</v>
      </c>
      <c r="P213" s="406">
        <f t="shared" si="595"/>
        <v>1430</v>
      </c>
      <c r="Q213" s="258">
        <f t="shared" si="596"/>
        <v>1430</v>
      </c>
      <c r="R213" s="406">
        <f t="shared" si="597"/>
        <v>1410</v>
      </c>
      <c r="S213" s="258">
        <f t="shared" si="598"/>
        <v>1410</v>
      </c>
      <c r="T213" s="406">
        <f t="shared" si="599"/>
        <v>1395</v>
      </c>
      <c r="U213" s="258">
        <f t="shared" si="600"/>
        <v>1395</v>
      </c>
      <c r="V213" s="406">
        <f t="shared" si="601"/>
        <v>1386</v>
      </c>
      <c r="W213" s="258">
        <f t="shared" si="602"/>
        <v>1386</v>
      </c>
      <c r="X213" s="135"/>
      <c r="Y213" s="135"/>
      <c r="Z213" s="135"/>
      <c r="AA213" s="135"/>
      <c r="AB213" s="178">
        <v>528</v>
      </c>
    </row>
    <row r="214" spans="1:38" ht="12.6" customHeight="1" x14ac:dyDescent="0.2">
      <c r="A214" s="17"/>
      <c r="B214" s="678" t="s">
        <v>334</v>
      </c>
      <c r="C214" s="787"/>
      <c r="D214" s="787"/>
      <c r="E214" s="788"/>
      <c r="F214" s="273">
        <v>4293</v>
      </c>
      <c r="G214" s="279">
        <f t="shared" ref="G214:G219" si="603">+F214*$X$1</f>
        <v>4293</v>
      </c>
      <c r="H214" s="534"/>
      <c r="I214" s="257"/>
      <c r="J214" s="68">
        <f t="shared" si="583"/>
        <v>4493</v>
      </c>
      <c r="K214" s="257">
        <f t="shared" si="590"/>
        <v>4493</v>
      </c>
      <c r="L214" s="534">
        <f t="shared" si="591"/>
        <v>4443</v>
      </c>
      <c r="M214" s="257">
        <f t="shared" si="592"/>
        <v>4443</v>
      </c>
      <c r="N214" s="534">
        <f t="shared" si="593"/>
        <v>4403</v>
      </c>
      <c r="O214" s="257">
        <f t="shared" si="594"/>
        <v>4403</v>
      </c>
      <c r="P214" s="534">
        <f t="shared" si="595"/>
        <v>4393</v>
      </c>
      <c r="Q214" s="257">
        <f t="shared" si="596"/>
        <v>4393</v>
      </c>
      <c r="R214" s="534">
        <f t="shared" si="597"/>
        <v>4373</v>
      </c>
      <c r="S214" s="257">
        <f t="shared" si="598"/>
        <v>4373</v>
      </c>
      <c r="T214" s="534">
        <f t="shared" si="599"/>
        <v>4358</v>
      </c>
      <c r="U214" s="257">
        <f t="shared" si="600"/>
        <v>4358</v>
      </c>
      <c r="V214" s="534">
        <f t="shared" si="601"/>
        <v>4349</v>
      </c>
      <c r="W214" s="257">
        <f t="shared" si="602"/>
        <v>4349</v>
      </c>
      <c r="X214" s="135"/>
      <c r="Y214" s="135"/>
      <c r="Z214" s="135"/>
      <c r="AA214" s="135"/>
      <c r="AB214" s="178"/>
    </row>
    <row r="215" spans="1:38" ht="12.6" customHeight="1" x14ac:dyDescent="0.2">
      <c r="A215" s="17"/>
      <c r="B215" s="642" t="s">
        <v>1025</v>
      </c>
      <c r="C215" s="662"/>
      <c r="D215" s="662"/>
      <c r="E215" s="663"/>
      <c r="F215" s="336">
        <f>1.09*X2</f>
        <v>1449.7</v>
      </c>
      <c r="G215" s="303">
        <f t="shared" si="603"/>
        <v>1449.7</v>
      </c>
      <c r="H215" s="576"/>
      <c r="I215" s="258"/>
      <c r="J215" s="82">
        <f>F215+220</f>
        <v>1669.7</v>
      </c>
      <c r="K215" s="258">
        <f t="shared" si="590"/>
        <v>1669.7</v>
      </c>
      <c r="L215" s="576">
        <f>F215+160</f>
        <v>1609.7</v>
      </c>
      <c r="M215" s="258">
        <f t="shared" si="592"/>
        <v>1609.7</v>
      </c>
      <c r="N215" s="576">
        <f>F215+120</f>
        <v>1569.7</v>
      </c>
      <c r="O215" s="258">
        <f t="shared" si="594"/>
        <v>1569.7</v>
      </c>
      <c r="P215" s="576">
        <f>F215+110</f>
        <v>1559.7</v>
      </c>
      <c r="Q215" s="258">
        <f t="shared" si="596"/>
        <v>1559.7</v>
      </c>
      <c r="R215" s="576">
        <f>F215+90</f>
        <v>1539.7</v>
      </c>
      <c r="S215" s="258">
        <f t="shared" si="598"/>
        <v>1539.7</v>
      </c>
      <c r="T215" s="576">
        <f>F215+80</f>
        <v>1529.7</v>
      </c>
      <c r="U215" s="258">
        <f t="shared" si="600"/>
        <v>1529.7</v>
      </c>
      <c r="V215" s="576">
        <f>F215+70</f>
        <v>1519.7</v>
      </c>
      <c r="W215" s="258">
        <f t="shared" si="602"/>
        <v>1519.7</v>
      </c>
      <c r="X215" s="135"/>
      <c r="Y215" s="135"/>
      <c r="Z215" s="135"/>
      <c r="AA215" s="135"/>
      <c r="AB215" s="178">
        <v>534</v>
      </c>
    </row>
    <row r="216" spans="1:38" ht="12.6" customHeight="1" x14ac:dyDescent="0.2">
      <c r="A216" s="17"/>
      <c r="B216" s="642" t="s">
        <v>963</v>
      </c>
      <c r="C216" s="662"/>
      <c r="D216" s="662"/>
      <c r="E216" s="663"/>
      <c r="F216" s="273">
        <v>140</v>
      </c>
      <c r="G216" s="279">
        <f t="shared" ref="G216" si="604">+F216*$X$1</f>
        <v>140</v>
      </c>
      <c r="H216" s="559"/>
      <c r="I216" s="257"/>
      <c r="J216" s="68"/>
      <c r="K216" s="257"/>
      <c r="L216" s="559"/>
      <c r="M216" s="257"/>
      <c r="N216" s="559">
        <f>F216+120</f>
        <v>260</v>
      </c>
      <c r="O216" s="257">
        <f t="shared" ref="O216" si="605">+N216*$X$1</f>
        <v>260</v>
      </c>
      <c r="P216" s="559">
        <f>F216+110</f>
        <v>250</v>
      </c>
      <c r="Q216" s="257">
        <f t="shared" ref="Q216" si="606">+P216*$X$1</f>
        <v>250</v>
      </c>
      <c r="R216" s="559">
        <f>F216+90</f>
        <v>230</v>
      </c>
      <c r="S216" s="257">
        <f t="shared" ref="S216" si="607">+R216*$X$1</f>
        <v>230</v>
      </c>
      <c r="T216" s="559">
        <f>F216+80</f>
        <v>220</v>
      </c>
      <c r="U216" s="257">
        <f t="shared" ref="U216" si="608">+T216*$X$1</f>
        <v>220</v>
      </c>
      <c r="V216" s="559">
        <f>F216+70</f>
        <v>210</v>
      </c>
      <c r="W216" s="257">
        <f t="shared" ref="W216" si="609">+V216*$X$1</f>
        <v>210</v>
      </c>
      <c r="X216" s="135"/>
      <c r="Y216" s="135"/>
      <c r="Z216" s="135"/>
      <c r="AA216" s="135"/>
      <c r="AB216" s="178">
        <v>537</v>
      </c>
    </row>
    <row r="217" spans="1:38" ht="12.6" customHeight="1" x14ac:dyDescent="0.2">
      <c r="A217" s="17"/>
      <c r="B217" s="687" t="s">
        <v>335</v>
      </c>
      <c r="C217" s="688"/>
      <c r="D217" s="688"/>
      <c r="E217" s="689"/>
      <c r="F217" s="283">
        <v>1333</v>
      </c>
      <c r="G217" s="278">
        <f t="shared" si="603"/>
        <v>1333</v>
      </c>
      <c r="H217" s="576"/>
      <c r="I217" s="258"/>
      <c r="J217" s="82">
        <f t="shared" si="583"/>
        <v>1533</v>
      </c>
      <c r="K217" s="258">
        <f t="shared" si="590"/>
        <v>1533</v>
      </c>
      <c r="L217" s="576">
        <f t="shared" si="591"/>
        <v>1483</v>
      </c>
      <c r="M217" s="258">
        <f t="shared" si="592"/>
        <v>1483</v>
      </c>
      <c r="N217" s="576">
        <f t="shared" si="593"/>
        <v>1443</v>
      </c>
      <c r="O217" s="258">
        <f t="shared" si="594"/>
        <v>1443</v>
      </c>
      <c r="P217" s="576">
        <f t="shared" si="595"/>
        <v>1433</v>
      </c>
      <c r="Q217" s="258">
        <f t="shared" si="596"/>
        <v>1433</v>
      </c>
      <c r="R217" s="576">
        <f t="shared" si="597"/>
        <v>1413</v>
      </c>
      <c r="S217" s="258">
        <f t="shared" si="598"/>
        <v>1413</v>
      </c>
      <c r="T217" s="576">
        <f t="shared" si="599"/>
        <v>1398</v>
      </c>
      <c r="U217" s="258">
        <f t="shared" si="600"/>
        <v>1398</v>
      </c>
      <c r="V217" s="576">
        <f t="shared" si="601"/>
        <v>1389</v>
      </c>
      <c r="W217" s="258">
        <f t="shared" si="602"/>
        <v>1389</v>
      </c>
      <c r="X217" s="135"/>
      <c r="Y217" s="135"/>
      <c r="Z217" s="135"/>
      <c r="AA217" s="135"/>
      <c r="AB217" s="178"/>
    </row>
    <row r="218" spans="1:38" ht="12.6" customHeight="1" x14ac:dyDescent="0.2">
      <c r="A218" s="17"/>
      <c r="B218" s="690" t="s">
        <v>175</v>
      </c>
      <c r="C218" s="740"/>
      <c r="D218" s="740"/>
      <c r="E218" s="740"/>
      <c r="F218" s="273">
        <v>210</v>
      </c>
      <c r="G218" s="311">
        <f>+F218*$X$1</f>
        <v>210</v>
      </c>
      <c r="H218" s="985" t="s">
        <v>326</v>
      </c>
      <c r="I218" s="985"/>
      <c r="J218" s="986"/>
      <c r="K218" s="986"/>
      <c r="L218" s="986"/>
      <c r="M218" s="987"/>
      <c r="N218" s="559">
        <f t="shared" ref="N218" si="610">F218+110</f>
        <v>320</v>
      </c>
      <c r="O218" s="257">
        <f t="shared" ref="O218" si="611">+N218*$X$1</f>
        <v>320</v>
      </c>
      <c r="P218" s="559">
        <f t="shared" ref="P218" si="612">F218+100</f>
        <v>310</v>
      </c>
      <c r="Q218" s="257">
        <f t="shared" ref="Q218" si="613">+P218*$X$1</f>
        <v>310</v>
      </c>
      <c r="R218" s="559">
        <f t="shared" ref="R218" si="614">F218+80</f>
        <v>290</v>
      </c>
      <c r="S218" s="257">
        <f t="shared" ref="S218" si="615">+R218*$X$1</f>
        <v>290</v>
      </c>
      <c r="T218" s="559">
        <f t="shared" ref="T218" si="616">F218+65</f>
        <v>275</v>
      </c>
      <c r="U218" s="257">
        <f t="shared" ref="U218" si="617">+T218*$X$1</f>
        <v>275</v>
      </c>
      <c r="V218" s="559">
        <f t="shared" ref="V218" si="618">F218+56</f>
        <v>266</v>
      </c>
      <c r="W218" s="257">
        <f t="shared" ref="W218" si="619">+V218*$X$1</f>
        <v>266</v>
      </c>
      <c r="X218" s="135"/>
      <c r="Y218" s="135"/>
      <c r="Z218" s="135"/>
      <c r="AA218" s="135"/>
      <c r="AB218" s="178">
        <v>539</v>
      </c>
    </row>
    <row r="219" spans="1:38" ht="12.6" customHeight="1" x14ac:dyDescent="0.2">
      <c r="A219" s="17"/>
      <c r="B219" s="707" t="s">
        <v>433</v>
      </c>
      <c r="C219" s="708"/>
      <c r="D219" s="708"/>
      <c r="E219" s="708"/>
      <c r="F219" s="283">
        <v>530</v>
      </c>
      <c r="G219" s="303">
        <f t="shared" si="603"/>
        <v>530</v>
      </c>
      <c r="H219" s="251"/>
      <c r="I219" s="251"/>
      <c r="J219" s="82"/>
      <c r="K219" s="258"/>
      <c r="L219" s="576"/>
      <c r="M219" s="258"/>
      <c r="N219" s="576"/>
      <c r="O219" s="258"/>
      <c r="P219" s="576"/>
      <c r="Q219" s="258"/>
      <c r="R219" s="576"/>
      <c r="S219" s="258"/>
      <c r="T219" s="576">
        <f t="shared" ref="T219:T220" si="620">F219+65</f>
        <v>595</v>
      </c>
      <c r="U219" s="258">
        <f t="shared" ref="U219:U221" si="621">+T219*$X$1</f>
        <v>595</v>
      </c>
      <c r="V219" s="576">
        <f t="shared" ref="V219:V220" si="622">F219+56</f>
        <v>586</v>
      </c>
      <c r="W219" s="258">
        <f t="shared" ref="W219:W221" si="623">+V219*$X$1</f>
        <v>586</v>
      </c>
      <c r="X219" s="135"/>
      <c r="Y219" s="135"/>
      <c r="Z219" s="135"/>
      <c r="AA219" s="135"/>
      <c r="AB219" s="178">
        <v>540</v>
      </c>
    </row>
    <row r="220" spans="1:38" ht="12.6" customHeight="1" x14ac:dyDescent="0.2">
      <c r="A220" s="17"/>
      <c r="B220" s="690" t="s">
        <v>435</v>
      </c>
      <c r="C220" s="1012"/>
      <c r="D220" s="1012"/>
      <c r="E220" s="1012"/>
      <c r="F220" s="273">
        <v>902</v>
      </c>
      <c r="G220" s="274">
        <f t="shared" ref="G220" si="624">+F220*$X$1</f>
        <v>902</v>
      </c>
      <c r="H220" s="252"/>
      <c r="I220" s="252"/>
      <c r="J220" s="68"/>
      <c r="K220" s="257"/>
      <c r="L220" s="559"/>
      <c r="M220" s="257"/>
      <c r="N220" s="559"/>
      <c r="O220" s="257"/>
      <c r="P220" s="559"/>
      <c r="Q220" s="257"/>
      <c r="R220" s="559"/>
      <c r="S220" s="257"/>
      <c r="T220" s="559">
        <f t="shared" si="620"/>
        <v>967</v>
      </c>
      <c r="U220" s="257">
        <f t="shared" si="621"/>
        <v>967</v>
      </c>
      <c r="V220" s="559">
        <f t="shared" si="622"/>
        <v>958</v>
      </c>
      <c r="W220" s="257">
        <f t="shared" si="623"/>
        <v>958</v>
      </c>
      <c r="X220" s="135"/>
      <c r="Y220" s="135"/>
      <c r="Z220" s="135"/>
      <c r="AA220" s="135"/>
      <c r="AB220" s="178" t="s">
        <v>516</v>
      </c>
    </row>
    <row r="221" spans="1:38" ht="12.6" customHeight="1" x14ac:dyDescent="0.2">
      <c r="A221" s="17"/>
      <c r="B221" s="687" t="s">
        <v>388</v>
      </c>
      <c r="C221" s="688"/>
      <c r="D221" s="688"/>
      <c r="E221" s="689"/>
      <c r="F221" s="336">
        <f>18.74*X2</f>
        <v>24924.199999999997</v>
      </c>
      <c r="G221" s="303">
        <f t="shared" ref="G221" si="625">+F221*$X$1</f>
        <v>24924.199999999997</v>
      </c>
      <c r="H221" s="576">
        <f>F221+650</f>
        <v>25574.199999999997</v>
      </c>
      <c r="I221" s="258">
        <f>+H221*$X$1</f>
        <v>25574.199999999997</v>
      </c>
      <c r="J221" s="82">
        <f>F221+220</f>
        <v>25144.199999999997</v>
      </c>
      <c r="K221" s="258">
        <f t="shared" ref="K221" si="626">+J221*$X$1</f>
        <v>25144.199999999997</v>
      </c>
      <c r="L221" s="576">
        <f>F221+160</f>
        <v>25084.199999999997</v>
      </c>
      <c r="M221" s="258">
        <f t="shared" ref="M221" si="627">+L221*$X$1</f>
        <v>25084.199999999997</v>
      </c>
      <c r="N221" s="576">
        <f>F221+120</f>
        <v>25044.199999999997</v>
      </c>
      <c r="O221" s="258">
        <f t="shared" ref="O221" si="628">+N221*$X$1</f>
        <v>25044.199999999997</v>
      </c>
      <c r="P221" s="576">
        <f>F221+110</f>
        <v>25034.199999999997</v>
      </c>
      <c r="Q221" s="258">
        <f t="shared" ref="Q221" si="629">+P221*$X$1</f>
        <v>25034.199999999997</v>
      </c>
      <c r="R221" s="576">
        <f>F221+90</f>
        <v>25014.199999999997</v>
      </c>
      <c r="S221" s="258">
        <f t="shared" ref="S221" si="630">+R221*$X$1</f>
        <v>25014.199999999997</v>
      </c>
      <c r="T221" s="576">
        <f>F221+80</f>
        <v>25004.199999999997</v>
      </c>
      <c r="U221" s="258">
        <f t="shared" si="621"/>
        <v>25004.199999999997</v>
      </c>
      <c r="V221" s="576">
        <f>F221+70</f>
        <v>24994.199999999997</v>
      </c>
      <c r="W221" s="258">
        <f t="shared" si="623"/>
        <v>24994.199999999997</v>
      </c>
      <c r="X221" s="135"/>
      <c r="Y221" s="135"/>
      <c r="Z221" s="135"/>
      <c r="AA221" s="135"/>
      <c r="AB221" s="178">
        <v>542</v>
      </c>
    </row>
    <row r="222" spans="1:38" ht="12.6" customHeight="1" x14ac:dyDescent="0.2">
      <c r="A222" s="17"/>
      <c r="B222" s="672" t="s">
        <v>434</v>
      </c>
      <c r="C222" s="673"/>
      <c r="D222" s="673"/>
      <c r="E222" s="673"/>
      <c r="F222" s="257"/>
      <c r="G222" s="257"/>
      <c r="H222" s="559"/>
      <c r="I222" s="559"/>
      <c r="J222" s="559"/>
      <c r="K222" s="257"/>
      <c r="L222" s="559"/>
      <c r="M222" s="257"/>
      <c r="N222" s="559"/>
      <c r="O222" s="257"/>
      <c r="P222" s="559"/>
      <c r="Q222" s="257"/>
      <c r="R222" s="559"/>
      <c r="S222" s="257"/>
      <c r="T222" s="559"/>
      <c r="U222" s="257"/>
      <c r="V222" s="68"/>
      <c r="W222" s="308"/>
      <c r="X222" s="135"/>
      <c r="Y222" s="135"/>
      <c r="Z222" s="135"/>
      <c r="AA222" s="135"/>
      <c r="AB222" s="178">
        <v>544</v>
      </c>
    </row>
    <row r="223" spans="1:38" ht="12.6" customHeight="1" x14ac:dyDescent="0.2">
      <c r="A223" s="17"/>
      <c r="B223" s="707" t="s">
        <v>1000</v>
      </c>
      <c r="C223" s="762"/>
      <c r="D223" s="762"/>
      <c r="E223" s="762"/>
      <c r="F223" s="283">
        <v>894</v>
      </c>
      <c r="G223" s="258">
        <f t="shared" ref="G223:G229" si="631">+F223*$X$1</f>
        <v>894</v>
      </c>
      <c r="H223" s="251"/>
      <c r="I223" s="251"/>
      <c r="J223" s="576"/>
      <c r="K223" s="258"/>
      <c r="L223" s="576"/>
      <c r="M223" s="258"/>
      <c r="N223" s="576">
        <f>F223+110</f>
        <v>1004</v>
      </c>
      <c r="O223" s="258">
        <f t="shared" ref="O223:O230" si="632">+N223*$X$1</f>
        <v>1004</v>
      </c>
      <c r="P223" s="576">
        <f>F223+130</f>
        <v>1024</v>
      </c>
      <c r="Q223" s="258">
        <f t="shared" ref="Q223" si="633">+P223*$X$1</f>
        <v>1024</v>
      </c>
      <c r="R223" s="576">
        <f>F223+110</f>
        <v>1004</v>
      </c>
      <c r="S223" s="258">
        <f t="shared" ref="S223" si="634">+R223*$X$1</f>
        <v>1004</v>
      </c>
      <c r="T223" s="576">
        <f>F223+90</f>
        <v>984</v>
      </c>
      <c r="U223" s="258">
        <f t="shared" ref="U223" si="635">+T223*$X$1</f>
        <v>984</v>
      </c>
      <c r="V223" s="576">
        <f>F223+75</f>
        <v>969</v>
      </c>
      <c r="W223" s="258">
        <f t="shared" ref="W223" si="636">+V223*$X$1</f>
        <v>969</v>
      </c>
      <c r="X223" s="119"/>
      <c r="Y223" s="119"/>
      <c r="Z223" s="119"/>
      <c r="AA223" s="119"/>
      <c r="AB223" s="178">
        <v>547</v>
      </c>
    </row>
    <row r="224" spans="1:38" ht="12.6" customHeight="1" x14ac:dyDescent="0.2">
      <c r="A224" s="17"/>
      <c r="B224" s="690" t="s">
        <v>1001</v>
      </c>
      <c r="C224" s="691"/>
      <c r="D224" s="691"/>
      <c r="E224" s="691"/>
      <c r="F224" s="273">
        <v>2039</v>
      </c>
      <c r="G224" s="257">
        <f t="shared" ref="G224" si="637">+F224*$X$1</f>
        <v>2039</v>
      </c>
      <c r="H224" s="252"/>
      <c r="I224" s="252"/>
      <c r="J224" s="559"/>
      <c r="K224" s="257"/>
      <c r="L224" s="559"/>
      <c r="M224" s="257"/>
      <c r="N224" s="559">
        <f>F224+110</f>
        <v>2149</v>
      </c>
      <c r="O224" s="257">
        <f t="shared" ref="O224" si="638">+N224*$X$1</f>
        <v>2149</v>
      </c>
      <c r="P224" s="559">
        <f>F224+130</f>
        <v>2169</v>
      </c>
      <c r="Q224" s="257">
        <f t="shared" ref="Q224" si="639">+P224*$X$1</f>
        <v>2169</v>
      </c>
      <c r="R224" s="559">
        <f>F224+110</f>
        <v>2149</v>
      </c>
      <c r="S224" s="257">
        <f t="shared" ref="S224" si="640">+R224*$X$1</f>
        <v>2149</v>
      </c>
      <c r="T224" s="559">
        <f>F224+90</f>
        <v>2129</v>
      </c>
      <c r="U224" s="257">
        <f t="shared" ref="U224" si="641">+T224*$X$1</f>
        <v>2129</v>
      </c>
      <c r="V224" s="559">
        <f>F224+75</f>
        <v>2114</v>
      </c>
      <c r="W224" s="257">
        <f t="shared" ref="W224" si="642">+V224*$X$1</f>
        <v>2114</v>
      </c>
      <c r="X224" s="119"/>
      <c r="Y224" s="119"/>
      <c r="Z224" s="119"/>
      <c r="AA224" s="119"/>
      <c r="AB224" s="178" t="s">
        <v>1002</v>
      </c>
    </row>
    <row r="225" spans="1:34" ht="12.6" customHeight="1" x14ac:dyDescent="0.2">
      <c r="A225" s="17"/>
      <c r="B225" s="687" t="s">
        <v>336</v>
      </c>
      <c r="C225" s="760"/>
      <c r="D225" s="760"/>
      <c r="E225" s="761"/>
      <c r="F225" s="258">
        <v>4195</v>
      </c>
      <c r="G225" s="258">
        <f t="shared" si="631"/>
        <v>4195</v>
      </c>
      <c r="H225" s="251"/>
      <c r="I225" s="251"/>
      <c r="J225" s="82">
        <f>F225+250</f>
        <v>4445</v>
      </c>
      <c r="K225" s="258">
        <f t="shared" ref="K225" si="643">+J225*$X$1</f>
        <v>4445</v>
      </c>
      <c r="L225" s="576">
        <f>F225+200</f>
        <v>4395</v>
      </c>
      <c r="M225" s="258">
        <f t="shared" ref="M225" si="644">+L225*$X$1</f>
        <v>4395</v>
      </c>
      <c r="N225" s="576">
        <f>F225+160</f>
        <v>4355</v>
      </c>
      <c r="O225" s="258">
        <f t="shared" ref="O225" si="645">+N225*$X$1</f>
        <v>4355</v>
      </c>
      <c r="P225" s="576">
        <f>F225+130</f>
        <v>4325</v>
      </c>
      <c r="Q225" s="258">
        <f t="shared" ref="Q225" si="646">+P225*$X$1</f>
        <v>4325</v>
      </c>
      <c r="R225" s="576">
        <f>F225+110</f>
        <v>4305</v>
      </c>
      <c r="S225" s="258">
        <f t="shared" ref="S225" si="647">+R225*$X$1</f>
        <v>4305</v>
      </c>
      <c r="T225" s="576">
        <f>F225+90</f>
        <v>4285</v>
      </c>
      <c r="U225" s="258">
        <f t="shared" ref="U225" si="648">+T225*$X$1</f>
        <v>4285</v>
      </c>
      <c r="V225" s="576">
        <f>F225+75</f>
        <v>4270</v>
      </c>
      <c r="W225" s="258">
        <f t="shared" ref="W225" si="649">+V225*$X$1</f>
        <v>4270</v>
      </c>
      <c r="X225" s="119"/>
      <c r="Y225" s="119"/>
      <c r="Z225" s="119"/>
      <c r="AA225" s="119"/>
      <c r="AB225" s="369"/>
    </row>
    <row r="226" spans="1:34" ht="12.6" customHeight="1" x14ac:dyDescent="0.2">
      <c r="A226" s="17"/>
      <c r="B226" s="678" t="s">
        <v>448</v>
      </c>
      <c r="C226" s="679"/>
      <c r="D226" s="679"/>
      <c r="E226" s="680"/>
      <c r="F226" s="273">
        <v>1186</v>
      </c>
      <c r="G226" s="257">
        <f t="shared" si="631"/>
        <v>1186</v>
      </c>
      <c r="H226" s="252"/>
      <c r="I226" s="252"/>
      <c r="J226" s="68">
        <f t="shared" ref="J226" si="650">F226+200</f>
        <v>1386</v>
      </c>
      <c r="K226" s="257">
        <f t="shared" ref="K226:K230" si="651">+J226*$X$1</f>
        <v>1386</v>
      </c>
      <c r="L226" s="559">
        <f t="shared" ref="L226" si="652">F226+150</f>
        <v>1336</v>
      </c>
      <c r="M226" s="257">
        <f t="shared" ref="M226:M230" si="653">+L226*$X$1</f>
        <v>1336</v>
      </c>
      <c r="N226" s="559">
        <f t="shared" ref="N226" si="654">F226+110</f>
        <v>1296</v>
      </c>
      <c r="O226" s="257">
        <f t="shared" si="632"/>
        <v>1296</v>
      </c>
      <c r="P226" s="559">
        <f t="shared" ref="P226" si="655">F226+100</f>
        <v>1286</v>
      </c>
      <c r="Q226" s="257">
        <f t="shared" ref="Q226:Q230" si="656">+P226*$X$1</f>
        <v>1286</v>
      </c>
      <c r="R226" s="559">
        <f t="shared" ref="R226" si="657">F226+80</f>
        <v>1266</v>
      </c>
      <c r="S226" s="257">
        <f t="shared" ref="S226:S230" si="658">+R226*$X$1</f>
        <v>1266</v>
      </c>
      <c r="T226" s="559">
        <f t="shared" ref="T226" si="659">F226+65</f>
        <v>1251</v>
      </c>
      <c r="U226" s="257">
        <f t="shared" ref="U226:U230" si="660">+T226*$X$1</f>
        <v>1251</v>
      </c>
      <c r="V226" s="559">
        <f t="shared" ref="V226" si="661">F226+56</f>
        <v>1242</v>
      </c>
      <c r="W226" s="257">
        <f t="shared" ref="W226:W230" si="662">+V226*$X$1</f>
        <v>1242</v>
      </c>
      <c r="X226" s="135"/>
      <c r="Y226" s="135"/>
      <c r="Z226" s="135"/>
      <c r="AA226" s="135"/>
      <c r="AB226" s="178">
        <v>550</v>
      </c>
    </row>
    <row r="227" spans="1:34" ht="12.6" customHeight="1" x14ac:dyDescent="0.2">
      <c r="A227" s="17"/>
      <c r="B227" s="687" t="s">
        <v>408</v>
      </c>
      <c r="C227" s="760"/>
      <c r="D227" s="760"/>
      <c r="E227" s="761"/>
      <c r="F227" s="258">
        <v>4038</v>
      </c>
      <c r="G227" s="258">
        <f t="shared" si="631"/>
        <v>4038</v>
      </c>
      <c r="H227" s="251"/>
      <c r="I227" s="251"/>
      <c r="J227" s="82">
        <f>F227+250</f>
        <v>4288</v>
      </c>
      <c r="K227" s="258">
        <f t="shared" ref="K227" si="663">+J227*$X$1</f>
        <v>4288</v>
      </c>
      <c r="L227" s="576">
        <f>F227+200</f>
        <v>4238</v>
      </c>
      <c r="M227" s="258">
        <f t="shared" ref="M227" si="664">+L227*$X$1</f>
        <v>4238</v>
      </c>
      <c r="N227" s="576">
        <f>F227+160</f>
        <v>4198</v>
      </c>
      <c r="O227" s="258">
        <f t="shared" ref="O227" si="665">+N227*$X$1</f>
        <v>4198</v>
      </c>
      <c r="P227" s="576">
        <f>F227+130</f>
        <v>4168</v>
      </c>
      <c r="Q227" s="258">
        <f t="shared" ref="Q227" si="666">+P227*$X$1</f>
        <v>4168</v>
      </c>
      <c r="R227" s="576">
        <f>F227+110</f>
        <v>4148</v>
      </c>
      <c r="S227" s="258">
        <f t="shared" ref="S227" si="667">+R227*$X$1</f>
        <v>4148</v>
      </c>
      <c r="T227" s="576">
        <f>F227+90</f>
        <v>4128</v>
      </c>
      <c r="U227" s="258">
        <f t="shared" ref="U227" si="668">+T227*$X$1</f>
        <v>4128</v>
      </c>
      <c r="V227" s="576">
        <f>F227+75</f>
        <v>4113</v>
      </c>
      <c r="W227" s="258">
        <f t="shared" ref="W227" si="669">+V227*$X$1</f>
        <v>4113</v>
      </c>
      <c r="X227" s="119"/>
      <c r="Y227" s="119"/>
      <c r="Z227" s="119"/>
      <c r="AA227" s="119"/>
      <c r="AB227" s="178">
        <v>551</v>
      </c>
    </row>
    <row r="228" spans="1:34" ht="12.6" customHeight="1" x14ac:dyDescent="0.2">
      <c r="A228" s="17"/>
      <c r="B228" s="757" t="s">
        <v>406</v>
      </c>
      <c r="C228" s="758"/>
      <c r="D228" s="758"/>
      <c r="E228" s="759"/>
      <c r="F228" s="273">
        <v>4510</v>
      </c>
      <c r="G228" s="257">
        <f t="shared" si="631"/>
        <v>4510</v>
      </c>
      <c r="H228" s="252"/>
      <c r="I228" s="252"/>
      <c r="J228" s="68">
        <f>F228+250</f>
        <v>4760</v>
      </c>
      <c r="K228" s="257">
        <f t="shared" ref="K228" si="670">+J228*$X$1</f>
        <v>4760</v>
      </c>
      <c r="L228" s="559">
        <f>F228+200</f>
        <v>4710</v>
      </c>
      <c r="M228" s="257">
        <f t="shared" ref="M228" si="671">+L228*$X$1</f>
        <v>4710</v>
      </c>
      <c r="N228" s="559">
        <f>F228+160</f>
        <v>4670</v>
      </c>
      <c r="O228" s="257">
        <f t="shared" ref="O228" si="672">+N228*$X$1</f>
        <v>4670</v>
      </c>
      <c r="P228" s="559">
        <f>F228+130</f>
        <v>4640</v>
      </c>
      <c r="Q228" s="257">
        <f t="shared" ref="Q228" si="673">+P228*$X$1</f>
        <v>4640</v>
      </c>
      <c r="R228" s="559">
        <f>F228+110</f>
        <v>4620</v>
      </c>
      <c r="S228" s="257">
        <f t="shared" ref="S228" si="674">+R228*$X$1</f>
        <v>4620</v>
      </c>
      <c r="T228" s="559">
        <f>F228+90</f>
        <v>4600</v>
      </c>
      <c r="U228" s="257">
        <f t="shared" ref="U228" si="675">+T228*$X$1</f>
        <v>4600</v>
      </c>
      <c r="V228" s="559">
        <f>F228+75</f>
        <v>4585</v>
      </c>
      <c r="W228" s="257">
        <f t="shared" ref="W228" si="676">+V228*$X$1</f>
        <v>4585</v>
      </c>
      <c r="X228" s="119"/>
      <c r="Y228" s="119"/>
      <c r="Z228" s="119"/>
      <c r="AA228" s="119"/>
      <c r="AB228" s="178" t="s">
        <v>405</v>
      </c>
    </row>
    <row r="229" spans="1:34" ht="12.6" customHeight="1" x14ac:dyDescent="0.2">
      <c r="A229" s="17"/>
      <c r="B229" s="846" t="s">
        <v>407</v>
      </c>
      <c r="C229" s="847"/>
      <c r="D229" s="847"/>
      <c r="E229" s="848"/>
      <c r="F229" s="283">
        <v>4900</v>
      </c>
      <c r="G229" s="258">
        <f t="shared" si="631"/>
        <v>4900</v>
      </c>
      <c r="H229" s="251"/>
      <c r="I229" s="251"/>
      <c r="J229" s="82">
        <f>F229+250</f>
        <v>5150</v>
      </c>
      <c r="K229" s="258">
        <f t="shared" ref="K229" si="677">+J229*$X$1</f>
        <v>5150</v>
      </c>
      <c r="L229" s="576">
        <f>F229+200</f>
        <v>5100</v>
      </c>
      <c r="M229" s="258">
        <f t="shared" ref="M229" si="678">+L229*$X$1</f>
        <v>5100</v>
      </c>
      <c r="N229" s="576">
        <f>F229+160</f>
        <v>5060</v>
      </c>
      <c r="O229" s="258">
        <f t="shared" ref="O229" si="679">+N229*$X$1</f>
        <v>5060</v>
      </c>
      <c r="P229" s="576">
        <f>F229+130</f>
        <v>5030</v>
      </c>
      <c r="Q229" s="258">
        <f t="shared" ref="Q229" si="680">+P229*$X$1</f>
        <v>5030</v>
      </c>
      <c r="R229" s="576">
        <f>F229+110</f>
        <v>5010</v>
      </c>
      <c r="S229" s="258">
        <f t="shared" ref="S229" si="681">+R229*$X$1</f>
        <v>5010</v>
      </c>
      <c r="T229" s="576">
        <f>F229+90</f>
        <v>4990</v>
      </c>
      <c r="U229" s="258">
        <f t="shared" ref="U229" si="682">+T229*$X$1</f>
        <v>4990</v>
      </c>
      <c r="V229" s="576">
        <f>F229+75</f>
        <v>4975</v>
      </c>
      <c r="W229" s="258">
        <f t="shared" ref="W229" si="683">+V229*$X$1</f>
        <v>4975</v>
      </c>
      <c r="X229" s="119"/>
      <c r="Y229" s="119"/>
      <c r="Z229" s="119"/>
      <c r="AA229" s="119"/>
      <c r="AB229" s="178" t="s">
        <v>409</v>
      </c>
    </row>
    <row r="230" spans="1:34" ht="12.6" customHeight="1" x14ac:dyDescent="0.2">
      <c r="A230" s="17"/>
      <c r="B230" s="672" t="s">
        <v>372</v>
      </c>
      <c r="C230" s="684"/>
      <c r="D230" s="684"/>
      <c r="E230" s="684"/>
      <c r="F230" s="257">
        <v>4312</v>
      </c>
      <c r="G230" s="257">
        <f t="shared" ref="G230" si="684">+F230*$X$1</f>
        <v>4312</v>
      </c>
      <c r="H230" s="252"/>
      <c r="I230" s="252"/>
      <c r="J230" s="68">
        <f>F230+250</f>
        <v>4562</v>
      </c>
      <c r="K230" s="257">
        <f t="shared" si="651"/>
        <v>4562</v>
      </c>
      <c r="L230" s="559">
        <f>F230+200</f>
        <v>4512</v>
      </c>
      <c r="M230" s="257">
        <f t="shared" si="653"/>
        <v>4512</v>
      </c>
      <c r="N230" s="559">
        <f>F230+160</f>
        <v>4472</v>
      </c>
      <c r="O230" s="257">
        <f t="shared" si="632"/>
        <v>4472</v>
      </c>
      <c r="P230" s="559">
        <f>F230+130</f>
        <v>4442</v>
      </c>
      <c r="Q230" s="257">
        <f t="shared" si="656"/>
        <v>4442</v>
      </c>
      <c r="R230" s="559">
        <f>F230+110</f>
        <v>4422</v>
      </c>
      <c r="S230" s="257">
        <f t="shared" si="658"/>
        <v>4422</v>
      </c>
      <c r="T230" s="559">
        <f>F230+90</f>
        <v>4402</v>
      </c>
      <c r="U230" s="257">
        <f t="shared" si="660"/>
        <v>4402</v>
      </c>
      <c r="V230" s="559">
        <f>F230+75</f>
        <v>4387</v>
      </c>
      <c r="W230" s="257">
        <f t="shared" si="662"/>
        <v>4387</v>
      </c>
      <c r="X230" s="119"/>
      <c r="Y230" s="119"/>
      <c r="Z230" s="119"/>
      <c r="AA230" s="119"/>
      <c r="AB230" s="178">
        <v>553</v>
      </c>
    </row>
    <row r="231" spans="1:34" ht="12.6" customHeight="1" x14ac:dyDescent="0.2">
      <c r="A231" s="17"/>
      <c r="B231" s="670" t="s">
        <v>330</v>
      </c>
      <c r="C231" s="671"/>
      <c r="D231" s="671"/>
      <c r="E231" s="671"/>
      <c r="F231" s="469">
        <v>240</v>
      </c>
      <c r="G231" s="469">
        <f t="shared" ref="G231:G234" si="685">+F231*$X$1</f>
        <v>240</v>
      </c>
      <c r="H231" s="470"/>
      <c r="I231" s="472"/>
      <c r="J231" s="532">
        <f>F231+200</f>
        <v>440</v>
      </c>
      <c r="K231" s="469">
        <f t="shared" ref="K231" si="686">+J231*$X$1</f>
        <v>440</v>
      </c>
      <c r="L231" s="532">
        <f>F231+150</f>
        <v>390</v>
      </c>
      <c r="M231" s="469">
        <f>+L231*$X$1</f>
        <v>390</v>
      </c>
      <c r="N231" s="532">
        <f>F231+110</f>
        <v>350</v>
      </c>
      <c r="O231" s="469">
        <f>+N231*$X$1</f>
        <v>350</v>
      </c>
      <c r="P231" s="532"/>
      <c r="Q231" s="738" t="s">
        <v>141</v>
      </c>
      <c r="R231" s="739"/>
      <c r="S231" s="739"/>
      <c r="T231" s="739"/>
      <c r="U231" s="739"/>
      <c r="V231" s="739"/>
      <c r="W231" s="739"/>
      <c r="X231" s="135"/>
      <c r="Y231" s="135"/>
      <c r="Z231" s="135"/>
      <c r="AA231" s="135"/>
      <c r="AB231" s="178">
        <v>618</v>
      </c>
    </row>
    <row r="232" spans="1:34" ht="12.6" customHeight="1" x14ac:dyDescent="0.2">
      <c r="A232" s="94"/>
      <c r="B232" s="709" t="s">
        <v>443</v>
      </c>
      <c r="C232" s="710"/>
      <c r="D232" s="710"/>
      <c r="E232" s="710"/>
      <c r="F232" s="469">
        <v>880</v>
      </c>
      <c r="G232" s="469">
        <f t="shared" si="685"/>
        <v>880</v>
      </c>
      <c r="H232" s="532"/>
      <c r="I232" s="469"/>
      <c r="J232" s="470"/>
      <c r="K232" s="472"/>
      <c r="L232" s="532">
        <f>F232+160</f>
        <v>1040</v>
      </c>
      <c r="M232" s="469">
        <f t="shared" ref="M232:M235" si="687">+L232*$X$1</f>
        <v>1040</v>
      </c>
      <c r="N232" s="532"/>
      <c r="O232" s="469"/>
      <c r="P232" s="532">
        <f>F232+5.1</f>
        <v>885.1</v>
      </c>
      <c r="Q232" s="738" t="s">
        <v>141</v>
      </c>
      <c r="R232" s="739"/>
      <c r="S232" s="739"/>
      <c r="T232" s="739"/>
      <c r="U232" s="739"/>
      <c r="V232" s="739"/>
      <c r="W232" s="739"/>
      <c r="X232" s="120"/>
      <c r="Y232" s="135"/>
      <c r="Z232" s="135"/>
      <c r="AA232" s="135"/>
      <c r="AB232" s="178">
        <v>621</v>
      </c>
    </row>
    <row r="233" spans="1:34" ht="12.6" customHeight="1" x14ac:dyDescent="0.2">
      <c r="A233" s="20"/>
      <c r="B233" s="667" t="s">
        <v>176</v>
      </c>
      <c r="C233" s="737"/>
      <c r="D233" s="737"/>
      <c r="E233" s="737"/>
      <c r="F233" s="334">
        <f>2.93*X2</f>
        <v>3896.9</v>
      </c>
      <c r="G233" s="258">
        <f>+F233*$X$1</f>
        <v>3896.9</v>
      </c>
      <c r="H233" s="256"/>
      <c r="I233" s="306"/>
      <c r="J233" s="82">
        <f t="shared" ref="J233:J235" si="688">F233+200</f>
        <v>4096.8999999999996</v>
      </c>
      <c r="K233" s="258">
        <f t="shared" ref="K233:K235" si="689">+J233*$X$1</f>
        <v>4096.8999999999996</v>
      </c>
      <c r="L233" s="576">
        <f t="shared" ref="L233:L235" si="690">F233+150</f>
        <v>4046.9</v>
      </c>
      <c r="M233" s="258">
        <f t="shared" si="687"/>
        <v>4046.9</v>
      </c>
      <c r="N233" s="576">
        <f t="shared" ref="N233:N235" si="691">F233+110</f>
        <v>4006.9</v>
      </c>
      <c r="O233" s="258">
        <f t="shared" ref="O233:O235" si="692">+N233*$X$1</f>
        <v>4006.9</v>
      </c>
      <c r="P233" s="576">
        <f t="shared" ref="P233:P235" si="693">F233+100</f>
        <v>3996.9</v>
      </c>
      <c r="Q233" s="258">
        <f t="shared" ref="Q233:Q235" si="694">+P233*$X$1</f>
        <v>3996.9</v>
      </c>
      <c r="R233" s="576">
        <f t="shared" ref="R233:R235" si="695">F233+80</f>
        <v>3976.9</v>
      </c>
      <c r="S233" s="258">
        <f t="shared" ref="S233:S235" si="696">+R233*$X$1</f>
        <v>3976.9</v>
      </c>
      <c r="T233" s="576">
        <f t="shared" ref="T233:T235" si="697">F233+65</f>
        <v>3961.9</v>
      </c>
      <c r="U233" s="258">
        <f t="shared" ref="U233:U235" si="698">+T233*$X$1</f>
        <v>3961.9</v>
      </c>
      <c r="V233" s="576">
        <f t="shared" ref="V233:V235" si="699">F233+56</f>
        <v>3952.9</v>
      </c>
      <c r="W233" s="258">
        <f t="shared" ref="W233:W235" si="700">+V233*$X$1</f>
        <v>3952.9</v>
      </c>
      <c r="X233" s="135"/>
      <c r="Y233" s="144"/>
      <c r="Z233" s="135"/>
      <c r="AA233" s="135"/>
      <c r="AB233" s="178">
        <v>624</v>
      </c>
    </row>
    <row r="234" spans="1:34" ht="12.6" customHeight="1" x14ac:dyDescent="0.2">
      <c r="A234" s="20"/>
      <c r="B234" s="711" t="s">
        <v>177</v>
      </c>
      <c r="C234" s="712"/>
      <c r="D234" s="712"/>
      <c r="E234" s="712"/>
      <c r="F234" s="333">
        <f>5.057*X2</f>
        <v>6725.81</v>
      </c>
      <c r="G234" s="257">
        <f t="shared" si="685"/>
        <v>6725.81</v>
      </c>
      <c r="H234" s="282"/>
      <c r="I234" s="305"/>
      <c r="J234" s="68">
        <f t="shared" si="688"/>
        <v>6925.81</v>
      </c>
      <c r="K234" s="257">
        <f t="shared" si="689"/>
        <v>6925.81</v>
      </c>
      <c r="L234" s="559">
        <f t="shared" si="690"/>
        <v>6875.81</v>
      </c>
      <c r="M234" s="257">
        <f t="shared" si="687"/>
        <v>6875.81</v>
      </c>
      <c r="N234" s="559">
        <f t="shared" si="691"/>
        <v>6835.81</v>
      </c>
      <c r="O234" s="257">
        <f t="shared" si="692"/>
        <v>6835.81</v>
      </c>
      <c r="P234" s="559">
        <f t="shared" si="693"/>
        <v>6825.81</v>
      </c>
      <c r="Q234" s="257">
        <f t="shared" si="694"/>
        <v>6825.81</v>
      </c>
      <c r="R234" s="559">
        <f t="shared" si="695"/>
        <v>6805.81</v>
      </c>
      <c r="S234" s="257">
        <f t="shared" si="696"/>
        <v>6805.81</v>
      </c>
      <c r="T234" s="559">
        <f t="shared" si="697"/>
        <v>6790.81</v>
      </c>
      <c r="U234" s="257">
        <f t="shared" si="698"/>
        <v>6790.81</v>
      </c>
      <c r="V234" s="559">
        <f t="shared" si="699"/>
        <v>6781.81</v>
      </c>
      <c r="W234" s="257">
        <f t="shared" si="700"/>
        <v>6781.81</v>
      </c>
      <c r="X234" s="135"/>
      <c r="Y234" s="144"/>
      <c r="Z234" s="135"/>
      <c r="AA234" s="135"/>
      <c r="AB234" s="178" t="s">
        <v>178</v>
      </c>
    </row>
    <row r="235" spans="1:34" ht="12.6" customHeight="1" x14ac:dyDescent="0.2">
      <c r="A235" s="20"/>
      <c r="B235" s="687" t="s">
        <v>179</v>
      </c>
      <c r="C235" s="688"/>
      <c r="D235" s="688"/>
      <c r="E235" s="689"/>
      <c r="F235" s="334">
        <f>5.6*X2</f>
        <v>7447.9999999999991</v>
      </c>
      <c r="G235" s="258">
        <f t="shared" ref="G235" si="701">+F235*$X$1</f>
        <v>7447.9999999999991</v>
      </c>
      <c r="H235" s="256"/>
      <c r="I235" s="306"/>
      <c r="J235" s="82">
        <f t="shared" si="688"/>
        <v>7647.9999999999991</v>
      </c>
      <c r="K235" s="258">
        <f t="shared" si="689"/>
        <v>7647.9999999999991</v>
      </c>
      <c r="L235" s="576">
        <f t="shared" si="690"/>
        <v>7597.9999999999991</v>
      </c>
      <c r="M235" s="258">
        <f t="shared" si="687"/>
        <v>7597.9999999999991</v>
      </c>
      <c r="N235" s="576">
        <f t="shared" si="691"/>
        <v>7557.9999999999991</v>
      </c>
      <c r="O235" s="258">
        <f t="shared" si="692"/>
        <v>7557.9999999999991</v>
      </c>
      <c r="P235" s="576">
        <f t="shared" si="693"/>
        <v>7547.9999999999991</v>
      </c>
      <c r="Q235" s="258">
        <f t="shared" si="694"/>
        <v>7547.9999999999991</v>
      </c>
      <c r="R235" s="576">
        <f t="shared" si="695"/>
        <v>7527.9999999999991</v>
      </c>
      <c r="S235" s="258">
        <f t="shared" si="696"/>
        <v>7527.9999999999991</v>
      </c>
      <c r="T235" s="576">
        <f t="shared" si="697"/>
        <v>7512.9999999999991</v>
      </c>
      <c r="U235" s="258">
        <f t="shared" si="698"/>
        <v>7512.9999999999991</v>
      </c>
      <c r="V235" s="576">
        <f t="shared" si="699"/>
        <v>7503.9999999999991</v>
      </c>
      <c r="W235" s="258">
        <f t="shared" si="700"/>
        <v>7503.9999999999991</v>
      </c>
      <c r="X235" s="135"/>
      <c r="Y235" s="144"/>
      <c r="Z235" s="135"/>
      <c r="AA235" s="135"/>
      <c r="AB235" s="178">
        <v>629</v>
      </c>
    </row>
    <row r="236" spans="1:34" ht="12.6" customHeight="1" x14ac:dyDescent="0.2">
      <c r="A236" s="17"/>
      <c r="B236" s="3"/>
      <c r="C236" s="3"/>
      <c r="D236" s="3"/>
      <c r="E236" s="3"/>
      <c r="F236" s="4"/>
      <c r="G236" s="4"/>
      <c r="H236" s="3"/>
      <c r="I236" s="3"/>
      <c r="J236" s="3"/>
      <c r="K236" s="154"/>
      <c r="L236" s="155"/>
      <c r="M236" s="155"/>
      <c r="N236" s="155"/>
      <c r="O236" s="155"/>
      <c r="P236" s="155"/>
      <c r="Q236" s="155"/>
      <c r="R236" s="155"/>
      <c r="S236" s="155"/>
      <c r="T236" s="155"/>
      <c r="U236" s="155"/>
      <c r="V236" s="155"/>
      <c r="W236" s="155"/>
      <c r="AB236" s="89"/>
    </row>
    <row r="237" spans="1:34" ht="12.6" customHeight="1" x14ac:dyDescent="0.2">
      <c r="A237" s="17"/>
      <c r="B237" s="3"/>
      <c r="C237" s="3"/>
      <c r="D237" s="3"/>
      <c r="E237" s="3"/>
      <c r="F237" s="4"/>
      <c r="G237" s="4"/>
      <c r="H237" s="3"/>
      <c r="I237" s="3"/>
      <c r="J237" s="3"/>
      <c r="K237" s="154"/>
      <c r="L237" s="155"/>
      <c r="M237" s="155"/>
      <c r="N237" s="155"/>
      <c r="O237" s="155"/>
      <c r="P237" s="155"/>
      <c r="Q237" s="155"/>
      <c r="R237" s="155"/>
      <c r="S237" s="155"/>
      <c r="T237" s="155"/>
      <c r="U237" s="155"/>
      <c r="V237" s="155"/>
      <c r="W237" s="155"/>
      <c r="AB237" s="89"/>
    </row>
    <row r="238" spans="1:34" ht="12.6" customHeight="1" x14ac:dyDescent="0.2">
      <c r="A238" s="17"/>
      <c r="B238" s="3"/>
      <c r="C238" s="3"/>
      <c r="D238" s="3"/>
      <c r="E238" s="3"/>
      <c r="F238" s="4"/>
      <c r="G238" s="4"/>
      <c r="H238" s="3"/>
      <c r="I238" s="3"/>
      <c r="J238" s="3"/>
      <c r="K238" s="154"/>
      <c r="L238" s="155"/>
      <c r="M238" s="155"/>
      <c r="N238" s="155"/>
      <c r="O238" s="155"/>
      <c r="P238" s="155"/>
      <c r="Q238" s="155"/>
      <c r="R238" s="155"/>
      <c r="S238" s="155"/>
      <c r="T238" s="155"/>
      <c r="U238" s="155"/>
      <c r="V238" s="155"/>
      <c r="W238" s="155"/>
      <c r="AB238" s="4"/>
    </row>
    <row r="239" spans="1:34" ht="15.75" customHeight="1" x14ac:dyDescent="0.2">
      <c r="A239" s="17"/>
      <c r="B239" s="809" t="s">
        <v>11</v>
      </c>
      <c r="C239" s="803" t="s">
        <v>12</v>
      </c>
      <c r="D239" s="804"/>
      <c r="E239" s="804"/>
      <c r="F239" s="649" t="s">
        <v>13</v>
      </c>
      <c r="G239" s="649" t="s">
        <v>13</v>
      </c>
      <c r="H239" s="651" t="s">
        <v>742</v>
      </c>
      <c r="I239" s="651"/>
      <c r="J239" s="652"/>
      <c r="K239" s="652"/>
      <c r="L239" s="652"/>
      <c r="M239" s="652"/>
      <c r="N239" s="652"/>
      <c r="O239" s="652"/>
      <c r="P239" s="652"/>
      <c r="Q239" s="652"/>
      <c r="R239" s="652"/>
      <c r="S239" s="652"/>
      <c r="T239" s="652"/>
      <c r="U239" s="652"/>
      <c r="V239" s="652"/>
      <c r="W239" s="652"/>
      <c r="X239" s="653" t="s">
        <v>14</v>
      </c>
      <c r="Y239" s="702"/>
      <c r="Z239" s="702"/>
      <c r="AA239" s="703"/>
      <c r="AB239" s="638" t="s">
        <v>15</v>
      </c>
      <c r="AF239" s="640" t="s">
        <v>3</v>
      </c>
      <c r="AG239" s="641"/>
      <c r="AH239" s="641"/>
    </row>
    <row r="240" spans="1:34" ht="11.25" customHeight="1" x14ac:dyDescent="0.2">
      <c r="A240" s="17"/>
      <c r="B240" s="809"/>
      <c r="C240" s="804"/>
      <c r="D240" s="804"/>
      <c r="E240" s="804"/>
      <c r="F240" s="650"/>
      <c r="G240" s="650"/>
      <c r="H240" s="421"/>
      <c r="I240" s="413" t="s">
        <v>267</v>
      </c>
      <c r="J240" s="415"/>
      <c r="K240" s="413" t="s">
        <v>17</v>
      </c>
      <c r="L240" s="416"/>
      <c r="M240" s="416" t="s">
        <v>18</v>
      </c>
      <c r="N240" s="416"/>
      <c r="O240" s="413" t="s">
        <v>19</v>
      </c>
      <c r="P240" s="416"/>
      <c r="Q240" s="416" t="s">
        <v>268</v>
      </c>
      <c r="R240" s="416"/>
      <c r="S240" s="416" t="s">
        <v>20</v>
      </c>
      <c r="T240" s="416"/>
      <c r="U240" s="416" t="s">
        <v>21</v>
      </c>
      <c r="V240" s="416"/>
      <c r="W240" s="416" t="s">
        <v>22</v>
      </c>
      <c r="X240" s="704"/>
      <c r="Y240" s="705"/>
      <c r="Z240" s="705"/>
      <c r="AA240" s="706"/>
      <c r="AB240" s="639"/>
    </row>
    <row r="241" spans="1:28" ht="12.6" customHeight="1" x14ac:dyDescent="0.2">
      <c r="A241" s="20"/>
      <c r="B241" s="687" t="s">
        <v>375</v>
      </c>
      <c r="C241" s="688"/>
      <c r="D241" s="688"/>
      <c r="E241" s="689"/>
      <c r="F241" s="334">
        <f>8.55*X2</f>
        <v>11371.500000000002</v>
      </c>
      <c r="G241" s="258">
        <f>+F241*$X$1</f>
        <v>11371.500000000002</v>
      </c>
      <c r="H241" s="256"/>
      <c r="I241" s="306"/>
      <c r="J241" s="82">
        <f>F241+200</f>
        <v>11571.500000000002</v>
      </c>
      <c r="K241" s="258">
        <f>+J241*$X$1</f>
        <v>11571.500000000002</v>
      </c>
      <c r="L241" s="576">
        <f>F241+150</f>
        <v>11521.500000000002</v>
      </c>
      <c r="M241" s="258">
        <f>+L241*$X$1</f>
        <v>11521.500000000002</v>
      </c>
      <c r="N241" s="576">
        <f>F241+110</f>
        <v>11481.500000000002</v>
      </c>
      <c r="O241" s="258">
        <f>+N241*$X$1</f>
        <v>11481.500000000002</v>
      </c>
      <c r="P241" s="576">
        <f>F241+100</f>
        <v>11471.500000000002</v>
      </c>
      <c r="Q241" s="258">
        <f>+P241*$X$1</f>
        <v>11471.500000000002</v>
      </c>
      <c r="R241" s="576">
        <f>F241+80</f>
        <v>11451.500000000002</v>
      </c>
      <c r="S241" s="258">
        <f>+R241*$X$1</f>
        <v>11451.500000000002</v>
      </c>
      <c r="T241" s="576">
        <f>F241+65</f>
        <v>11436.500000000002</v>
      </c>
      <c r="U241" s="258">
        <f>+T241*$X$1</f>
        <v>11436.500000000002</v>
      </c>
      <c r="V241" s="576">
        <f>F241+56</f>
        <v>11427.500000000002</v>
      </c>
      <c r="W241" s="258">
        <f>+V241*$X$1</f>
        <v>11427.500000000002</v>
      </c>
      <c r="X241" s="135"/>
      <c r="Y241" s="144"/>
      <c r="Z241" s="135"/>
      <c r="AA241" s="135"/>
      <c r="AB241" s="178">
        <v>630</v>
      </c>
    </row>
    <row r="242" spans="1:28" ht="12.6" customHeight="1" x14ac:dyDescent="0.2">
      <c r="A242" s="20"/>
      <c r="B242" s="678" t="s">
        <v>495</v>
      </c>
      <c r="C242" s="679"/>
      <c r="D242" s="679"/>
      <c r="E242" s="680"/>
      <c r="F242" s="333">
        <f>0.96*X2</f>
        <v>1276.8</v>
      </c>
      <c r="G242" s="257">
        <f t="shared" ref="G242" si="702">+F242*$X$1</f>
        <v>1276.8</v>
      </c>
      <c r="H242" s="583"/>
      <c r="I242" s="305"/>
      <c r="J242" s="68">
        <f>F242+200</f>
        <v>1476.8</v>
      </c>
      <c r="K242" s="257">
        <f>+J242*$X$1</f>
        <v>1476.8</v>
      </c>
      <c r="L242" s="559">
        <f>F242+150</f>
        <v>1426.8</v>
      </c>
      <c r="M242" s="257">
        <f>+L242*$X$1</f>
        <v>1426.8</v>
      </c>
      <c r="N242" s="559">
        <f>F242+110</f>
        <v>1386.8</v>
      </c>
      <c r="O242" s="257">
        <f>+N242*$X$1</f>
        <v>1386.8</v>
      </c>
      <c r="P242" s="559">
        <f>F242+100</f>
        <v>1376.8</v>
      </c>
      <c r="Q242" s="257">
        <f>+P242*$X$1</f>
        <v>1376.8</v>
      </c>
      <c r="R242" s="559">
        <f>F242+80</f>
        <v>1356.8</v>
      </c>
      <c r="S242" s="257">
        <f>+R242*$X$1</f>
        <v>1356.8</v>
      </c>
      <c r="T242" s="559">
        <f>F242+65</f>
        <v>1341.8</v>
      </c>
      <c r="U242" s="257">
        <f>+T242*$X$1</f>
        <v>1341.8</v>
      </c>
      <c r="V242" s="559">
        <f>F242+56</f>
        <v>1332.8</v>
      </c>
      <c r="W242" s="257">
        <f>+V242*$X$1</f>
        <v>1332.8</v>
      </c>
      <c r="X242" s="135"/>
      <c r="Y242" s="144"/>
      <c r="Z242" s="135"/>
      <c r="AA242" s="135"/>
      <c r="AB242" s="178">
        <v>631</v>
      </c>
    </row>
    <row r="243" spans="1:28" ht="12.6" customHeight="1" x14ac:dyDescent="0.2">
      <c r="A243" s="20"/>
      <c r="B243" s="687" t="s">
        <v>831</v>
      </c>
      <c r="C243" s="688"/>
      <c r="D243" s="688"/>
      <c r="E243" s="689"/>
      <c r="F243" s="334">
        <f>2.69*X2</f>
        <v>3577.7</v>
      </c>
      <c r="G243" s="258">
        <f t="shared" ref="G243" si="703">+F243*$X$1</f>
        <v>3577.7</v>
      </c>
      <c r="H243" s="251"/>
      <c r="I243" s="306"/>
      <c r="J243" s="82">
        <f>F243+200</f>
        <v>3777.7</v>
      </c>
      <c r="K243" s="258">
        <f>+J243*$X$1</f>
        <v>3777.7</v>
      </c>
      <c r="L243" s="576">
        <f>F243+150</f>
        <v>3727.7</v>
      </c>
      <c r="M243" s="258">
        <f>+L243*$X$1</f>
        <v>3727.7</v>
      </c>
      <c r="N243" s="576">
        <f>F243+110</f>
        <v>3687.7</v>
      </c>
      <c r="O243" s="258">
        <f>+N243*$X$1</f>
        <v>3687.7</v>
      </c>
      <c r="P243" s="576">
        <f>F243+100</f>
        <v>3677.7</v>
      </c>
      <c r="Q243" s="258">
        <f>+P243*$X$1</f>
        <v>3677.7</v>
      </c>
      <c r="R243" s="576">
        <f>F243+80</f>
        <v>3657.7</v>
      </c>
      <c r="S243" s="258">
        <f>+R243*$X$1</f>
        <v>3657.7</v>
      </c>
      <c r="T243" s="576">
        <f>F243+65</f>
        <v>3642.7</v>
      </c>
      <c r="U243" s="258">
        <f>+T243*$X$1</f>
        <v>3642.7</v>
      </c>
      <c r="V243" s="576">
        <f>F243+56</f>
        <v>3633.7</v>
      </c>
      <c r="W243" s="258">
        <f>+V243*$X$1</f>
        <v>3633.7</v>
      </c>
      <c r="X243" s="135"/>
      <c r="Y243" s="144"/>
      <c r="Z243" s="135"/>
      <c r="AA243" s="135"/>
      <c r="AB243" s="178">
        <v>633</v>
      </c>
    </row>
    <row r="244" spans="1:28" ht="12.6" customHeight="1" x14ac:dyDescent="0.2">
      <c r="A244" s="20"/>
      <c r="B244" s="678" t="s">
        <v>461</v>
      </c>
      <c r="C244" s="679"/>
      <c r="D244" s="679"/>
      <c r="E244" s="680"/>
      <c r="F244" s="333">
        <f>1.36*X2</f>
        <v>1808.8000000000002</v>
      </c>
      <c r="G244" s="257">
        <f>+F244*$X$1</f>
        <v>1808.8000000000002</v>
      </c>
      <c r="H244" s="582"/>
      <c r="I244" s="305"/>
      <c r="J244" s="68">
        <f>F244+200</f>
        <v>2008.8000000000002</v>
      </c>
      <c r="K244" s="257">
        <f>+J244*$X$1</f>
        <v>2008.8000000000002</v>
      </c>
      <c r="L244" s="559">
        <f>F244+150</f>
        <v>1958.8000000000002</v>
      </c>
      <c r="M244" s="257">
        <f>+L244*$X$1</f>
        <v>1958.8000000000002</v>
      </c>
      <c r="N244" s="559">
        <f>F244+110</f>
        <v>1918.8000000000002</v>
      </c>
      <c r="O244" s="257">
        <f>+N244*$X$1</f>
        <v>1918.8000000000002</v>
      </c>
      <c r="P244" s="559">
        <f>F244+100</f>
        <v>1908.8000000000002</v>
      </c>
      <c r="Q244" s="257">
        <f>+P244*$X$1</f>
        <v>1908.8000000000002</v>
      </c>
      <c r="R244" s="559">
        <f>F244+80</f>
        <v>1888.8000000000002</v>
      </c>
      <c r="S244" s="257">
        <f>+R244*$X$1</f>
        <v>1888.8000000000002</v>
      </c>
      <c r="T244" s="559">
        <f>F244+65</f>
        <v>1873.8000000000002</v>
      </c>
      <c r="U244" s="257">
        <f>+T244*$X$1</f>
        <v>1873.8000000000002</v>
      </c>
      <c r="V244" s="559">
        <f>F244+56</f>
        <v>1864.8000000000002</v>
      </c>
      <c r="W244" s="257">
        <f>+V244*$X$1</f>
        <v>1864.8000000000002</v>
      </c>
      <c r="X244" s="135"/>
      <c r="Y244" s="144"/>
      <c r="Z244" s="135"/>
      <c r="AA244" s="135"/>
      <c r="AB244" s="178">
        <v>640</v>
      </c>
    </row>
    <row r="245" spans="1:28" ht="12.6" customHeight="1" x14ac:dyDescent="0.2">
      <c r="A245" s="17"/>
      <c r="B245" s="667" t="s">
        <v>180</v>
      </c>
      <c r="C245" s="668"/>
      <c r="D245" s="668"/>
      <c r="E245" s="668"/>
      <c r="F245" s="334">
        <f>2.7*X2</f>
        <v>3591.0000000000005</v>
      </c>
      <c r="G245" s="258">
        <f>+F245*$X$1</f>
        <v>3591.0000000000005</v>
      </c>
      <c r="H245" s="573">
        <f>F245+600</f>
        <v>4191</v>
      </c>
      <c r="I245" s="258">
        <f t="shared" ref="I245" si="704">+H245*$X$1</f>
        <v>4191</v>
      </c>
      <c r="J245" s="573">
        <f>F245+200</f>
        <v>3791.0000000000005</v>
      </c>
      <c r="K245" s="258">
        <f t="shared" ref="K245" si="705">+J245*$X$1</f>
        <v>3791.0000000000005</v>
      </c>
      <c r="L245" s="573">
        <f>F245+150</f>
        <v>3741.0000000000005</v>
      </c>
      <c r="M245" s="258">
        <f t="shared" ref="M245" si="706">+L245*$X$1</f>
        <v>3741.0000000000005</v>
      </c>
      <c r="N245" s="573">
        <f>F245+100</f>
        <v>3691.0000000000005</v>
      </c>
      <c r="O245" s="258">
        <f>+N245*$X$1</f>
        <v>3691.0000000000005</v>
      </c>
      <c r="P245" s="573">
        <f>F245+90</f>
        <v>3681.0000000000005</v>
      </c>
      <c r="Q245" s="258">
        <f t="shared" ref="Q245" si="707">+P245*$X$1</f>
        <v>3681.0000000000005</v>
      </c>
      <c r="R245" s="573">
        <f>F245+70</f>
        <v>3661.0000000000005</v>
      </c>
      <c r="S245" s="258">
        <f>+R245*$X$1</f>
        <v>3661.0000000000005</v>
      </c>
      <c r="T245" s="573">
        <f>F245+56</f>
        <v>3647.0000000000005</v>
      </c>
      <c r="U245" s="258">
        <f t="shared" ref="U245" si="708">+T245*$X$1</f>
        <v>3647.0000000000005</v>
      </c>
      <c r="V245" s="573">
        <f>F245+49</f>
        <v>3640.0000000000005</v>
      </c>
      <c r="W245" s="258">
        <f t="shared" ref="W245" si="709">+V245*$X$1</f>
        <v>3640.0000000000005</v>
      </c>
      <c r="X245" s="715"/>
      <c r="Y245" s="808"/>
      <c r="Z245" s="808"/>
      <c r="AA245" s="716"/>
      <c r="AB245" s="178">
        <v>705</v>
      </c>
    </row>
    <row r="246" spans="1:28" ht="12.6" customHeight="1" x14ac:dyDescent="0.2">
      <c r="A246" s="17"/>
      <c r="B246" s="672" t="s">
        <v>473</v>
      </c>
      <c r="C246" s="673"/>
      <c r="D246" s="673"/>
      <c r="E246" s="673"/>
      <c r="F246" s="257">
        <v>13580</v>
      </c>
      <c r="G246" s="257">
        <f t="shared" ref="G246:G247" si="710">+F246*$X$1</f>
        <v>13580</v>
      </c>
      <c r="H246" s="559">
        <f>F246+600</f>
        <v>14180</v>
      </c>
      <c r="I246" s="257">
        <f t="shared" ref="I246:I247" si="711">+H246*$X$1</f>
        <v>14180</v>
      </c>
      <c r="J246" s="559">
        <f>F246+260</f>
        <v>13840</v>
      </c>
      <c r="K246" s="257">
        <f t="shared" ref="K246:K247" si="712">+J246*$X$1</f>
        <v>13840</v>
      </c>
      <c r="L246" s="559">
        <f>F246+230</f>
        <v>13810</v>
      </c>
      <c r="M246" s="257">
        <f t="shared" ref="M246:M247" si="713">+L246*$X$1</f>
        <v>13810</v>
      </c>
      <c r="N246" s="559">
        <f>F246+200</f>
        <v>13780</v>
      </c>
      <c r="O246" s="257">
        <f t="shared" ref="O246:O247" si="714">+N246*$X$1</f>
        <v>13780</v>
      </c>
      <c r="P246" s="559">
        <f>F246+170</f>
        <v>13750</v>
      </c>
      <c r="Q246" s="257">
        <f t="shared" ref="Q246:Q247" si="715">+P246*$X$1</f>
        <v>13750</v>
      </c>
      <c r="R246" s="559">
        <f>F246+150</f>
        <v>13730</v>
      </c>
      <c r="S246" s="257">
        <f t="shared" ref="S246:S247" si="716">+R246*$X$1</f>
        <v>13730</v>
      </c>
      <c r="T246" s="93">
        <f>F246+130</f>
        <v>13710</v>
      </c>
      <c r="U246" s="235">
        <f t="shared" ref="U246:U247" si="717">+T246*$X$1</f>
        <v>13710</v>
      </c>
      <c r="V246" s="93">
        <f>F246+110</f>
        <v>13690</v>
      </c>
      <c r="W246" s="235">
        <f t="shared" ref="W246:W247" si="718">+V246*$X$1</f>
        <v>13690</v>
      </c>
      <c r="X246" s="674"/>
      <c r="Y246" s="677"/>
      <c r="Z246" s="677"/>
      <c r="AA246" s="676"/>
      <c r="AB246" s="178">
        <v>815</v>
      </c>
    </row>
    <row r="247" spans="1:28" ht="12.6" customHeight="1" x14ac:dyDescent="0.2">
      <c r="A247" s="17"/>
      <c r="B247" s="723" t="s">
        <v>958</v>
      </c>
      <c r="C247" s="686"/>
      <c r="D247" s="686"/>
      <c r="E247" s="686"/>
      <c r="F247" s="334">
        <f>5.54*X2</f>
        <v>7368.2</v>
      </c>
      <c r="G247" s="258">
        <f t="shared" si="710"/>
        <v>7368.2</v>
      </c>
      <c r="H247" s="573">
        <f t="shared" ref="H247" si="719">F247+600</f>
        <v>7968.2</v>
      </c>
      <c r="I247" s="258">
        <f t="shared" si="711"/>
        <v>7968.2</v>
      </c>
      <c r="J247" s="573">
        <f t="shared" ref="J247" si="720">F247+260</f>
        <v>7628.2</v>
      </c>
      <c r="K247" s="258">
        <f t="shared" si="712"/>
        <v>7628.2</v>
      </c>
      <c r="L247" s="573">
        <f t="shared" ref="L247" si="721">F247+230</f>
        <v>7598.2</v>
      </c>
      <c r="M247" s="258">
        <f t="shared" si="713"/>
        <v>7598.2</v>
      </c>
      <c r="N247" s="573">
        <f t="shared" ref="N247" si="722">F247+200</f>
        <v>7568.2</v>
      </c>
      <c r="O247" s="258">
        <f t="shared" si="714"/>
        <v>7568.2</v>
      </c>
      <c r="P247" s="573">
        <f t="shared" ref="P247" si="723">F247+170</f>
        <v>7538.2</v>
      </c>
      <c r="Q247" s="258">
        <f t="shared" si="715"/>
        <v>7538.2</v>
      </c>
      <c r="R247" s="573">
        <f t="shared" ref="R247" si="724">F247+150</f>
        <v>7518.2</v>
      </c>
      <c r="S247" s="258">
        <f t="shared" si="716"/>
        <v>7518.2</v>
      </c>
      <c r="T247" s="92">
        <f t="shared" ref="T247" si="725">F247+130</f>
        <v>7498.2</v>
      </c>
      <c r="U247" s="272">
        <f t="shared" si="717"/>
        <v>7498.2</v>
      </c>
      <c r="V247" s="92">
        <f t="shared" ref="V247" si="726">F247+110</f>
        <v>7478.2</v>
      </c>
      <c r="W247" s="272">
        <f t="shared" si="718"/>
        <v>7478.2</v>
      </c>
      <c r="X247" s="674"/>
      <c r="Y247" s="677"/>
      <c r="Z247" s="677"/>
      <c r="AA247" s="676"/>
      <c r="AB247" s="178">
        <v>816</v>
      </c>
    </row>
    <row r="248" spans="1:28" ht="12.6" customHeight="1" x14ac:dyDescent="0.2">
      <c r="A248" s="17"/>
      <c r="B248" s="723" t="s">
        <v>861</v>
      </c>
      <c r="C248" s="789"/>
      <c r="D248" s="789"/>
      <c r="E248" s="789"/>
      <c r="F248" s="333">
        <f>32.25*X2</f>
        <v>42892.5</v>
      </c>
      <c r="G248" s="257">
        <f>+F248*$X$1</f>
        <v>42892.5</v>
      </c>
      <c r="H248" s="559">
        <f>F248+600</f>
        <v>43492.5</v>
      </c>
      <c r="I248" s="257">
        <f t="shared" ref="I248" si="727">+H248*$X$1</f>
        <v>43492.5</v>
      </c>
      <c r="J248" s="559">
        <f>F248+260</f>
        <v>43152.5</v>
      </c>
      <c r="K248" s="257">
        <f t="shared" ref="K248" si="728">+J248*$X$1</f>
        <v>43152.5</v>
      </c>
      <c r="L248" s="559">
        <f>F248+230</f>
        <v>43122.5</v>
      </c>
      <c r="M248" s="257">
        <f t="shared" ref="M248" si="729">+L248*$X$1</f>
        <v>43122.5</v>
      </c>
      <c r="N248" s="559">
        <f>F248+200</f>
        <v>43092.5</v>
      </c>
      <c r="O248" s="257">
        <f t="shared" ref="O248" si="730">+N248*$X$1</f>
        <v>43092.5</v>
      </c>
      <c r="P248" s="559">
        <f>F248+170</f>
        <v>43062.5</v>
      </c>
      <c r="Q248" s="257">
        <f t="shared" ref="Q248" si="731">+P248*$X$1</f>
        <v>43062.5</v>
      </c>
      <c r="R248" s="559">
        <f>F248+150</f>
        <v>43042.5</v>
      </c>
      <c r="S248" s="257">
        <f t="shared" ref="S248" si="732">+R248*$X$1</f>
        <v>43042.5</v>
      </c>
      <c r="T248" s="93">
        <f>F248+130</f>
        <v>43022.5</v>
      </c>
      <c r="U248" s="235">
        <f t="shared" ref="U248" si="733">+T248*$X$1</f>
        <v>43022.5</v>
      </c>
      <c r="V248" s="93">
        <f>F248+110</f>
        <v>43002.5</v>
      </c>
      <c r="W248" s="235">
        <f t="shared" ref="W248" si="734">+V248*$X$1</f>
        <v>43002.5</v>
      </c>
      <c r="X248" s="674"/>
      <c r="Y248" s="677"/>
      <c r="Z248" s="677"/>
      <c r="AA248" s="676"/>
      <c r="AB248" s="178">
        <v>817</v>
      </c>
    </row>
    <row r="249" spans="1:28" ht="12.6" customHeight="1" x14ac:dyDescent="0.2">
      <c r="A249" s="17"/>
      <c r="B249" s="723" t="s">
        <v>862</v>
      </c>
      <c r="C249" s="789"/>
      <c r="D249" s="789"/>
      <c r="E249" s="789"/>
      <c r="F249" s="334">
        <f>16.1*X2</f>
        <v>21413.000000000004</v>
      </c>
      <c r="G249" s="258">
        <f>+F249*$X$1</f>
        <v>21413.000000000004</v>
      </c>
      <c r="H249" s="573">
        <f>F249+600</f>
        <v>22013.000000000004</v>
      </c>
      <c r="I249" s="258">
        <f t="shared" ref="I249" si="735">+H249*$X$1</f>
        <v>22013.000000000004</v>
      </c>
      <c r="J249" s="573">
        <f>F249+260</f>
        <v>21673.000000000004</v>
      </c>
      <c r="K249" s="258">
        <f t="shared" ref="K249" si="736">+J249*$X$1</f>
        <v>21673.000000000004</v>
      </c>
      <c r="L249" s="573">
        <f>F249+230</f>
        <v>21643.000000000004</v>
      </c>
      <c r="M249" s="258">
        <f t="shared" ref="M249" si="737">+L249*$X$1</f>
        <v>21643.000000000004</v>
      </c>
      <c r="N249" s="573">
        <f>F249+200</f>
        <v>21613.000000000004</v>
      </c>
      <c r="O249" s="258">
        <f t="shared" ref="O249" si="738">+N249*$X$1</f>
        <v>21613.000000000004</v>
      </c>
      <c r="P249" s="573">
        <f>F249+170</f>
        <v>21583.000000000004</v>
      </c>
      <c r="Q249" s="258">
        <f t="shared" ref="Q249" si="739">+P249*$X$1</f>
        <v>21583.000000000004</v>
      </c>
      <c r="R249" s="573">
        <f>F249+150</f>
        <v>21563.000000000004</v>
      </c>
      <c r="S249" s="258">
        <f t="shared" ref="S249" si="740">+R249*$X$1</f>
        <v>21563.000000000004</v>
      </c>
      <c r="T249" s="92">
        <f>F249+130</f>
        <v>21543.000000000004</v>
      </c>
      <c r="U249" s="272">
        <f t="shared" ref="U249" si="741">+T249*$X$1</f>
        <v>21543.000000000004</v>
      </c>
      <c r="V249" s="92">
        <f>F249+110</f>
        <v>21523.000000000004</v>
      </c>
      <c r="W249" s="272">
        <f t="shared" ref="W249" si="742">+V249*$X$1</f>
        <v>21523.000000000004</v>
      </c>
      <c r="X249" s="674"/>
      <c r="Y249" s="677"/>
      <c r="Z249" s="677"/>
      <c r="AA249" s="676"/>
      <c r="AB249" s="178">
        <v>818</v>
      </c>
    </row>
    <row r="250" spans="1:28" ht="12.6" customHeight="1" x14ac:dyDescent="0.2">
      <c r="A250" s="17"/>
      <c r="B250" s="672" t="s">
        <v>472</v>
      </c>
      <c r="C250" s="673"/>
      <c r="D250" s="673"/>
      <c r="E250" s="673"/>
      <c r="F250" s="257">
        <v>23300</v>
      </c>
      <c r="G250" s="257">
        <f t="shared" ref="G250" si="743">+F250*$X$1</f>
        <v>23300</v>
      </c>
      <c r="H250" s="559">
        <f t="shared" ref="H250:H277" si="744">F250+600</f>
        <v>23900</v>
      </c>
      <c r="I250" s="257">
        <f t="shared" ref="I250:I277" si="745">+H250*$X$1</f>
        <v>23900</v>
      </c>
      <c r="J250" s="559">
        <f t="shared" ref="J250:J277" si="746">F250+260</f>
        <v>23560</v>
      </c>
      <c r="K250" s="257">
        <f t="shared" ref="K250:K277" si="747">+J250*$X$1</f>
        <v>23560</v>
      </c>
      <c r="L250" s="559">
        <f t="shared" ref="L250:L277" si="748">F250+230</f>
        <v>23530</v>
      </c>
      <c r="M250" s="257">
        <f t="shared" ref="M250:M277" si="749">+L250*$X$1</f>
        <v>23530</v>
      </c>
      <c r="N250" s="559">
        <f t="shared" ref="N250:N277" si="750">F250+200</f>
        <v>23500</v>
      </c>
      <c r="O250" s="257">
        <f t="shared" ref="O250:O277" si="751">+N250*$X$1</f>
        <v>23500</v>
      </c>
      <c r="P250" s="559">
        <f t="shared" ref="P250:P277" si="752">F250+170</f>
        <v>23470</v>
      </c>
      <c r="Q250" s="257">
        <f t="shared" ref="Q250:Q277" si="753">+P250*$X$1</f>
        <v>23470</v>
      </c>
      <c r="R250" s="559">
        <f t="shared" ref="R250:R277" si="754">F250+150</f>
        <v>23450</v>
      </c>
      <c r="S250" s="257">
        <f t="shared" ref="S250:S277" si="755">+R250*$X$1</f>
        <v>23450</v>
      </c>
      <c r="T250" s="93">
        <f t="shared" ref="T250:T277" si="756">F250+130</f>
        <v>23430</v>
      </c>
      <c r="U250" s="235">
        <f t="shared" ref="U250:U277" si="757">+T250*$X$1</f>
        <v>23430</v>
      </c>
      <c r="V250" s="93">
        <f t="shared" ref="V250:V277" si="758">F250+110</f>
        <v>23410</v>
      </c>
      <c r="W250" s="235">
        <f t="shared" ref="W250:W277" si="759">+V250*$X$1</f>
        <v>23410</v>
      </c>
      <c r="X250" s="674"/>
      <c r="Y250" s="677"/>
      <c r="Z250" s="677"/>
      <c r="AA250" s="676"/>
      <c r="AB250" s="178">
        <v>819</v>
      </c>
    </row>
    <row r="251" spans="1:28" ht="12.6" customHeight="1" x14ac:dyDescent="0.2">
      <c r="A251" s="17"/>
      <c r="B251" s="667" t="s">
        <v>639</v>
      </c>
      <c r="C251" s="668"/>
      <c r="D251" s="668"/>
      <c r="E251" s="668"/>
      <c r="F251" s="334">
        <f>4.3*X2</f>
        <v>5719</v>
      </c>
      <c r="G251" s="258">
        <f>+F251*$X$1</f>
        <v>5719</v>
      </c>
      <c r="H251" s="573">
        <f t="shared" si="744"/>
        <v>6319</v>
      </c>
      <c r="I251" s="258">
        <f t="shared" si="745"/>
        <v>6319</v>
      </c>
      <c r="J251" s="573">
        <f t="shared" si="746"/>
        <v>5979</v>
      </c>
      <c r="K251" s="258">
        <f t="shared" si="747"/>
        <v>5979</v>
      </c>
      <c r="L251" s="573">
        <f t="shared" si="748"/>
        <v>5949</v>
      </c>
      <c r="M251" s="258">
        <f t="shared" si="749"/>
        <v>5949</v>
      </c>
      <c r="N251" s="573">
        <f t="shared" si="750"/>
        <v>5919</v>
      </c>
      <c r="O251" s="258">
        <f t="shared" si="751"/>
        <v>5919</v>
      </c>
      <c r="P251" s="573">
        <f t="shared" si="752"/>
        <v>5889</v>
      </c>
      <c r="Q251" s="258">
        <f t="shared" si="753"/>
        <v>5889</v>
      </c>
      <c r="R251" s="573">
        <f t="shared" si="754"/>
        <v>5869</v>
      </c>
      <c r="S251" s="258">
        <f t="shared" si="755"/>
        <v>5869</v>
      </c>
      <c r="T251" s="92">
        <f t="shared" si="756"/>
        <v>5849</v>
      </c>
      <c r="U251" s="272">
        <f t="shared" si="757"/>
        <v>5849</v>
      </c>
      <c r="V251" s="92">
        <f t="shared" si="758"/>
        <v>5829</v>
      </c>
      <c r="W251" s="272">
        <f t="shared" si="759"/>
        <v>5829</v>
      </c>
      <c r="X251" s="674"/>
      <c r="Y251" s="677"/>
      <c r="Z251" s="677"/>
      <c r="AA251" s="676"/>
      <c r="AB251" s="178">
        <v>821</v>
      </c>
    </row>
    <row r="252" spans="1:28" ht="12.6" customHeight="1" x14ac:dyDescent="0.2">
      <c r="A252" s="17"/>
      <c r="B252" s="723" t="s">
        <v>815</v>
      </c>
      <c r="C252" s="686"/>
      <c r="D252" s="686"/>
      <c r="E252" s="686"/>
      <c r="F252" s="333">
        <f>12.06*X2</f>
        <v>16039.800000000001</v>
      </c>
      <c r="G252" s="257">
        <f t="shared" ref="G252" si="760">+F252*$X$1</f>
        <v>16039.800000000001</v>
      </c>
      <c r="H252" s="559">
        <f t="shared" si="744"/>
        <v>16639.800000000003</v>
      </c>
      <c r="I252" s="257">
        <f t="shared" si="745"/>
        <v>16639.800000000003</v>
      </c>
      <c r="J252" s="559">
        <f t="shared" si="746"/>
        <v>16299.800000000001</v>
      </c>
      <c r="K252" s="257">
        <f t="shared" si="747"/>
        <v>16299.800000000001</v>
      </c>
      <c r="L252" s="559">
        <f t="shared" si="748"/>
        <v>16269.800000000001</v>
      </c>
      <c r="M252" s="257">
        <f t="shared" si="749"/>
        <v>16269.800000000001</v>
      </c>
      <c r="N252" s="559">
        <f t="shared" si="750"/>
        <v>16239.800000000001</v>
      </c>
      <c r="O252" s="257">
        <f t="shared" si="751"/>
        <v>16239.800000000001</v>
      </c>
      <c r="P252" s="559">
        <f t="shared" si="752"/>
        <v>16209.800000000001</v>
      </c>
      <c r="Q252" s="257">
        <f t="shared" si="753"/>
        <v>16209.800000000001</v>
      </c>
      <c r="R252" s="559">
        <f t="shared" si="754"/>
        <v>16189.800000000001</v>
      </c>
      <c r="S252" s="257">
        <f t="shared" si="755"/>
        <v>16189.800000000001</v>
      </c>
      <c r="T252" s="93">
        <f t="shared" si="756"/>
        <v>16169.800000000001</v>
      </c>
      <c r="U252" s="235">
        <f t="shared" si="757"/>
        <v>16169.800000000001</v>
      </c>
      <c r="V252" s="93">
        <f t="shared" si="758"/>
        <v>16149.800000000001</v>
      </c>
      <c r="W252" s="235">
        <f t="shared" si="759"/>
        <v>16149.800000000001</v>
      </c>
      <c r="X252" s="674"/>
      <c r="Y252" s="677"/>
      <c r="Z252" s="677"/>
      <c r="AA252" s="676"/>
      <c r="AB252" s="178">
        <v>822</v>
      </c>
    </row>
    <row r="253" spans="1:28" ht="12.6" customHeight="1" x14ac:dyDescent="0.2">
      <c r="A253" s="17"/>
      <c r="B253" s="667" t="s">
        <v>468</v>
      </c>
      <c r="C253" s="668"/>
      <c r="D253" s="668"/>
      <c r="E253" s="668"/>
      <c r="F253" s="258">
        <v>17460</v>
      </c>
      <c r="G253" s="258">
        <f>+F253*$X$1</f>
        <v>17460</v>
      </c>
      <c r="H253" s="573">
        <f t="shared" si="744"/>
        <v>18060</v>
      </c>
      <c r="I253" s="258">
        <f t="shared" si="745"/>
        <v>18060</v>
      </c>
      <c r="J253" s="573">
        <f t="shared" si="746"/>
        <v>17720</v>
      </c>
      <c r="K253" s="258">
        <f t="shared" si="747"/>
        <v>17720</v>
      </c>
      <c r="L253" s="573">
        <f t="shared" si="748"/>
        <v>17690</v>
      </c>
      <c r="M253" s="258">
        <f t="shared" si="749"/>
        <v>17690</v>
      </c>
      <c r="N253" s="573">
        <f t="shared" si="750"/>
        <v>17660</v>
      </c>
      <c r="O253" s="258">
        <f t="shared" si="751"/>
        <v>17660</v>
      </c>
      <c r="P253" s="573">
        <f t="shared" si="752"/>
        <v>17630</v>
      </c>
      <c r="Q253" s="258">
        <f t="shared" si="753"/>
        <v>17630</v>
      </c>
      <c r="R253" s="573">
        <f t="shared" si="754"/>
        <v>17610</v>
      </c>
      <c r="S253" s="258">
        <f t="shared" si="755"/>
        <v>17610</v>
      </c>
      <c r="T253" s="92">
        <f t="shared" si="756"/>
        <v>17590</v>
      </c>
      <c r="U253" s="272">
        <f t="shared" si="757"/>
        <v>17590</v>
      </c>
      <c r="V253" s="92">
        <f t="shared" si="758"/>
        <v>17570</v>
      </c>
      <c r="W253" s="272">
        <f t="shared" si="759"/>
        <v>17570</v>
      </c>
      <c r="X253" s="674"/>
      <c r="Y253" s="677"/>
      <c r="Z253" s="677"/>
      <c r="AA253" s="676"/>
      <c r="AB253" s="178">
        <v>823</v>
      </c>
    </row>
    <row r="254" spans="1:28" ht="12.6" customHeight="1" x14ac:dyDescent="0.2">
      <c r="A254" s="17"/>
      <c r="B254" s="672" t="s">
        <v>823</v>
      </c>
      <c r="C254" s="673"/>
      <c r="D254" s="673"/>
      <c r="E254" s="673"/>
      <c r="F254" s="333">
        <f>3.2*X2</f>
        <v>4256</v>
      </c>
      <c r="G254" s="257">
        <f t="shared" ref="G254" si="761">+F254*$X$1</f>
        <v>4256</v>
      </c>
      <c r="H254" s="559">
        <f t="shared" si="744"/>
        <v>4856</v>
      </c>
      <c r="I254" s="257">
        <f t="shared" si="745"/>
        <v>4856</v>
      </c>
      <c r="J254" s="559">
        <f t="shared" si="746"/>
        <v>4516</v>
      </c>
      <c r="K254" s="257">
        <f t="shared" si="747"/>
        <v>4516</v>
      </c>
      <c r="L254" s="559">
        <f t="shared" si="748"/>
        <v>4486</v>
      </c>
      <c r="M254" s="257">
        <f t="shared" si="749"/>
        <v>4486</v>
      </c>
      <c r="N254" s="559">
        <f t="shared" si="750"/>
        <v>4456</v>
      </c>
      <c r="O254" s="257">
        <f t="shared" si="751"/>
        <v>4456</v>
      </c>
      <c r="P254" s="559">
        <f t="shared" si="752"/>
        <v>4426</v>
      </c>
      <c r="Q254" s="257">
        <f t="shared" si="753"/>
        <v>4426</v>
      </c>
      <c r="R254" s="559">
        <f t="shared" si="754"/>
        <v>4406</v>
      </c>
      <c r="S254" s="257">
        <f t="shared" si="755"/>
        <v>4406</v>
      </c>
      <c r="T254" s="93">
        <f t="shared" si="756"/>
        <v>4386</v>
      </c>
      <c r="U254" s="235">
        <f t="shared" si="757"/>
        <v>4386</v>
      </c>
      <c r="V254" s="93">
        <f t="shared" si="758"/>
        <v>4366</v>
      </c>
      <c r="W254" s="235">
        <f t="shared" si="759"/>
        <v>4366</v>
      </c>
      <c r="X254" s="674"/>
      <c r="Y254" s="677"/>
      <c r="Z254" s="677"/>
      <c r="AA254" s="676"/>
      <c r="AB254" s="178">
        <v>824</v>
      </c>
    </row>
    <row r="255" spans="1:28" ht="12.6" customHeight="1" x14ac:dyDescent="0.2">
      <c r="A255" s="17"/>
      <c r="B255" s="667" t="s">
        <v>766</v>
      </c>
      <c r="C255" s="668"/>
      <c r="D255" s="668"/>
      <c r="E255" s="668"/>
      <c r="F255" s="334">
        <f>3*X2</f>
        <v>3990</v>
      </c>
      <c r="G255" s="258">
        <f>+F255*$X$1</f>
        <v>3990</v>
      </c>
      <c r="H255" s="573">
        <f t="shared" si="744"/>
        <v>4590</v>
      </c>
      <c r="I255" s="258">
        <f t="shared" si="745"/>
        <v>4590</v>
      </c>
      <c r="J255" s="573">
        <f t="shared" si="746"/>
        <v>4250</v>
      </c>
      <c r="K255" s="258">
        <f t="shared" si="747"/>
        <v>4250</v>
      </c>
      <c r="L255" s="573">
        <f t="shared" si="748"/>
        <v>4220</v>
      </c>
      <c r="M255" s="258">
        <f t="shared" si="749"/>
        <v>4220</v>
      </c>
      <c r="N255" s="573">
        <f t="shared" si="750"/>
        <v>4190</v>
      </c>
      <c r="O255" s="258">
        <f t="shared" si="751"/>
        <v>4190</v>
      </c>
      <c r="P255" s="573">
        <f t="shared" si="752"/>
        <v>4160</v>
      </c>
      <c r="Q255" s="258">
        <f t="shared" si="753"/>
        <v>4160</v>
      </c>
      <c r="R255" s="573">
        <f t="shared" si="754"/>
        <v>4140</v>
      </c>
      <c r="S255" s="258">
        <f t="shared" si="755"/>
        <v>4140</v>
      </c>
      <c r="T255" s="92">
        <f t="shared" si="756"/>
        <v>4120</v>
      </c>
      <c r="U255" s="272">
        <f t="shared" si="757"/>
        <v>4120</v>
      </c>
      <c r="V255" s="92">
        <f t="shared" si="758"/>
        <v>4100</v>
      </c>
      <c r="W255" s="272">
        <f t="shared" si="759"/>
        <v>4100</v>
      </c>
      <c r="X255" s="674"/>
      <c r="Y255" s="677"/>
      <c r="Z255" s="677"/>
      <c r="AA255" s="676"/>
      <c r="AB255" s="178">
        <v>825</v>
      </c>
    </row>
    <row r="256" spans="1:28" ht="12.6" customHeight="1" x14ac:dyDescent="0.2">
      <c r="A256" s="17"/>
      <c r="B256" s="672" t="s">
        <v>634</v>
      </c>
      <c r="C256" s="673"/>
      <c r="D256" s="673"/>
      <c r="E256" s="673"/>
      <c r="F256" s="333">
        <f>6.7*X2</f>
        <v>8911</v>
      </c>
      <c r="G256" s="257">
        <f>+F256*$X$1</f>
        <v>8911</v>
      </c>
      <c r="H256" s="559">
        <f t="shared" si="744"/>
        <v>9511</v>
      </c>
      <c r="I256" s="257">
        <f t="shared" si="745"/>
        <v>9511</v>
      </c>
      <c r="J256" s="559">
        <f t="shared" si="746"/>
        <v>9171</v>
      </c>
      <c r="K256" s="257">
        <f t="shared" si="747"/>
        <v>9171</v>
      </c>
      <c r="L256" s="559">
        <f t="shared" si="748"/>
        <v>9141</v>
      </c>
      <c r="M256" s="257">
        <f t="shared" si="749"/>
        <v>9141</v>
      </c>
      <c r="N256" s="559">
        <f t="shared" si="750"/>
        <v>9111</v>
      </c>
      <c r="O256" s="257">
        <f t="shared" si="751"/>
        <v>9111</v>
      </c>
      <c r="P256" s="559">
        <f t="shared" si="752"/>
        <v>9081</v>
      </c>
      <c r="Q256" s="257">
        <f t="shared" si="753"/>
        <v>9081</v>
      </c>
      <c r="R256" s="559">
        <f t="shared" si="754"/>
        <v>9061</v>
      </c>
      <c r="S256" s="257">
        <f t="shared" si="755"/>
        <v>9061</v>
      </c>
      <c r="T256" s="93">
        <f t="shared" si="756"/>
        <v>9041</v>
      </c>
      <c r="U256" s="235">
        <f t="shared" si="757"/>
        <v>9041</v>
      </c>
      <c r="V256" s="93">
        <f t="shared" si="758"/>
        <v>9021</v>
      </c>
      <c r="W256" s="235">
        <f t="shared" si="759"/>
        <v>9021</v>
      </c>
      <c r="X256" s="674"/>
      <c r="Y256" s="677"/>
      <c r="Z256" s="677"/>
      <c r="AA256" s="676"/>
      <c r="AB256" s="178">
        <v>826</v>
      </c>
    </row>
    <row r="257" spans="1:28" ht="12.6" customHeight="1" x14ac:dyDescent="0.2">
      <c r="A257" s="17"/>
      <c r="B257" s="713" t="s">
        <v>796</v>
      </c>
      <c r="C257" s="668"/>
      <c r="D257" s="668"/>
      <c r="E257" s="668"/>
      <c r="F257" s="334">
        <f>2.9*X2</f>
        <v>3857</v>
      </c>
      <c r="G257" s="258">
        <f t="shared" ref="G257" si="762">+F257*$X$1</f>
        <v>3857</v>
      </c>
      <c r="H257" s="573">
        <f t="shared" si="744"/>
        <v>4457</v>
      </c>
      <c r="I257" s="258">
        <f t="shared" si="745"/>
        <v>4457</v>
      </c>
      <c r="J257" s="573">
        <f t="shared" si="746"/>
        <v>4117</v>
      </c>
      <c r="K257" s="258">
        <f t="shared" si="747"/>
        <v>4117</v>
      </c>
      <c r="L257" s="573">
        <f t="shared" si="748"/>
        <v>4087</v>
      </c>
      <c r="M257" s="258">
        <f t="shared" si="749"/>
        <v>4087</v>
      </c>
      <c r="N257" s="573">
        <f t="shared" si="750"/>
        <v>4057</v>
      </c>
      <c r="O257" s="258">
        <f t="shared" si="751"/>
        <v>4057</v>
      </c>
      <c r="P257" s="573">
        <f t="shared" si="752"/>
        <v>4027</v>
      </c>
      <c r="Q257" s="258">
        <f t="shared" si="753"/>
        <v>4027</v>
      </c>
      <c r="R257" s="573">
        <f t="shared" si="754"/>
        <v>4007</v>
      </c>
      <c r="S257" s="258">
        <f t="shared" si="755"/>
        <v>4007</v>
      </c>
      <c r="T257" s="92">
        <f t="shared" si="756"/>
        <v>3987</v>
      </c>
      <c r="U257" s="272">
        <f t="shared" si="757"/>
        <v>3987</v>
      </c>
      <c r="V257" s="92">
        <f t="shared" si="758"/>
        <v>3967</v>
      </c>
      <c r="W257" s="272">
        <f t="shared" si="759"/>
        <v>3967</v>
      </c>
      <c r="X257" s="674"/>
      <c r="Y257" s="677"/>
      <c r="Z257" s="677"/>
      <c r="AA257" s="676"/>
      <c r="AB257" s="178">
        <v>827</v>
      </c>
    </row>
    <row r="258" spans="1:28" ht="12.6" customHeight="1" x14ac:dyDescent="0.2">
      <c r="A258" s="17"/>
      <c r="B258" s="709" t="s">
        <v>635</v>
      </c>
      <c r="C258" s="710"/>
      <c r="D258" s="710"/>
      <c r="E258" s="710"/>
      <c r="F258" s="473">
        <f>6.82*X2</f>
        <v>9070.6</v>
      </c>
      <c r="G258" s="469">
        <f>+F258*$X$1</f>
        <v>9070.6</v>
      </c>
      <c r="H258" s="554">
        <f t="shared" si="744"/>
        <v>9670.6</v>
      </c>
      <c r="I258" s="469">
        <f t="shared" si="745"/>
        <v>9670.6</v>
      </c>
      <c r="J258" s="554">
        <f t="shared" si="746"/>
        <v>9330.6</v>
      </c>
      <c r="K258" s="469">
        <f t="shared" si="747"/>
        <v>9330.6</v>
      </c>
      <c r="L258" s="554">
        <f t="shared" si="748"/>
        <v>9300.6</v>
      </c>
      <c r="M258" s="469">
        <f t="shared" si="749"/>
        <v>9300.6</v>
      </c>
      <c r="N258" s="554">
        <f t="shared" si="750"/>
        <v>9270.6</v>
      </c>
      <c r="O258" s="469">
        <f t="shared" si="751"/>
        <v>9270.6</v>
      </c>
      <c r="P258" s="554">
        <f t="shared" si="752"/>
        <v>9240.6</v>
      </c>
      <c r="Q258" s="469">
        <f t="shared" si="753"/>
        <v>9240.6</v>
      </c>
      <c r="R258" s="554">
        <f t="shared" si="754"/>
        <v>9220.6</v>
      </c>
      <c r="S258" s="469">
        <f t="shared" si="755"/>
        <v>9220.6</v>
      </c>
      <c r="T258" s="549">
        <f t="shared" si="756"/>
        <v>9200.6</v>
      </c>
      <c r="U258" s="548">
        <f t="shared" si="757"/>
        <v>9200.6</v>
      </c>
      <c r="V258" s="549">
        <f t="shared" si="758"/>
        <v>9180.6</v>
      </c>
      <c r="W258" s="548">
        <f t="shared" si="759"/>
        <v>9180.6</v>
      </c>
      <c r="X258" s="674"/>
      <c r="Y258" s="677"/>
      <c r="Z258" s="677"/>
      <c r="AA258" s="676"/>
      <c r="AB258" s="178">
        <v>828</v>
      </c>
    </row>
    <row r="259" spans="1:28" ht="12.6" customHeight="1" x14ac:dyDescent="0.2">
      <c r="A259" s="17"/>
      <c r="B259" s="667" t="s">
        <v>570</v>
      </c>
      <c r="C259" s="668"/>
      <c r="D259" s="668"/>
      <c r="E259" s="668"/>
      <c r="F259" s="334">
        <f>3.612*X2</f>
        <v>4803.96</v>
      </c>
      <c r="G259" s="258">
        <f>+F259*$X$1</f>
        <v>4803.96</v>
      </c>
      <c r="H259" s="573">
        <f t="shared" si="744"/>
        <v>5403.96</v>
      </c>
      <c r="I259" s="258">
        <f t="shared" si="745"/>
        <v>5403.96</v>
      </c>
      <c r="J259" s="573">
        <f t="shared" si="746"/>
        <v>5063.96</v>
      </c>
      <c r="K259" s="258">
        <f t="shared" si="747"/>
        <v>5063.96</v>
      </c>
      <c r="L259" s="573">
        <f t="shared" si="748"/>
        <v>5033.96</v>
      </c>
      <c r="M259" s="258">
        <f t="shared" si="749"/>
        <v>5033.96</v>
      </c>
      <c r="N259" s="573">
        <f t="shared" si="750"/>
        <v>5003.96</v>
      </c>
      <c r="O259" s="258">
        <f t="shared" si="751"/>
        <v>5003.96</v>
      </c>
      <c r="P259" s="573">
        <f t="shared" si="752"/>
        <v>4973.96</v>
      </c>
      <c r="Q259" s="258">
        <f t="shared" si="753"/>
        <v>4973.96</v>
      </c>
      <c r="R259" s="573">
        <f t="shared" si="754"/>
        <v>4953.96</v>
      </c>
      <c r="S259" s="258">
        <f t="shared" si="755"/>
        <v>4953.96</v>
      </c>
      <c r="T259" s="92">
        <f t="shared" si="756"/>
        <v>4933.96</v>
      </c>
      <c r="U259" s="272">
        <f t="shared" si="757"/>
        <v>4933.96</v>
      </c>
      <c r="V259" s="92">
        <f t="shared" si="758"/>
        <v>4913.96</v>
      </c>
      <c r="W259" s="272">
        <f t="shared" si="759"/>
        <v>4913.96</v>
      </c>
      <c r="X259" s="674"/>
      <c r="Y259" s="677"/>
      <c r="Z259" s="677"/>
      <c r="AA259" s="676"/>
      <c r="AB259" s="178">
        <v>829</v>
      </c>
    </row>
    <row r="260" spans="1:28" ht="12.6" customHeight="1" x14ac:dyDescent="0.2">
      <c r="A260" s="17"/>
      <c r="B260" s="672" t="s">
        <v>767</v>
      </c>
      <c r="C260" s="673"/>
      <c r="D260" s="673"/>
      <c r="E260" s="673"/>
      <c r="F260" s="333">
        <f>7.75*X2</f>
        <v>10307.5</v>
      </c>
      <c r="G260" s="257">
        <f>+F260*$X$1</f>
        <v>10307.5</v>
      </c>
      <c r="H260" s="559">
        <f t="shared" si="744"/>
        <v>10907.5</v>
      </c>
      <c r="I260" s="257">
        <f t="shared" si="745"/>
        <v>10907.5</v>
      </c>
      <c r="J260" s="559">
        <f t="shared" si="746"/>
        <v>10567.5</v>
      </c>
      <c r="K260" s="257">
        <f t="shared" si="747"/>
        <v>10567.5</v>
      </c>
      <c r="L260" s="559">
        <f t="shared" si="748"/>
        <v>10537.5</v>
      </c>
      <c r="M260" s="257">
        <f t="shared" si="749"/>
        <v>10537.5</v>
      </c>
      <c r="N260" s="559">
        <f t="shared" si="750"/>
        <v>10507.5</v>
      </c>
      <c r="O260" s="257">
        <f t="shared" si="751"/>
        <v>10507.5</v>
      </c>
      <c r="P260" s="559">
        <f t="shared" si="752"/>
        <v>10477.5</v>
      </c>
      <c r="Q260" s="257">
        <f t="shared" si="753"/>
        <v>10477.5</v>
      </c>
      <c r="R260" s="559">
        <f t="shared" si="754"/>
        <v>10457.5</v>
      </c>
      <c r="S260" s="257">
        <f t="shared" si="755"/>
        <v>10457.5</v>
      </c>
      <c r="T260" s="93">
        <f t="shared" si="756"/>
        <v>10437.5</v>
      </c>
      <c r="U260" s="235">
        <f t="shared" si="757"/>
        <v>10437.5</v>
      </c>
      <c r="V260" s="93">
        <f t="shared" si="758"/>
        <v>10417.5</v>
      </c>
      <c r="W260" s="235">
        <f t="shared" si="759"/>
        <v>10417.5</v>
      </c>
      <c r="X260" s="674"/>
      <c r="Y260" s="677"/>
      <c r="Z260" s="677"/>
      <c r="AA260" s="676"/>
      <c r="AB260" s="178">
        <v>831</v>
      </c>
    </row>
    <row r="261" spans="1:28" ht="12.6" customHeight="1" x14ac:dyDescent="0.2">
      <c r="A261" s="17"/>
      <c r="B261" s="667" t="s">
        <v>911</v>
      </c>
      <c r="C261" s="668"/>
      <c r="D261" s="668"/>
      <c r="E261" s="668"/>
      <c r="F261" s="334">
        <f>2.81*X2</f>
        <v>3737.3</v>
      </c>
      <c r="G261" s="258">
        <f t="shared" ref="G261" si="763">+F261*$X$1</f>
        <v>3737.3</v>
      </c>
      <c r="H261" s="573">
        <f t="shared" si="744"/>
        <v>4337.3</v>
      </c>
      <c r="I261" s="258">
        <f t="shared" si="745"/>
        <v>4337.3</v>
      </c>
      <c r="J261" s="573">
        <f t="shared" si="746"/>
        <v>3997.3</v>
      </c>
      <c r="K261" s="258">
        <f t="shared" si="747"/>
        <v>3997.3</v>
      </c>
      <c r="L261" s="573"/>
      <c r="M261" s="258"/>
      <c r="N261" s="573"/>
      <c r="O261" s="258"/>
      <c r="P261" s="573"/>
      <c r="Q261" s="258"/>
      <c r="R261" s="573"/>
      <c r="S261" s="258"/>
      <c r="T261" s="92"/>
      <c r="U261" s="272"/>
      <c r="V261" s="92"/>
      <c r="W261" s="272"/>
      <c r="X261" s="674"/>
      <c r="Y261" s="677"/>
      <c r="Z261" s="677"/>
      <c r="AA261" s="676"/>
      <c r="AB261" s="178">
        <v>832</v>
      </c>
    </row>
    <row r="262" spans="1:28" ht="12.6" customHeight="1" x14ac:dyDescent="0.2">
      <c r="A262" s="17"/>
      <c r="B262" s="672" t="s">
        <v>521</v>
      </c>
      <c r="C262" s="673"/>
      <c r="D262" s="673"/>
      <c r="E262" s="673"/>
      <c r="F262" s="333">
        <f>11.8*X2</f>
        <v>15694.000000000002</v>
      </c>
      <c r="G262" s="257">
        <f t="shared" ref="G262" si="764">+F262*$X$1</f>
        <v>15694.000000000002</v>
      </c>
      <c r="H262" s="559">
        <f t="shared" si="744"/>
        <v>16294.000000000002</v>
      </c>
      <c r="I262" s="257">
        <f t="shared" si="745"/>
        <v>16294.000000000002</v>
      </c>
      <c r="J262" s="559">
        <f t="shared" si="746"/>
        <v>15954.000000000002</v>
      </c>
      <c r="K262" s="257">
        <f t="shared" si="747"/>
        <v>15954.000000000002</v>
      </c>
      <c r="L262" s="559">
        <f t="shared" si="748"/>
        <v>15924.000000000002</v>
      </c>
      <c r="M262" s="257">
        <f t="shared" si="749"/>
        <v>15924.000000000002</v>
      </c>
      <c r="N262" s="559">
        <f t="shared" si="750"/>
        <v>15894.000000000002</v>
      </c>
      <c r="O262" s="257">
        <f t="shared" si="751"/>
        <v>15894.000000000002</v>
      </c>
      <c r="P262" s="559">
        <f t="shared" si="752"/>
        <v>15864.000000000002</v>
      </c>
      <c r="Q262" s="257">
        <f t="shared" si="753"/>
        <v>15864.000000000002</v>
      </c>
      <c r="R262" s="559">
        <f t="shared" si="754"/>
        <v>15844.000000000002</v>
      </c>
      <c r="S262" s="257">
        <f t="shared" si="755"/>
        <v>15844.000000000002</v>
      </c>
      <c r="T262" s="93">
        <f t="shared" si="756"/>
        <v>15824.000000000002</v>
      </c>
      <c r="U262" s="235">
        <f t="shared" si="757"/>
        <v>15824.000000000002</v>
      </c>
      <c r="V262" s="93">
        <f t="shared" si="758"/>
        <v>15804.000000000002</v>
      </c>
      <c r="W262" s="235">
        <f t="shared" si="759"/>
        <v>15804.000000000002</v>
      </c>
      <c r="X262" s="674"/>
      <c r="Y262" s="677"/>
      <c r="Z262" s="677"/>
      <c r="AA262" s="676"/>
      <c r="AB262" s="178">
        <v>833</v>
      </c>
    </row>
    <row r="263" spans="1:28" ht="12.6" customHeight="1" x14ac:dyDescent="0.2">
      <c r="A263" s="17"/>
      <c r="B263" s="667" t="s">
        <v>566</v>
      </c>
      <c r="C263" s="668"/>
      <c r="D263" s="668"/>
      <c r="E263" s="668"/>
      <c r="F263" s="334">
        <f>7.33*X2</f>
        <v>9748.9</v>
      </c>
      <c r="G263" s="258">
        <f t="shared" ref="G263" si="765">+F263*$X$1</f>
        <v>9748.9</v>
      </c>
      <c r="H263" s="573">
        <f t="shared" si="744"/>
        <v>10348.9</v>
      </c>
      <c r="I263" s="258">
        <f t="shared" si="745"/>
        <v>10348.9</v>
      </c>
      <c r="J263" s="573">
        <f t="shared" si="746"/>
        <v>10008.9</v>
      </c>
      <c r="K263" s="258">
        <f t="shared" si="747"/>
        <v>10008.9</v>
      </c>
      <c r="L263" s="573">
        <f t="shared" si="748"/>
        <v>9978.9</v>
      </c>
      <c r="M263" s="258">
        <f t="shared" si="749"/>
        <v>9978.9</v>
      </c>
      <c r="N263" s="573">
        <f t="shared" si="750"/>
        <v>9948.9</v>
      </c>
      <c r="O263" s="258">
        <f t="shared" si="751"/>
        <v>9948.9</v>
      </c>
      <c r="P263" s="573">
        <f t="shared" si="752"/>
        <v>9918.9</v>
      </c>
      <c r="Q263" s="258">
        <f t="shared" si="753"/>
        <v>9918.9</v>
      </c>
      <c r="R263" s="573">
        <f t="shared" si="754"/>
        <v>9898.9</v>
      </c>
      <c r="S263" s="258">
        <f t="shared" si="755"/>
        <v>9898.9</v>
      </c>
      <c r="T263" s="92">
        <f t="shared" si="756"/>
        <v>9878.9</v>
      </c>
      <c r="U263" s="272">
        <f t="shared" si="757"/>
        <v>9878.9</v>
      </c>
      <c r="V263" s="92">
        <f t="shared" si="758"/>
        <v>9858.9</v>
      </c>
      <c r="W263" s="272">
        <f t="shared" si="759"/>
        <v>9858.9</v>
      </c>
      <c r="X263" s="674"/>
      <c r="Y263" s="677"/>
      <c r="Z263" s="677"/>
      <c r="AA263" s="676"/>
      <c r="AB263" s="178">
        <v>834</v>
      </c>
    </row>
    <row r="264" spans="1:28" ht="12.6" customHeight="1" x14ac:dyDescent="0.2">
      <c r="A264" s="17"/>
      <c r="B264" s="672" t="s">
        <v>568</v>
      </c>
      <c r="C264" s="673"/>
      <c r="D264" s="673"/>
      <c r="E264" s="673"/>
      <c r="F264" s="333">
        <f>7.2*X2</f>
        <v>9576</v>
      </c>
      <c r="G264" s="257">
        <f>+F264*$X$1</f>
        <v>9576</v>
      </c>
      <c r="H264" s="559">
        <f t="shared" si="744"/>
        <v>10176</v>
      </c>
      <c r="I264" s="257">
        <f t="shared" si="745"/>
        <v>10176</v>
      </c>
      <c r="J264" s="559">
        <f t="shared" si="746"/>
        <v>9836</v>
      </c>
      <c r="K264" s="257">
        <f t="shared" si="747"/>
        <v>9836</v>
      </c>
      <c r="L264" s="559">
        <f t="shared" si="748"/>
        <v>9806</v>
      </c>
      <c r="M264" s="257">
        <f t="shared" si="749"/>
        <v>9806</v>
      </c>
      <c r="N264" s="559">
        <f t="shared" si="750"/>
        <v>9776</v>
      </c>
      <c r="O264" s="257">
        <f t="shared" si="751"/>
        <v>9776</v>
      </c>
      <c r="P264" s="559">
        <f t="shared" si="752"/>
        <v>9746</v>
      </c>
      <c r="Q264" s="257">
        <f t="shared" si="753"/>
        <v>9746</v>
      </c>
      <c r="R264" s="559">
        <f t="shared" si="754"/>
        <v>9726</v>
      </c>
      <c r="S264" s="257">
        <f t="shared" si="755"/>
        <v>9726</v>
      </c>
      <c r="T264" s="93">
        <f t="shared" si="756"/>
        <v>9706</v>
      </c>
      <c r="U264" s="235">
        <f t="shared" si="757"/>
        <v>9706</v>
      </c>
      <c r="V264" s="93">
        <f t="shared" si="758"/>
        <v>9686</v>
      </c>
      <c r="W264" s="235">
        <f t="shared" si="759"/>
        <v>9686</v>
      </c>
      <c r="X264" s="674"/>
      <c r="Y264" s="677"/>
      <c r="Z264" s="677"/>
      <c r="AA264" s="676"/>
      <c r="AB264" s="178">
        <v>836</v>
      </c>
    </row>
    <row r="265" spans="1:28" ht="12.6" customHeight="1" x14ac:dyDescent="0.2">
      <c r="A265" s="17"/>
      <c r="B265" s="713" t="s">
        <v>788</v>
      </c>
      <c r="C265" s="668"/>
      <c r="D265" s="668"/>
      <c r="E265" s="668"/>
      <c r="F265" s="334">
        <f>4.8*X2</f>
        <v>6384</v>
      </c>
      <c r="G265" s="258">
        <f t="shared" ref="G265" si="766">+F265*$X$1</f>
        <v>6384</v>
      </c>
      <c r="H265" s="573">
        <f t="shared" si="744"/>
        <v>6984</v>
      </c>
      <c r="I265" s="258">
        <f t="shared" si="745"/>
        <v>6984</v>
      </c>
      <c r="J265" s="573">
        <f t="shared" si="746"/>
        <v>6644</v>
      </c>
      <c r="K265" s="258">
        <f t="shared" si="747"/>
        <v>6644</v>
      </c>
      <c r="L265" s="573">
        <f t="shared" si="748"/>
        <v>6614</v>
      </c>
      <c r="M265" s="258">
        <f t="shared" si="749"/>
        <v>6614</v>
      </c>
      <c r="N265" s="573">
        <f t="shared" si="750"/>
        <v>6584</v>
      </c>
      <c r="O265" s="258">
        <f t="shared" si="751"/>
        <v>6584</v>
      </c>
      <c r="P265" s="573">
        <f t="shared" si="752"/>
        <v>6554</v>
      </c>
      <c r="Q265" s="258">
        <f t="shared" si="753"/>
        <v>6554</v>
      </c>
      <c r="R265" s="573">
        <f t="shared" si="754"/>
        <v>6534</v>
      </c>
      <c r="S265" s="258">
        <f t="shared" si="755"/>
        <v>6534</v>
      </c>
      <c r="T265" s="92">
        <f t="shared" si="756"/>
        <v>6514</v>
      </c>
      <c r="U265" s="272">
        <f t="shared" si="757"/>
        <v>6514</v>
      </c>
      <c r="V265" s="92">
        <f t="shared" si="758"/>
        <v>6494</v>
      </c>
      <c r="W265" s="272">
        <f t="shared" si="759"/>
        <v>6494</v>
      </c>
      <c r="X265" s="674"/>
      <c r="Y265" s="677"/>
      <c r="Z265" s="677"/>
      <c r="AA265" s="676"/>
      <c r="AB265" s="178">
        <v>837</v>
      </c>
    </row>
    <row r="266" spans="1:28" ht="12.6" customHeight="1" x14ac:dyDescent="0.2">
      <c r="A266" s="17"/>
      <c r="B266" s="685" t="s">
        <v>894</v>
      </c>
      <c r="C266" s="686"/>
      <c r="D266" s="686"/>
      <c r="E266" s="686"/>
      <c r="F266" s="333">
        <f>7.98*X2</f>
        <v>10613.400000000001</v>
      </c>
      <c r="G266" s="257">
        <f t="shared" ref="G266" si="767">+F266*$X$1</f>
        <v>10613.400000000001</v>
      </c>
      <c r="H266" s="559">
        <f t="shared" si="744"/>
        <v>11213.400000000001</v>
      </c>
      <c r="I266" s="257">
        <f t="shared" si="745"/>
        <v>11213.400000000001</v>
      </c>
      <c r="J266" s="559">
        <f t="shared" si="746"/>
        <v>10873.400000000001</v>
      </c>
      <c r="K266" s="257">
        <f t="shared" si="747"/>
        <v>10873.400000000001</v>
      </c>
      <c r="L266" s="559">
        <f t="shared" si="748"/>
        <v>10843.400000000001</v>
      </c>
      <c r="M266" s="257">
        <f t="shared" si="749"/>
        <v>10843.400000000001</v>
      </c>
      <c r="N266" s="559">
        <f t="shared" si="750"/>
        <v>10813.400000000001</v>
      </c>
      <c r="O266" s="257">
        <f t="shared" si="751"/>
        <v>10813.400000000001</v>
      </c>
      <c r="P266" s="559">
        <f t="shared" si="752"/>
        <v>10783.400000000001</v>
      </c>
      <c r="Q266" s="257">
        <f t="shared" si="753"/>
        <v>10783.400000000001</v>
      </c>
      <c r="R266" s="559">
        <f t="shared" si="754"/>
        <v>10763.400000000001</v>
      </c>
      <c r="S266" s="257">
        <f t="shared" si="755"/>
        <v>10763.400000000001</v>
      </c>
      <c r="T266" s="93">
        <f t="shared" si="756"/>
        <v>10743.400000000001</v>
      </c>
      <c r="U266" s="235">
        <f t="shared" si="757"/>
        <v>10743.400000000001</v>
      </c>
      <c r="V266" s="93">
        <f t="shared" si="758"/>
        <v>10723.400000000001</v>
      </c>
      <c r="W266" s="235">
        <f t="shared" si="759"/>
        <v>10723.400000000001</v>
      </c>
      <c r="X266" s="674"/>
      <c r="Y266" s="677"/>
      <c r="Z266" s="677"/>
      <c r="AA266" s="676"/>
      <c r="AB266" s="178">
        <v>838</v>
      </c>
    </row>
    <row r="267" spans="1:28" ht="12.6" customHeight="1" x14ac:dyDescent="0.2">
      <c r="A267" s="17"/>
      <c r="B267" s="685" t="s">
        <v>891</v>
      </c>
      <c r="C267" s="686"/>
      <c r="D267" s="686"/>
      <c r="E267" s="686"/>
      <c r="F267" s="334">
        <f>2.55*X2</f>
        <v>3391.4999999999995</v>
      </c>
      <c r="G267" s="258">
        <f t="shared" ref="G267" si="768">+F267*$X$1</f>
        <v>3391.4999999999995</v>
      </c>
      <c r="H267" s="573">
        <f t="shared" si="744"/>
        <v>3991.4999999999995</v>
      </c>
      <c r="I267" s="258">
        <f t="shared" si="745"/>
        <v>3991.4999999999995</v>
      </c>
      <c r="J267" s="573">
        <f t="shared" si="746"/>
        <v>3651.4999999999995</v>
      </c>
      <c r="K267" s="258">
        <f t="shared" si="747"/>
        <v>3651.4999999999995</v>
      </c>
      <c r="L267" s="573">
        <f t="shared" si="748"/>
        <v>3621.4999999999995</v>
      </c>
      <c r="M267" s="258">
        <f t="shared" si="749"/>
        <v>3621.4999999999995</v>
      </c>
      <c r="N267" s="573">
        <f t="shared" si="750"/>
        <v>3591.4999999999995</v>
      </c>
      <c r="O267" s="258">
        <f t="shared" si="751"/>
        <v>3591.4999999999995</v>
      </c>
      <c r="P267" s="573">
        <f t="shared" si="752"/>
        <v>3561.4999999999995</v>
      </c>
      <c r="Q267" s="258">
        <f t="shared" si="753"/>
        <v>3561.4999999999995</v>
      </c>
      <c r="R267" s="573">
        <f t="shared" si="754"/>
        <v>3541.4999999999995</v>
      </c>
      <c r="S267" s="258">
        <f t="shared" si="755"/>
        <v>3541.4999999999995</v>
      </c>
      <c r="T267" s="92">
        <f t="shared" si="756"/>
        <v>3521.4999999999995</v>
      </c>
      <c r="U267" s="272">
        <f t="shared" si="757"/>
        <v>3521.4999999999995</v>
      </c>
      <c r="V267" s="92">
        <f t="shared" si="758"/>
        <v>3501.4999999999995</v>
      </c>
      <c r="W267" s="272">
        <f t="shared" si="759"/>
        <v>3501.4999999999995</v>
      </c>
      <c r="X267" s="674"/>
      <c r="Y267" s="677"/>
      <c r="Z267" s="677"/>
      <c r="AA267" s="676"/>
      <c r="AB267" s="178">
        <v>839</v>
      </c>
    </row>
    <row r="268" spans="1:28" ht="12.6" customHeight="1" x14ac:dyDescent="0.2">
      <c r="A268" s="17"/>
      <c r="B268" s="665" t="s">
        <v>892</v>
      </c>
      <c r="C268" s="673"/>
      <c r="D268" s="673"/>
      <c r="E268" s="673"/>
      <c r="F268" s="333">
        <f>2.4*X2</f>
        <v>3192</v>
      </c>
      <c r="G268" s="257">
        <f t="shared" ref="G268" si="769">+F268*$X$1</f>
        <v>3192</v>
      </c>
      <c r="H268" s="559">
        <f t="shared" si="744"/>
        <v>3792</v>
      </c>
      <c r="I268" s="257">
        <f t="shared" si="745"/>
        <v>3792</v>
      </c>
      <c r="J268" s="559">
        <f t="shared" si="746"/>
        <v>3452</v>
      </c>
      <c r="K268" s="257">
        <f t="shared" si="747"/>
        <v>3452</v>
      </c>
      <c r="L268" s="559">
        <f t="shared" si="748"/>
        <v>3422</v>
      </c>
      <c r="M268" s="257">
        <f t="shared" si="749"/>
        <v>3422</v>
      </c>
      <c r="N268" s="559">
        <f t="shared" si="750"/>
        <v>3392</v>
      </c>
      <c r="O268" s="257">
        <f t="shared" si="751"/>
        <v>3392</v>
      </c>
      <c r="P268" s="559"/>
      <c r="Q268" s="257"/>
      <c r="R268" s="559"/>
      <c r="S268" s="257"/>
      <c r="T268" s="93"/>
      <c r="U268" s="235"/>
      <c r="V268" s="93"/>
      <c r="W268" s="235"/>
      <c r="X268" s="674"/>
      <c r="Y268" s="677"/>
      <c r="Z268" s="677"/>
      <c r="AA268" s="676"/>
      <c r="AB268" s="178">
        <v>840</v>
      </c>
    </row>
    <row r="269" spans="1:28" ht="12.6" customHeight="1" x14ac:dyDescent="0.2">
      <c r="A269" s="17"/>
      <c r="B269" s="707" t="s">
        <v>449</v>
      </c>
      <c r="C269" s="770"/>
      <c r="D269" s="770"/>
      <c r="E269" s="770"/>
      <c r="F269" s="336">
        <f>7.21*X2</f>
        <v>9589.2999999999993</v>
      </c>
      <c r="G269" s="283">
        <f>+F269*$X$1</f>
        <v>9589.2999999999993</v>
      </c>
      <c r="H269" s="573">
        <f t="shared" si="744"/>
        <v>10189.299999999999</v>
      </c>
      <c r="I269" s="258">
        <f t="shared" si="745"/>
        <v>10189.299999999999</v>
      </c>
      <c r="J269" s="573">
        <f t="shared" si="746"/>
        <v>9849.2999999999993</v>
      </c>
      <c r="K269" s="258">
        <f t="shared" si="747"/>
        <v>9849.2999999999993</v>
      </c>
      <c r="L269" s="573">
        <f t="shared" si="748"/>
        <v>9819.2999999999993</v>
      </c>
      <c r="M269" s="258">
        <f t="shared" si="749"/>
        <v>9819.2999999999993</v>
      </c>
      <c r="N269" s="573">
        <f t="shared" si="750"/>
        <v>9789.2999999999993</v>
      </c>
      <c r="O269" s="258">
        <f t="shared" si="751"/>
        <v>9789.2999999999993</v>
      </c>
      <c r="P269" s="573">
        <f t="shared" si="752"/>
        <v>9759.2999999999993</v>
      </c>
      <c r="Q269" s="258">
        <f t="shared" si="753"/>
        <v>9759.2999999999993</v>
      </c>
      <c r="R269" s="573">
        <f t="shared" si="754"/>
        <v>9739.2999999999993</v>
      </c>
      <c r="S269" s="258">
        <f t="shared" si="755"/>
        <v>9739.2999999999993</v>
      </c>
      <c r="T269" s="92">
        <f t="shared" si="756"/>
        <v>9719.2999999999993</v>
      </c>
      <c r="U269" s="272">
        <f t="shared" si="757"/>
        <v>9719.2999999999993</v>
      </c>
      <c r="V269" s="92">
        <f t="shared" si="758"/>
        <v>9699.2999999999993</v>
      </c>
      <c r="W269" s="272">
        <f t="shared" si="759"/>
        <v>9699.2999999999993</v>
      </c>
      <c r="X269" s="674"/>
      <c r="Y269" s="677"/>
      <c r="Z269" s="677"/>
      <c r="AA269" s="676"/>
      <c r="AB269" s="354">
        <v>916</v>
      </c>
    </row>
    <row r="270" spans="1:28" ht="12.6" customHeight="1" x14ac:dyDescent="0.2">
      <c r="A270" s="17"/>
      <c r="B270" s="672" t="s">
        <v>728</v>
      </c>
      <c r="C270" s="673"/>
      <c r="D270" s="673"/>
      <c r="E270" s="673"/>
      <c r="F270" s="333">
        <f>6.41*X2</f>
        <v>8525.3000000000011</v>
      </c>
      <c r="G270" s="257">
        <f>+F270*$X$1</f>
        <v>8525.3000000000011</v>
      </c>
      <c r="H270" s="559">
        <f t="shared" si="744"/>
        <v>9125.3000000000011</v>
      </c>
      <c r="I270" s="257">
        <f t="shared" si="745"/>
        <v>9125.3000000000011</v>
      </c>
      <c r="J270" s="559">
        <f t="shared" si="746"/>
        <v>8785.3000000000011</v>
      </c>
      <c r="K270" s="257">
        <f t="shared" si="747"/>
        <v>8785.3000000000011</v>
      </c>
      <c r="L270" s="559">
        <f t="shared" si="748"/>
        <v>8755.3000000000011</v>
      </c>
      <c r="M270" s="257">
        <f t="shared" si="749"/>
        <v>8755.3000000000011</v>
      </c>
      <c r="N270" s="559">
        <f t="shared" si="750"/>
        <v>8725.3000000000011</v>
      </c>
      <c r="O270" s="257">
        <f t="shared" si="751"/>
        <v>8725.3000000000011</v>
      </c>
      <c r="P270" s="559">
        <f t="shared" si="752"/>
        <v>8695.3000000000011</v>
      </c>
      <c r="Q270" s="257">
        <f t="shared" si="753"/>
        <v>8695.3000000000011</v>
      </c>
      <c r="R270" s="559">
        <f t="shared" si="754"/>
        <v>8675.3000000000011</v>
      </c>
      <c r="S270" s="257">
        <f t="shared" si="755"/>
        <v>8675.3000000000011</v>
      </c>
      <c r="T270" s="93">
        <f t="shared" si="756"/>
        <v>8655.3000000000011</v>
      </c>
      <c r="U270" s="235">
        <f t="shared" si="757"/>
        <v>8655.3000000000011</v>
      </c>
      <c r="V270" s="93">
        <f t="shared" si="758"/>
        <v>8635.3000000000011</v>
      </c>
      <c r="W270" s="235">
        <f t="shared" si="759"/>
        <v>8635.3000000000011</v>
      </c>
      <c r="X270" s="674"/>
      <c r="Y270" s="677"/>
      <c r="Z270" s="677"/>
      <c r="AA270" s="676"/>
      <c r="AB270" s="178">
        <v>917</v>
      </c>
    </row>
    <row r="271" spans="1:28" ht="12.6" customHeight="1" x14ac:dyDescent="0.2">
      <c r="A271" s="17"/>
      <c r="B271" s="709" t="s">
        <v>181</v>
      </c>
      <c r="C271" s="710"/>
      <c r="D271" s="710"/>
      <c r="E271" s="710"/>
      <c r="F271" s="473">
        <f>8.45*X2</f>
        <v>11238.499999999998</v>
      </c>
      <c r="G271" s="469">
        <f>+F271*$X$1</f>
        <v>11238.499999999998</v>
      </c>
      <c r="H271" s="624">
        <f t="shared" si="744"/>
        <v>11838.499999999998</v>
      </c>
      <c r="I271" s="469">
        <f t="shared" si="745"/>
        <v>11838.499999999998</v>
      </c>
      <c r="J271" s="624">
        <f t="shared" si="746"/>
        <v>11498.499999999998</v>
      </c>
      <c r="K271" s="469">
        <f t="shared" si="747"/>
        <v>11498.499999999998</v>
      </c>
      <c r="L271" s="624">
        <f t="shared" si="748"/>
        <v>11468.499999999998</v>
      </c>
      <c r="M271" s="469">
        <f t="shared" si="749"/>
        <v>11468.499999999998</v>
      </c>
      <c r="N271" s="624">
        <f t="shared" si="750"/>
        <v>11438.499999999998</v>
      </c>
      <c r="O271" s="469">
        <f t="shared" si="751"/>
        <v>11438.499999999998</v>
      </c>
      <c r="P271" s="624">
        <f t="shared" si="752"/>
        <v>11408.499999999998</v>
      </c>
      <c r="Q271" s="469">
        <f t="shared" si="753"/>
        <v>11408.499999999998</v>
      </c>
      <c r="R271" s="624">
        <f t="shared" si="754"/>
        <v>11388.499999999998</v>
      </c>
      <c r="S271" s="469">
        <f t="shared" si="755"/>
        <v>11388.499999999998</v>
      </c>
      <c r="T271" s="549">
        <f t="shared" si="756"/>
        <v>11368.499999999998</v>
      </c>
      <c r="U271" s="548">
        <f t="shared" si="757"/>
        <v>11368.499999999998</v>
      </c>
      <c r="V271" s="549">
        <f t="shared" si="758"/>
        <v>11348.499999999998</v>
      </c>
      <c r="W271" s="548">
        <f t="shared" si="759"/>
        <v>11348.499999999998</v>
      </c>
      <c r="X271" s="805"/>
      <c r="Y271" s="806"/>
      <c r="Z271" s="806"/>
      <c r="AA271" s="807"/>
      <c r="AB271" s="365">
        <v>918</v>
      </c>
    </row>
    <row r="272" spans="1:28" ht="12.6" customHeight="1" x14ac:dyDescent="0.2">
      <c r="A272" s="17"/>
      <c r="B272" s="672" t="s">
        <v>398</v>
      </c>
      <c r="C272" s="673"/>
      <c r="D272" s="673"/>
      <c r="E272" s="673"/>
      <c r="F272" s="333">
        <f>8.9*X2</f>
        <v>11837</v>
      </c>
      <c r="G272" s="257">
        <f>+F272*$X$1</f>
        <v>11837</v>
      </c>
      <c r="H272" s="559">
        <f t="shared" si="744"/>
        <v>12437</v>
      </c>
      <c r="I272" s="257">
        <f t="shared" si="745"/>
        <v>12437</v>
      </c>
      <c r="J272" s="559">
        <f t="shared" si="746"/>
        <v>12097</v>
      </c>
      <c r="K272" s="257">
        <f t="shared" si="747"/>
        <v>12097</v>
      </c>
      <c r="L272" s="559">
        <f t="shared" si="748"/>
        <v>12067</v>
      </c>
      <c r="M272" s="257">
        <f t="shared" si="749"/>
        <v>12067</v>
      </c>
      <c r="N272" s="559">
        <f t="shared" si="750"/>
        <v>12037</v>
      </c>
      <c r="O272" s="257">
        <f t="shared" si="751"/>
        <v>12037</v>
      </c>
      <c r="P272" s="559">
        <f t="shared" si="752"/>
        <v>12007</v>
      </c>
      <c r="Q272" s="257">
        <f t="shared" si="753"/>
        <v>12007</v>
      </c>
      <c r="R272" s="559">
        <f t="shared" si="754"/>
        <v>11987</v>
      </c>
      <c r="S272" s="257">
        <f t="shared" si="755"/>
        <v>11987</v>
      </c>
      <c r="T272" s="93">
        <f t="shared" si="756"/>
        <v>11967</v>
      </c>
      <c r="U272" s="235">
        <f t="shared" si="757"/>
        <v>11967</v>
      </c>
      <c r="V272" s="93">
        <f t="shared" si="758"/>
        <v>11947</v>
      </c>
      <c r="W272" s="235">
        <f t="shared" si="759"/>
        <v>11947</v>
      </c>
      <c r="X272" s="674"/>
      <c r="Y272" s="675"/>
      <c r="Z272" s="675"/>
      <c r="AA272" s="676"/>
      <c r="AB272" s="178">
        <v>919</v>
      </c>
    </row>
    <row r="273" spans="1:33" ht="12.6" customHeight="1" x14ac:dyDescent="0.2">
      <c r="A273" s="17"/>
      <c r="B273" s="667" t="s">
        <v>747</v>
      </c>
      <c r="C273" s="668"/>
      <c r="D273" s="668"/>
      <c r="E273" s="668"/>
      <c r="F273" s="334">
        <f>7.53*X2</f>
        <v>10014.9</v>
      </c>
      <c r="G273" s="258">
        <f t="shared" ref="G273:G277" si="770">+F273*$X$1</f>
        <v>10014.9</v>
      </c>
      <c r="H273" s="573">
        <f t="shared" si="744"/>
        <v>10614.9</v>
      </c>
      <c r="I273" s="258">
        <f t="shared" si="745"/>
        <v>10614.9</v>
      </c>
      <c r="J273" s="573">
        <f t="shared" si="746"/>
        <v>10274.9</v>
      </c>
      <c r="K273" s="258">
        <f t="shared" si="747"/>
        <v>10274.9</v>
      </c>
      <c r="L273" s="573">
        <f t="shared" si="748"/>
        <v>10244.9</v>
      </c>
      <c r="M273" s="258">
        <f t="shared" si="749"/>
        <v>10244.9</v>
      </c>
      <c r="N273" s="573">
        <f t="shared" si="750"/>
        <v>10214.9</v>
      </c>
      <c r="O273" s="258">
        <f t="shared" si="751"/>
        <v>10214.9</v>
      </c>
      <c r="P273" s="573">
        <f t="shared" si="752"/>
        <v>10184.9</v>
      </c>
      <c r="Q273" s="258">
        <f t="shared" si="753"/>
        <v>10184.9</v>
      </c>
      <c r="R273" s="573">
        <f t="shared" si="754"/>
        <v>10164.9</v>
      </c>
      <c r="S273" s="258">
        <f t="shared" si="755"/>
        <v>10164.9</v>
      </c>
      <c r="T273" s="92">
        <f t="shared" si="756"/>
        <v>10144.9</v>
      </c>
      <c r="U273" s="272">
        <f t="shared" si="757"/>
        <v>10144.9</v>
      </c>
      <c r="V273" s="92">
        <f t="shared" si="758"/>
        <v>10124.9</v>
      </c>
      <c r="W273" s="272">
        <f t="shared" si="759"/>
        <v>10124.9</v>
      </c>
      <c r="X273" s="674"/>
      <c r="Y273" s="677"/>
      <c r="Z273" s="677"/>
      <c r="AA273" s="676"/>
      <c r="AB273" s="178">
        <v>920</v>
      </c>
    </row>
    <row r="274" spans="1:33" ht="12.6" customHeight="1" x14ac:dyDescent="0.2">
      <c r="A274" s="17"/>
      <c r="B274" s="672" t="s">
        <v>746</v>
      </c>
      <c r="C274" s="673"/>
      <c r="D274" s="673"/>
      <c r="E274" s="673"/>
      <c r="F274" s="333">
        <f>7.53*X2</f>
        <v>10014.9</v>
      </c>
      <c r="G274" s="257">
        <f t="shared" ref="G274" si="771">+F274*$X$1</f>
        <v>10014.9</v>
      </c>
      <c r="H274" s="559">
        <f t="shared" si="744"/>
        <v>10614.9</v>
      </c>
      <c r="I274" s="257">
        <f t="shared" si="745"/>
        <v>10614.9</v>
      </c>
      <c r="J274" s="559">
        <f t="shared" si="746"/>
        <v>10274.9</v>
      </c>
      <c r="K274" s="257">
        <f t="shared" si="747"/>
        <v>10274.9</v>
      </c>
      <c r="L274" s="559">
        <f t="shared" si="748"/>
        <v>10244.9</v>
      </c>
      <c r="M274" s="257">
        <f t="shared" si="749"/>
        <v>10244.9</v>
      </c>
      <c r="N274" s="559">
        <f t="shared" si="750"/>
        <v>10214.9</v>
      </c>
      <c r="O274" s="257">
        <f t="shared" si="751"/>
        <v>10214.9</v>
      </c>
      <c r="P274" s="559">
        <f t="shared" si="752"/>
        <v>10184.9</v>
      </c>
      <c r="Q274" s="257">
        <f t="shared" si="753"/>
        <v>10184.9</v>
      </c>
      <c r="R274" s="559">
        <f t="shared" si="754"/>
        <v>10164.9</v>
      </c>
      <c r="S274" s="257">
        <f t="shared" si="755"/>
        <v>10164.9</v>
      </c>
      <c r="T274" s="93">
        <f t="shared" si="756"/>
        <v>10144.9</v>
      </c>
      <c r="U274" s="235">
        <f t="shared" si="757"/>
        <v>10144.9</v>
      </c>
      <c r="V274" s="93">
        <f t="shared" si="758"/>
        <v>10124.9</v>
      </c>
      <c r="W274" s="235">
        <f t="shared" si="759"/>
        <v>10124.9</v>
      </c>
      <c r="X274" s="674"/>
      <c r="Y274" s="677"/>
      <c r="Z274" s="677"/>
      <c r="AA274" s="676"/>
      <c r="AB274" s="178" t="s">
        <v>748</v>
      </c>
    </row>
    <row r="275" spans="1:33" ht="12.6" customHeight="1" x14ac:dyDescent="0.2">
      <c r="A275" s="17"/>
      <c r="B275" s="667" t="s">
        <v>789</v>
      </c>
      <c r="C275" s="668"/>
      <c r="D275" s="668"/>
      <c r="E275" s="668"/>
      <c r="F275" s="334">
        <f>7.36*X2</f>
        <v>9788.8000000000011</v>
      </c>
      <c r="G275" s="258">
        <f t="shared" ref="G275:G276" si="772">+F275*$X$1</f>
        <v>9788.8000000000011</v>
      </c>
      <c r="H275" s="573">
        <f t="shared" si="744"/>
        <v>10388.800000000001</v>
      </c>
      <c r="I275" s="258">
        <f t="shared" si="745"/>
        <v>10388.800000000001</v>
      </c>
      <c r="J275" s="573">
        <f t="shared" si="746"/>
        <v>10048.800000000001</v>
      </c>
      <c r="K275" s="258">
        <f t="shared" si="747"/>
        <v>10048.800000000001</v>
      </c>
      <c r="L275" s="573">
        <f t="shared" si="748"/>
        <v>10018.800000000001</v>
      </c>
      <c r="M275" s="258">
        <f t="shared" si="749"/>
        <v>10018.800000000001</v>
      </c>
      <c r="N275" s="573">
        <f t="shared" si="750"/>
        <v>9988.8000000000011</v>
      </c>
      <c r="O275" s="258">
        <f t="shared" si="751"/>
        <v>9988.8000000000011</v>
      </c>
      <c r="P275" s="573">
        <f t="shared" si="752"/>
        <v>9958.8000000000011</v>
      </c>
      <c r="Q275" s="258">
        <f t="shared" si="753"/>
        <v>9958.8000000000011</v>
      </c>
      <c r="R275" s="573">
        <f t="shared" si="754"/>
        <v>9938.8000000000011</v>
      </c>
      <c r="S275" s="258">
        <f t="shared" si="755"/>
        <v>9938.8000000000011</v>
      </c>
      <c r="T275" s="92">
        <f t="shared" si="756"/>
        <v>9918.8000000000011</v>
      </c>
      <c r="U275" s="272">
        <f t="shared" si="757"/>
        <v>9918.8000000000011</v>
      </c>
      <c r="V275" s="92">
        <f t="shared" si="758"/>
        <v>9898.8000000000011</v>
      </c>
      <c r="W275" s="272">
        <f t="shared" si="759"/>
        <v>9898.8000000000011</v>
      </c>
      <c r="X275" s="674"/>
      <c r="Y275" s="677"/>
      <c r="Z275" s="677"/>
      <c r="AA275" s="676"/>
      <c r="AB275" s="178" t="s">
        <v>790</v>
      </c>
    </row>
    <row r="276" spans="1:33" ht="12.6" customHeight="1" x14ac:dyDescent="0.2">
      <c r="A276" s="17"/>
      <c r="B276" s="685" t="s">
        <v>828</v>
      </c>
      <c r="C276" s="686"/>
      <c r="D276" s="686"/>
      <c r="E276" s="686"/>
      <c r="F276" s="333">
        <f>5.77*X2</f>
        <v>7674.0999999999995</v>
      </c>
      <c r="G276" s="257">
        <f t="shared" si="772"/>
        <v>7674.0999999999995</v>
      </c>
      <c r="H276" s="534">
        <f t="shared" si="744"/>
        <v>8274.0999999999985</v>
      </c>
      <c r="I276" s="257">
        <f t="shared" si="745"/>
        <v>8274.0999999999985</v>
      </c>
      <c r="J276" s="534">
        <f t="shared" si="746"/>
        <v>7934.0999999999995</v>
      </c>
      <c r="K276" s="257">
        <f t="shared" si="747"/>
        <v>7934.0999999999995</v>
      </c>
      <c r="L276" s="534">
        <f t="shared" si="748"/>
        <v>7904.0999999999995</v>
      </c>
      <c r="M276" s="257">
        <f t="shared" si="749"/>
        <v>7904.0999999999995</v>
      </c>
      <c r="N276" s="534">
        <f t="shared" si="750"/>
        <v>7874.0999999999995</v>
      </c>
      <c r="O276" s="257">
        <f t="shared" si="751"/>
        <v>7874.0999999999995</v>
      </c>
      <c r="P276" s="534">
        <f t="shared" si="752"/>
        <v>7844.0999999999995</v>
      </c>
      <c r="Q276" s="257">
        <f t="shared" si="753"/>
        <v>7844.0999999999995</v>
      </c>
      <c r="R276" s="534">
        <f t="shared" si="754"/>
        <v>7824.0999999999995</v>
      </c>
      <c r="S276" s="257">
        <f t="shared" si="755"/>
        <v>7824.0999999999995</v>
      </c>
      <c r="T276" s="93">
        <f t="shared" si="756"/>
        <v>7804.0999999999995</v>
      </c>
      <c r="U276" s="235">
        <f t="shared" si="757"/>
        <v>7804.0999999999995</v>
      </c>
      <c r="V276" s="93">
        <f t="shared" si="758"/>
        <v>7784.0999999999995</v>
      </c>
      <c r="W276" s="235">
        <f t="shared" si="759"/>
        <v>7784.0999999999995</v>
      </c>
      <c r="X276" s="674"/>
      <c r="Y276" s="677"/>
      <c r="Z276" s="677"/>
      <c r="AA276" s="676"/>
      <c r="AB276" s="178">
        <v>923</v>
      </c>
    </row>
    <row r="277" spans="1:33" ht="12.6" customHeight="1" x14ac:dyDescent="0.2">
      <c r="A277" s="17"/>
      <c r="B277" s="667" t="s">
        <v>729</v>
      </c>
      <c r="C277" s="668"/>
      <c r="D277" s="668"/>
      <c r="E277" s="668"/>
      <c r="F277" s="334">
        <f>5.71*X2</f>
        <v>7594.3</v>
      </c>
      <c r="G277" s="258">
        <f t="shared" si="770"/>
        <v>7594.3</v>
      </c>
      <c r="H277" s="406">
        <f t="shared" si="744"/>
        <v>8194.2999999999993</v>
      </c>
      <c r="I277" s="258">
        <f t="shared" si="745"/>
        <v>8194.2999999999993</v>
      </c>
      <c r="J277" s="406">
        <f t="shared" si="746"/>
        <v>7854.3</v>
      </c>
      <c r="K277" s="258">
        <f t="shared" si="747"/>
        <v>7854.3</v>
      </c>
      <c r="L277" s="406">
        <f t="shared" si="748"/>
        <v>7824.3</v>
      </c>
      <c r="M277" s="258">
        <f t="shared" si="749"/>
        <v>7824.3</v>
      </c>
      <c r="N277" s="406">
        <f t="shared" si="750"/>
        <v>7794.3</v>
      </c>
      <c r="O277" s="258">
        <f t="shared" si="751"/>
        <v>7794.3</v>
      </c>
      <c r="P277" s="406">
        <f t="shared" si="752"/>
        <v>7764.3</v>
      </c>
      <c r="Q277" s="258">
        <f t="shared" si="753"/>
        <v>7764.3</v>
      </c>
      <c r="R277" s="406">
        <f t="shared" si="754"/>
        <v>7744.3</v>
      </c>
      <c r="S277" s="258">
        <f t="shared" si="755"/>
        <v>7744.3</v>
      </c>
      <c r="T277" s="92">
        <f t="shared" si="756"/>
        <v>7724.3</v>
      </c>
      <c r="U277" s="272">
        <f t="shared" si="757"/>
        <v>7724.3</v>
      </c>
      <c r="V277" s="92">
        <f t="shared" si="758"/>
        <v>7704.3</v>
      </c>
      <c r="W277" s="272">
        <f t="shared" si="759"/>
        <v>7704.3</v>
      </c>
      <c r="X277" s="715"/>
      <c r="Y277" s="808"/>
      <c r="Z277" s="808"/>
      <c r="AA277" s="716"/>
      <c r="AB277" s="178" t="s">
        <v>730</v>
      </c>
    </row>
    <row r="278" spans="1:33" ht="12.6" customHeight="1" x14ac:dyDescent="0.2">
      <c r="A278" s="17"/>
      <c r="B278" s="723" t="s">
        <v>850</v>
      </c>
      <c r="C278" s="686"/>
      <c r="D278" s="686"/>
      <c r="E278" s="686"/>
      <c r="F278" s="333">
        <f>1.07*X2</f>
        <v>1423.1000000000001</v>
      </c>
      <c r="G278" s="257">
        <f t="shared" ref="G278" si="773">+F278*$X$1</f>
        <v>1423.1000000000001</v>
      </c>
      <c r="H278" s="534"/>
      <c r="I278" s="257"/>
      <c r="J278" s="534">
        <f t="shared" ref="J278:J281" si="774">F278+260</f>
        <v>1683.1000000000001</v>
      </c>
      <c r="K278" s="257">
        <f t="shared" ref="K278:K281" si="775">+J278*$X$1</f>
        <v>1683.1000000000001</v>
      </c>
      <c r="L278" s="534">
        <f t="shared" ref="L278:L281" si="776">F278+230</f>
        <v>1653.1000000000001</v>
      </c>
      <c r="M278" s="257">
        <f t="shared" ref="M278:M281" si="777">+L278*$X$1</f>
        <v>1653.1000000000001</v>
      </c>
      <c r="N278" s="534">
        <f t="shared" ref="N278:N281" si="778">F278+200</f>
        <v>1623.1000000000001</v>
      </c>
      <c r="O278" s="257">
        <f t="shared" ref="O278:O281" si="779">+N278*$X$1</f>
        <v>1623.1000000000001</v>
      </c>
      <c r="P278" s="534">
        <f t="shared" ref="P278:P281" si="780">F278+170</f>
        <v>1593.1000000000001</v>
      </c>
      <c r="Q278" s="257">
        <f t="shared" ref="Q278:Q281" si="781">+P278*$X$1</f>
        <v>1593.1000000000001</v>
      </c>
      <c r="R278" s="534">
        <f t="shared" ref="R278:R281" si="782">F278+150</f>
        <v>1573.1000000000001</v>
      </c>
      <c r="S278" s="257">
        <f t="shared" ref="S278:S281" si="783">+R278*$X$1</f>
        <v>1573.1000000000001</v>
      </c>
      <c r="T278" s="93">
        <f t="shared" ref="T278:T281" si="784">F278+130</f>
        <v>1553.1000000000001</v>
      </c>
      <c r="U278" s="235">
        <f t="shared" ref="U278:U281" si="785">+T278*$X$1</f>
        <v>1553.1000000000001</v>
      </c>
      <c r="V278" s="93">
        <f t="shared" ref="V278:V281" si="786">F278+110</f>
        <v>1533.1000000000001</v>
      </c>
      <c r="W278" s="235">
        <f t="shared" ref="W278:W281" si="787">+V278*$X$1</f>
        <v>1533.1000000000001</v>
      </c>
      <c r="X278" s="674"/>
      <c r="Y278" s="677"/>
      <c r="Z278" s="677"/>
      <c r="AA278" s="676"/>
      <c r="AB278" s="178">
        <v>927</v>
      </c>
    </row>
    <row r="279" spans="1:33" ht="12.6" customHeight="1" x14ac:dyDescent="0.2">
      <c r="A279" s="94"/>
      <c r="B279" s="667" t="s">
        <v>387</v>
      </c>
      <c r="C279" s="668"/>
      <c r="D279" s="668"/>
      <c r="E279" s="668"/>
      <c r="F279" s="334">
        <f>7*X2</f>
        <v>9310</v>
      </c>
      <c r="G279" s="258">
        <f t="shared" ref="G279:G282" si="788">+F279*$X$1</f>
        <v>9310</v>
      </c>
      <c r="H279" s="576">
        <f t="shared" ref="H279:H281" si="789">F279+600</f>
        <v>9910</v>
      </c>
      <c r="I279" s="258">
        <f t="shared" ref="I279:I281" si="790">+H279*$X$1</f>
        <v>9910</v>
      </c>
      <c r="J279" s="576">
        <f t="shared" si="774"/>
        <v>9570</v>
      </c>
      <c r="K279" s="258">
        <f t="shared" si="775"/>
        <v>9570</v>
      </c>
      <c r="L279" s="576">
        <f t="shared" si="776"/>
        <v>9540</v>
      </c>
      <c r="M279" s="258">
        <f t="shared" si="777"/>
        <v>9540</v>
      </c>
      <c r="N279" s="576">
        <f t="shared" si="778"/>
        <v>9510</v>
      </c>
      <c r="O279" s="258">
        <f t="shared" si="779"/>
        <v>9510</v>
      </c>
      <c r="P279" s="576">
        <f t="shared" si="780"/>
        <v>9480</v>
      </c>
      <c r="Q279" s="258">
        <f t="shared" si="781"/>
        <v>9480</v>
      </c>
      <c r="R279" s="576">
        <f t="shared" si="782"/>
        <v>9460</v>
      </c>
      <c r="S279" s="258">
        <f t="shared" si="783"/>
        <v>9460</v>
      </c>
      <c r="T279" s="92">
        <f t="shared" si="784"/>
        <v>9440</v>
      </c>
      <c r="U279" s="272">
        <f t="shared" si="785"/>
        <v>9440</v>
      </c>
      <c r="V279" s="92">
        <f t="shared" si="786"/>
        <v>9420</v>
      </c>
      <c r="W279" s="272">
        <f t="shared" si="787"/>
        <v>9420</v>
      </c>
      <c r="X279" s="674"/>
      <c r="Y279" s="677"/>
      <c r="Z279" s="677"/>
      <c r="AA279" s="676"/>
      <c r="AB279" s="178">
        <v>928</v>
      </c>
    </row>
    <row r="280" spans="1:33" ht="12.6" customHeight="1" x14ac:dyDescent="0.2">
      <c r="A280" s="17"/>
      <c r="B280" s="672" t="s">
        <v>358</v>
      </c>
      <c r="C280" s="673"/>
      <c r="D280" s="673"/>
      <c r="E280" s="673"/>
      <c r="F280" s="333">
        <f>7.82*X2</f>
        <v>10400.6</v>
      </c>
      <c r="G280" s="257">
        <f t="shared" si="788"/>
        <v>10400.6</v>
      </c>
      <c r="H280" s="559">
        <f t="shared" si="789"/>
        <v>11000.6</v>
      </c>
      <c r="I280" s="257">
        <f t="shared" si="790"/>
        <v>11000.6</v>
      </c>
      <c r="J280" s="559">
        <f t="shared" si="774"/>
        <v>10660.6</v>
      </c>
      <c r="K280" s="257">
        <f t="shared" si="775"/>
        <v>10660.6</v>
      </c>
      <c r="L280" s="559">
        <f t="shared" si="776"/>
        <v>10630.6</v>
      </c>
      <c r="M280" s="257">
        <f t="shared" si="777"/>
        <v>10630.6</v>
      </c>
      <c r="N280" s="559">
        <f t="shared" si="778"/>
        <v>10600.6</v>
      </c>
      <c r="O280" s="257">
        <f t="shared" si="779"/>
        <v>10600.6</v>
      </c>
      <c r="P280" s="559">
        <f t="shared" si="780"/>
        <v>10570.6</v>
      </c>
      <c r="Q280" s="257">
        <f t="shared" si="781"/>
        <v>10570.6</v>
      </c>
      <c r="R280" s="559">
        <f t="shared" si="782"/>
        <v>10550.6</v>
      </c>
      <c r="S280" s="257">
        <f t="shared" si="783"/>
        <v>10550.6</v>
      </c>
      <c r="T280" s="93">
        <f t="shared" si="784"/>
        <v>10530.6</v>
      </c>
      <c r="U280" s="235">
        <f t="shared" si="785"/>
        <v>10530.6</v>
      </c>
      <c r="V280" s="93">
        <f t="shared" si="786"/>
        <v>10510.6</v>
      </c>
      <c r="W280" s="235">
        <f t="shared" si="787"/>
        <v>10510.6</v>
      </c>
      <c r="X280" s="674"/>
      <c r="Y280" s="675"/>
      <c r="Z280" s="675"/>
      <c r="AA280" s="676"/>
      <c r="AB280" s="178">
        <v>931</v>
      </c>
    </row>
    <row r="281" spans="1:33" ht="12.6" customHeight="1" x14ac:dyDescent="0.2">
      <c r="A281" s="17"/>
      <c r="B281" s="667" t="s">
        <v>727</v>
      </c>
      <c r="C281" s="668"/>
      <c r="D281" s="668"/>
      <c r="E281" s="668"/>
      <c r="F281" s="334">
        <f>2.98*X2</f>
        <v>3963.4</v>
      </c>
      <c r="G281" s="258">
        <f t="shared" si="788"/>
        <v>3963.4</v>
      </c>
      <c r="H281" s="576">
        <f t="shared" si="789"/>
        <v>4563.3999999999996</v>
      </c>
      <c r="I281" s="258">
        <f t="shared" si="790"/>
        <v>4563.3999999999996</v>
      </c>
      <c r="J281" s="576">
        <f t="shared" si="774"/>
        <v>4223.3999999999996</v>
      </c>
      <c r="K281" s="258">
        <f t="shared" si="775"/>
        <v>4223.3999999999996</v>
      </c>
      <c r="L281" s="576">
        <f t="shared" si="776"/>
        <v>4193.3999999999996</v>
      </c>
      <c r="M281" s="258">
        <f t="shared" si="777"/>
        <v>4193.3999999999996</v>
      </c>
      <c r="N281" s="576">
        <f t="shared" si="778"/>
        <v>4163.3999999999996</v>
      </c>
      <c r="O281" s="258">
        <f t="shared" si="779"/>
        <v>4163.3999999999996</v>
      </c>
      <c r="P281" s="576">
        <f t="shared" si="780"/>
        <v>4133.3999999999996</v>
      </c>
      <c r="Q281" s="258">
        <f t="shared" si="781"/>
        <v>4133.3999999999996</v>
      </c>
      <c r="R281" s="576">
        <f t="shared" si="782"/>
        <v>4113.3999999999996</v>
      </c>
      <c r="S281" s="258">
        <f t="shared" si="783"/>
        <v>4113.3999999999996</v>
      </c>
      <c r="T281" s="92">
        <f t="shared" si="784"/>
        <v>4093.4</v>
      </c>
      <c r="U281" s="272">
        <f t="shared" si="785"/>
        <v>4093.4</v>
      </c>
      <c r="V281" s="92">
        <f t="shared" si="786"/>
        <v>4073.4</v>
      </c>
      <c r="W281" s="272">
        <f t="shared" si="787"/>
        <v>4073.4</v>
      </c>
      <c r="X281" s="674"/>
      <c r="Y281" s="675"/>
      <c r="Z281" s="675"/>
      <c r="AA281" s="676"/>
      <c r="AB281" s="178">
        <v>933</v>
      </c>
    </row>
    <row r="282" spans="1:33" ht="12.6" customHeight="1" x14ac:dyDescent="0.2">
      <c r="A282" s="17"/>
      <c r="B282" s="672" t="s">
        <v>541</v>
      </c>
      <c r="C282" s="673"/>
      <c r="D282" s="673"/>
      <c r="E282" s="673"/>
      <c r="F282" s="333">
        <f>7.55*X2</f>
        <v>10041.5</v>
      </c>
      <c r="G282" s="257">
        <f t="shared" si="788"/>
        <v>10041.5</v>
      </c>
      <c r="H282" s="559">
        <f t="shared" ref="H282:H290" si="791">F282+600</f>
        <v>10641.5</v>
      </c>
      <c r="I282" s="257">
        <f t="shared" ref="I282:I290" si="792">+H282*$X$1</f>
        <v>10641.5</v>
      </c>
      <c r="J282" s="559">
        <f t="shared" ref="J282:J290" si="793">F282+260</f>
        <v>10301.5</v>
      </c>
      <c r="K282" s="257">
        <f t="shared" ref="K282:K290" si="794">+J282*$X$1</f>
        <v>10301.5</v>
      </c>
      <c r="L282" s="559">
        <f t="shared" ref="L282:L290" si="795">F282+230</f>
        <v>10271.5</v>
      </c>
      <c r="M282" s="257">
        <f t="shared" ref="M282:M290" si="796">+L282*$X$1</f>
        <v>10271.5</v>
      </c>
      <c r="N282" s="559">
        <f t="shared" ref="N282:N290" si="797">F282+200</f>
        <v>10241.5</v>
      </c>
      <c r="O282" s="257">
        <f t="shared" ref="O282:O290" si="798">+N282*$X$1</f>
        <v>10241.5</v>
      </c>
      <c r="P282" s="559">
        <f t="shared" ref="P282:P290" si="799">F282+170</f>
        <v>10211.5</v>
      </c>
      <c r="Q282" s="257">
        <f t="shared" ref="Q282:Q290" si="800">+P282*$X$1</f>
        <v>10211.5</v>
      </c>
      <c r="R282" s="559">
        <f t="shared" ref="R282:R290" si="801">F282+150</f>
        <v>10191.5</v>
      </c>
      <c r="S282" s="257">
        <f t="shared" ref="S282:S290" si="802">+R282*$X$1</f>
        <v>10191.5</v>
      </c>
      <c r="T282" s="93">
        <f t="shared" ref="T282:T290" si="803">F282+130</f>
        <v>10171.5</v>
      </c>
      <c r="U282" s="235">
        <f t="shared" ref="U282:U290" si="804">+T282*$X$1</f>
        <v>10171.5</v>
      </c>
      <c r="V282" s="93">
        <f t="shared" ref="V282:V290" si="805">F282+110</f>
        <v>10151.5</v>
      </c>
      <c r="W282" s="235">
        <f t="shared" ref="W282:W290" si="806">+V282*$X$1</f>
        <v>10151.5</v>
      </c>
      <c r="X282" s="332"/>
      <c r="Y282" s="332"/>
      <c r="Z282" s="332"/>
      <c r="AA282" s="332"/>
      <c r="AB282" s="178">
        <v>935</v>
      </c>
    </row>
    <row r="283" spans="1:33" ht="12.6" customHeight="1" x14ac:dyDescent="0.2">
      <c r="A283" s="17"/>
      <c r="B283" s="667" t="s">
        <v>569</v>
      </c>
      <c r="C283" s="668"/>
      <c r="D283" s="668"/>
      <c r="E283" s="668"/>
      <c r="F283" s="334">
        <f>10*X2</f>
        <v>13300</v>
      </c>
      <c r="G283" s="258">
        <f t="shared" ref="G283" si="807">+F283*$X$1</f>
        <v>13300</v>
      </c>
      <c r="H283" s="576">
        <f t="shared" si="791"/>
        <v>13900</v>
      </c>
      <c r="I283" s="258">
        <f t="shared" si="792"/>
        <v>13900</v>
      </c>
      <c r="J283" s="576">
        <f t="shared" si="793"/>
        <v>13560</v>
      </c>
      <c r="K283" s="258">
        <f t="shared" si="794"/>
        <v>13560</v>
      </c>
      <c r="L283" s="576">
        <f t="shared" si="795"/>
        <v>13530</v>
      </c>
      <c r="M283" s="258">
        <f t="shared" si="796"/>
        <v>13530</v>
      </c>
      <c r="N283" s="576">
        <f t="shared" si="797"/>
        <v>13500</v>
      </c>
      <c r="O283" s="258">
        <f t="shared" si="798"/>
        <v>13500</v>
      </c>
      <c r="P283" s="576">
        <f t="shared" si="799"/>
        <v>13470</v>
      </c>
      <c r="Q283" s="258">
        <f t="shared" si="800"/>
        <v>13470</v>
      </c>
      <c r="R283" s="576">
        <f t="shared" si="801"/>
        <v>13450</v>
      </c>
      <c r="S283" s="258">
        <f t="shared" si="802"/>
        <v>13450</v>
      </c>
      <c r="T283" s="92">
        <f t="shared" si="803"/>
        <v>13430</v>
      </c>
      <c r="U283" s="272">
        <f t="shared" si="804"/>
        <v>13430</v>
      </c>
      <c r="V283" s="92">
        <f t="shared" si="805"/>
        <v>13410</v>
      </c>
      <c r="W283" s="272">
        <f t="shared" si="806"/>
        <v>13410</v>
      </c>
      <c r="X283" s="674"/>
      <c r="Y283" s="677"/>
      <c r="Z283" s="677"/>
      <c r="AA283" s="676"/>
      <c r="AB283" s="178">
        <v>936</v>
      </c>
    </row>
    <row r="284" spans="1:33" ht="12.6" customHeight="1" x14ac:dyDescent="0.2">
      <c r="A284" s="17"/>
      <c r="B284" s="672" t="s">
        <v>783</v>
      </c>
      <c r="C284" s="673"/>
      <c r="D284" s="673"/>
      <c r="E284" s="673"/>
      <c r="F284" s="333">
        <f>4.9*X2</f>
        <v>6517.0000000000009</v>
      </c>
      <c r="G284" s="257">
        <f t="shared" ref="G284" si="808">+F284*$X$1</f>
        <v>6517.0000000000009</v>
      </c>
      <c r="H284" s="559">
        <f t="shared" si="791"/>
        <v>7117.0000000000009</v>
      </c>
      <c r="I284" s="257">
        <f t="shared" si="792"/>
        <v>7117.0000000000009</v>
      </c>
      <c r="J284" s="559">
        <f t="shared" si="793"/>
        <v>6777.0000000000009</v>
      </c>
      <c r="K284" s="257">
        <f t="shared" si="794"/>
        <v>6777.0000000000009</v>
      </c>
      <c r="L284" s="559">
        <f t="shared" si="795"/>
        <v>6747.0000000000009</v>
      </c>
      <c r="M284" s="257">
        <f t="shared" si="796"/>
        <v>6747.0000000000009</v>
      </c>
      <c r="N284" s="559">
        <f t="shared" si="797"/>
        <v>6717.0000000000009</v>
      </c>
      <c r="O284" s="257">
        <f t="shared" si="798"/>
        <v>6717.0000000000009</v>
      </c>
      <c r="P284" s="559">
        <f t="shared" si="799"/>
        <v>6687.0000000000009</v>
      </c>
      <c r="Q284" s="257">
        <f t="shared" si="800"/>
        <v>6687.0000000000009</v>
      </c>
      <c r="R284" s="559">
        <f t="shared" si="801"/>
        <v>6667.0000000000009</v>
      </c>
      <c r="S284" s="257">
        <f t="shared" si="802"/>
        <v>6667.0000000000009</v>
      </c>
      <c r="T284" s="93">
        <f t="shared" si="803"/>
        <v>6647.0000000000009</v>
      </c>
      <c r="U284" s="235">
        <f t="shared" si="804"/>
        <v>6647.0000000000009</v>
      </c>
      <c r="V284" s="93">
        <f t="shared" si="805"/>
        <v>6627.0000000000009</v>
      </c>
      <c r="W284" s="235">
        <f t="shared" si="806"/>
        <v>6627.0000000000009</v>
      </c>
      <c r="X284" s="674"/>
      <c r="Y284" s="677"/>
      <c r="Z284" s="677"/>
      <c r="AA284" s="676"/>
      <c r="AB284" s="178">
        <v>940</v>
      </c>
    </row>
    <row r="285" spans="1:33" ht="12.6" customHeight="1" x14ac:dyDescent="0.2">
      <c r="A285" s="17"/>
      <c r="B285" s="687" t="s">
        <v>182</v>
      </c>
      <c r="C285" s="852"/>
      <c r="D285" s="852"/>
      <c r="E285" s="853"/>
      <c r="F285" s="334">
        <f>5.483*X2</f>
        <v>7292.3899999999994</v>
      </c>
      <c r="G285" s="258">
        <f t="shared" ref="G285:G289" si="809">+F285*$X$1</f>
        <v>7292.3899999999994</v>
      </c>
      <c r="H285" s="576">
        <f t="shared" si="791"/>
        <v>7892.3899999999994</v>
      </c>
      <c r="I285" s="258">
        <f t="shared" si="792"/>
        <v>7892.3899999999994</v>
      </c>
      <c r="J285" s="576">
        <f t="shared" si="793"/>
        <v>7552.3899999999994</v>
      </c>
      <c r="K285" s="258">
        <f t="shared" si="794"/>
        <v>7552.3899999999994</v>
      </c>
      <c r="L285" s="576">
        <f t="shared" si="795"/>
        <v>7522.3899999999994</v>
      </c>
      <c r="M285" s="258">
        <f t="shared" si="796"/>
        <v>7522.3899999999994</v>
      </c>
      <c r="N285" s="576">
        <f t="shared" si="797"/>
        <v>7492.3899999999994</v>
      </c>
      <c r="O285" s="258">
        <f t="shared" si="798"/>
        <v>7492.3899999999994</v>
      </c>
      <c r="P285" s="576">
        <f t="shared" si="799"/>
        <v>7462.3899999999994</v>
      </c>
      <c r="Q285" s="258">
        <f t="shared" si="800"/>
        <v>7462.3899999999994</v>
      </c>
      <c r="R285" s="576">
        <f t="shared" si="801"/>
        <v>7442.3899999999994</v>
      </c>
      <c r="S285" s="258">
        <f t="shared" si="802"/>
        <v>7442.3899999999994</v>
      </c>
      <c r="T285" s="92">
        <f t="shared" si="803"/>
        <v>7422.3899999999994</v>
      </c>
      <c r="U285" s="272">
        <f t="shared" si="804"/>
        <v>7422.3899999999994</v>
      </c>
      <c r="V285" s="92">
        <f t="shared" si="805"/>
        <v>7402.3899999999994</v>
      </c>
      <c r="W285" s="272">
        <f t="shared" si="806"/>
        <v>7402.3899999999994</v>
      </c>
      <c r="X285" s="121"/>
      <c r="Y285" s="123"/>
      <c r="Z285" s="119"/>
      <c r="AA285" s="119"/>
      <c r="AB285" s="178">
        <v>945</v>
      </c>
      <c r="AD285" s="62"/>
      <c r="AE285" s="62"/>
      <c r="AF285" s="62"/>
      <c r="AG285" s="62"/>
    </row>
    <row r="286" spans="1:33" ht="12.6" customHeight="1" x14ac:dyDescent="0.2">
      <c r="A286" s="17"/>
      <c r="B286" s="672" t="s">
        <v>439</v>
      </c>
      <c r="C286" s="673"/>
      <c r="D286" s="673"/>
      <c r="E286" s="673"/>
      <c r="F286" s="333">
        <f>4.1*X2</f>
        <v>5452.9999999999991</v>
      </c>
      <c r="G286" s="257">
        <f t="shared" ref="G286" si="810">+F286*$X$1</f>
        <v>5452.9999999999991</v>
      </c>
      <c r="H286" s="559">
        <f t="shared" si="791"/>
        <v>6052.9999999999991</v>
      </c>
      <c r="I286" s="257">
        <f t="shared" si="792"/>
        <v>6052.9999999999991</v>
      </c>
      <c r="J286" s="559">
        <f t="shared" si="793"/>
        <v>5712.9999999999991</v>
      </c>
      <c r="K286" s="257">
        <f t="shared" si="794"/>
        <v>5712.9999999999991</v>
      </c>
      <c r="L286" s="559">
        <f t="shared" si="795"/>
        <v>5682.9999999999991</v>
      </c>
      <c r="M286" s="257">
        <f t="shared" si="796"/>
        <v>5682.9999999999991</v>
      </c>
      <c r="N286" s="559">
        <f t="shared" si="797"/>
        <v>5652.9999999999991</v>
      </c>
      <c r="O286" s="257">
        <f t="shared" si="798"/>
        <v>5652.9999999999991</v>
      </c>
      <c r="P286" s="559">
        <f t="shared" si="799"/>
        <v>5622.9999999999991</v>
      </c>
      <c r="Q286" s="257">
        <f t="shared" si="800"/>
        <v>5622.9999999999991</v>
      </c>
      <c r="R286" s="559">
        <f t="shared" si="801"/>
        <v>5602.9999999999991</v>
      </c>
      <c r="S286" s="257">
        <f t="shared" si="802"/>
        <v>5602.9999999999991</v>
      </c>
      <c r="T286" s="93">
        <f t="shared" si="803"/>
        <v>5582.9999999999991</v>
      </c>
      <c r="U286" s="235">
        <f t="shared" si="804"/>
        <v>5582.9999999999991</v>
      </c>
      <c r="V286" s="93">
        <f t="shared" si="805"/>
        <v>5562.9999999999991</v>
      </c>
      <c r="W286" s="235">
        <f t="shared" si="806"/>
        <v>5562.9999999999991</v>
      </c>
      <c r="X286" s="139"/>
      <c r="Y286" s="139"/>
      <c r="Z286" s="139"/>
      <c r="AA286" s="139"/>
      <c r="AB286" s="178">
        <v>946</v>
      </c>
    </row>
    <row r="287" spans="1:33" ht="12.6" customHeight="1" x14ac:dyDescent="0.2">
      <c r="A287" s="17"/>
      <c r="B287" s="717" t="s">
        <v>183</v>
      </c>
      <c r="C287" s="718"/>
      <c r="D287" s="718"/>
      <c r="E287" s="719"/>
      <c r="F287" s="334">
        <f>5.1*X2</f>
        <v>6782.9999999999991</v>
      </c>
      <c r="G287" s="258">
        <f t="shared" si="809"/>
        <v>6782.9999999999991</v>
      </c>
      <c r="H287" s="576">
        <f t="shared" si="791"/>
        <v>7382.9999999999991</v>
      </c>
      <c r="I287" s="258">
        <f t="shared" si="792"/>
        <v>7382.9999999999991</v>
      </c>
      <c r="J287" s="576"/>
      <c r="K287" s="258"/>
      <c r="L287" s="576"/>
      <c r="M287" s="258"/>
      <c r="N287" s="576"/>
      <c r="O287" s="258"/>
      <c r="P287" s="576"/>
      <c r="Q287" s="258"/>
      <c r="R287" s="576"/>
      <c r="S287" s="258"/>
      <c r="T287" s="92"/>
      <c r="U287" s="272"/>
      <c r="V287" s="92"/>
      <c r="W287" s="272"/>
      <c r="X287" s="674"/>
      <c r="Y287" s="675"/>
      <c r="Z287" s="675"/>
      <c r="AA287" s="676"/>
      <c r="AB287" s="365">
        <v>949</v>
      </c>
    </row>
    <row r="288" spans="1:33" ht="12.6" customHeight="1" x14ac:dyDescent="0.2">
      <c r="A288" s="17"/>
      <c r="B288" s="672" t="s">
        <v>542</v>
      </c>
      <c r="C288" s="673"/>
      <c r="D288" s="673"/>
      <c r="E288" s="673"/>
      <c r="F288" s="333">
        <f>5.9*X2</f>
        <v>7847.0000000000009</v>
      </c>
      <c r="G288" s="257">
        <f t="shared" si="809"/>
        <v>7847.0000000000009</v>
      </c>
      <c r="H288" s="559">
        <f t="shared" si="791"/>
        <v>8447</v>
      </c>
      <c r="I288" s="257">
        <f t="shared" si="792"/>
        <v>8447</v>
      </c>
      <c r="J288" s="559">
        <f t="shared" si="793"/>
        <v>8107.0000000000009</v>
      </c>
      <c r="K288" s="257">
        <f t="shared" si="794"/>
        <v>8107.0000000000009</v>
      </c>
      <c r="L288" s="559">
        <f t="shared" si="795"/>
        <v>8077.0000000000009</v>
      </c>
      <c r="M288" s="257">
        <f t="shared" si="796"/>
        <v>8077.0000000000009</v>
      </c>
      <c r="N288" s="559">
        <f t="shared" si="797"/>
        <v>8047.0000000000009</v>
      </c>
      <c r="O288" s="257">
        <f t="shared" si="798"/>
        <v>8047.0000000000009</v>
      </c>
      <c r="P288" s="559">
        <f t="shared" si="799"/>
        <v>8017.0000000000009</v>
      </c>
      <c r="Q288" s="257">
        <f t="shared" si="800"/>
        <v>8017.0000000000009</v>
      </c>
      <c r="R288" s="559">
        <f t="shared" si="801"/>
        <v>7997.0000000000009</v>
      </c>
      <c r="S288" s="257">
        <f t="shared" si="802"/>
        <v>7997.0000000000009</v>
      </c>
      <c r="T288" s="93">
        <f t="shared" si="803"/>
        <v>7977.0000000000009</v>
      </c>
      <c r="U288" s="235">
        <f t="shared" si="804"/>
        <v>7977.0000000000009</v>
      </c>
      <c r="V288" s="93">
        <f t="shared" si="805"/>
        <v>7957.0000000000009</v>
      </c>
      <c r="W288" s="235">
        <f t="shared" si="806"/>
        <v>7957.0000000000009</v>
      </c>
      <c r="X288" s="810"/>
      <c r="Y288" s="1124"/>
      <c r="Z288" s="1124"/>
      <c r="AA288" s="826"/>
      <c r="AB288" s="178">
        <v>962</v>
      </c>
    </row>
    <row r="289" spans="1:38" ht="12.6" customHeight="1" x14ac:dyDescent="0.2">
      <c r="A289" s="17"/>
      <c r="B289" s="667" t="s">
        <v>774</v>
      </c>
      <c r="C289" s="668"/>
      <c r="D289" s="668"/>
      <c r="E289" s="668"/>
      <c r="F289" s="334">
        <f>10.94*X2</f>
        <v>14550.199999999999</v>
      </c>
      <c r="G289" s="258">
        <f t="shared" si="809"/>
        <v>14550.199999999999</v>
      </c>
      <c r="H289" s="576">
        <f t="shared" si="791"/>
        <v>15150.199999999999</v>
      </c>
      <c r="I289" s="258">
        <f t="shared" si="792"/>
        <v>15150.199999999999</v>
      </c>
      <c r="J289" s="576">
        <f t="shared" si="793"/>
        <v>14810.199999999999</v>
      </c>
      <c r="K289" s="258">
        <f t="shared" si="794"/>
        <v>14810.199999999999</v>
      </c>
      <c r="L289" s="576">
        <f t="shared" si="795"/>
        <v>14780.199999999999</v>
      </c>
      <c r="M289" s="258">
        <f t="shared" si="796"/>
        <v>14780.199999999999</v>
      </c>
      <c r="N289" s="576">
        <f t="shared" si="797"/>
        <v>14750.199999999999</v>
      </c>
      <c r="O289" s="258">
        <f t="shared" si="798"/>
        <v>14750.199999999999</v>
      </c>
      <c r="P289" s="576">
        <f t="shared" si="799"/>
        <v>14720.199999999999</v>
      </c>
      <c r="Q289" s="258">
        <f t="shared" si="800"/>
        <v>14720.199999999999</v>
      </c>
      <c r="R289" s="576">
        <f t="shared" si="801"/>
        <v>14700.199999999999</v>
      </c>
      <c r="S289" s="258">
        <f t="shared" si="802"/>
        <v>14700.199999999999</v>
      </c>
      <c r="T289" s="92">
        <f t="shared" si="803"/>
        <v>14680.199999999999</v>
      </c>
      <c r="U289" s="272">
        <f t="shared" si="804"/>
        <v>14680.199999999999</v>
      </c>
      <c r="V289" s="92">
        <f t="shared" si="805"/>
        <v>14660.199999999999</v>
      </c>
      <c r="W289" s="272">
        <f t="shared" si="806"/>
        <v>14660.199999999999</v>
      </c>
      <c r="X289" s="404"/>
      <c r="Y289" s="404"/>
      <c r="Z289" s="404"/>
      <c r="AA289" s="404"/>
      <c r="AB289" s="178">
        <v>963</v>
      </c>
    </row>
    <row r="290" spans="1:38" ht="12.6" customHeight="1" x14ac:dyDescent="0.2">
      <c r="A290" s="17"/>
      <c r="B290" s="672" t="s">
        <v>809</v>
      </c>
      <c r="C290" s="673"/>
      <c r="D290" s="673"/>
      <c r="E290" s="673"/>
      <c r="F290" s="333">
        <f>7.1*X2</f>
        <v>9443</v>
      </c>
      <c r="G290" s="257">
        <f t="shared" ref="G290" si="811">+F290*$X$1</f>
        <v>9443</v>
      </c>
      <c r="H290" s="559">
        <f t="shared" si="791"/>
        <v>10043</v>
      </c>
      <c r="I290" s="257">
        <f t="shared" si="792"/>
        <v>10043</v>
      </c>
      <c r="J290" s="559">
        <f t="shared" si="793"/>
        <v>9703</v>
      </c>
      <c r="K290" s="257">
        <f t="shared" si="794"/>
        <v>9703</v>
      </c>
      <c r="L290" s="559">
        <f t="shared" si="795"/>
        <v>9673</v>
      </c>
      <c r="M290" s="257">
        <f t="shared" si="796"/>
        <v>9673</v>
      </c>
      <c r="N290" s="559">
        <f t="shared" si="797"/>
        <v>9643</v>
      </c>
      <c r="O290" s="257">
        <f t="shared" si="798"/>
        <v>9643</v>
      </c>
      <c r="P290" s="559">
        <f t="shared" si="799"/>
        <v>9613</v>
      </c>
      <c r="Q290" s="257">
        <f t="shared" si="800"/>
        <v>9613</v>
      </c>
      <c r="R290" s="559">
        <f t="shared" si="801"/>
        <v>9593</v>
      </c>
      <c r="S290" s="257">
        <f t="shared" si="802"/>
        <v>9593</v>
      </c>
      <c r="T290" s="93">
        <f t="shared" si="803"/>
        <v>9573</v>
      </c>
      <c r="U290" s="235">
        <f t="shared" si="804"/>
        <v>9573</v>
      </c>
      <c r="V290" s="93">
        <f t="shared" si="805"/>
        <v>9553</v>
      </c>
      <c r="W290" s="235">
        <f t="shared" si="806"/>
        <v>9553</v>
      </c>
      <c r="X290" s="404"/>
      <c r="Y290" s="404"/>
      <c r="Z290" s="404"/>
      <c r="AA290" s="404"/>
      <c r="AB290" s="178">
        <v>966</v>
      </c>
    </row>
    <row r="291" spans="1:38" s="1" customFormat="1" ht="12.6" customHeight="1" x14ac:dyDescent="0.2">
      <c r="A291" s="18"/>
      <c r="B291" s="667" t="s">
        <v>344</v>
      </c>
      <c r="C291" s="668"/>
      <c r="D291" s="668"/>
      <c r="E291" s="668"/>
      <c r="F291" s="258">
        <v>450</v>
      </c>
      <c r="G291" s="258">
        <f>+F291*$X$1</f>
        <v>450</v>
      </c>
      <c r="H291" s="251"/>
      <c r="I291" s="251"/>
      <c r="J291" s="576">
        <f>F291+230</f>
        <v>680</v>
      </c>
      <c r="K291" s="258">
        <f t="shared" ref="K291:K297" si="812">+J291*$X$1</f>
        <v>680</v>
      </c>
      <c r="L291" s="576">
        <f>F291+180</f>
        <v>630</v>
      </c>
      <c r="M291" s="258">
        <f>+L291*$X$1</f>
        <v>630</v>
      </c>
      <c r="N291" s="576">
        <f>F291+130</f>
        <v>580</v>
      </c>
      <c r="O291" s="258">
        <f>+N291*$X$1</f>
        <v>580</v>
      </c>
      <c r="P291" s="576">
        <f>F291+110</f>
        <v>560</v>
      </c>
      <c r="Q291" s="258">
        <f>+P291*$X$1</f>
        <v>560</v>
      </c>
      <c r="R291" s="576">
        <f>F291+90</f>
        <v>540</v>
      </c>
      <c r="S291" s="258">
        <f>+R291*$X$1</f>
        <v>540</v>
      </c>
      <c r="T291" s="92">
        <f>F291+80</f>
        <v>530</v>
      </c>
      <c r="U291" s="272">
        <f>+T291*$X$1</f>
        <v>530</v>
      </c>
      <c r="V291" s="92">
        <f>F291+70</f>
        <v>520</v>
      </c>
      <c r="W291" s="272">
        <f>+V291*$X$1</f>
        <v>520</v>
      </c>
      <c r="X291" s="136"/>
      <c r="Y291" s="136"/>
      <c r="Z291" s="136"/>
      <c r="AA291" s="136"/>
      <c r="AB291" s="178">
        <v>998</v>
      </c>
      <c r="AC291" s="71"/>
      <c r="AD291" s="4"/>
      <c r="AE291" s="4"/>
      <c r="AF291" s="4"/>
      <c r="AG291" s="4"/>
      <c r="AH291" s="4"/>
      <c r="AI291" s="4"/>
      <c r="AJ291" s="4"/>
      <c r="AK291" s="4"/>
      <c r="AL291" s="4"/>
    </row>
    <row r="292" spans="1:38" s="1" customFormat="1" ht="12.6" customHeight="1" x14ac:dyDescent="0.2">
      <c r="A292" s="18"/>
      <c r="B292" s="642" t="s">
        <v>1006</v>
      </c>
      <c r="C292" s="662"/>
      <c r="D292" s="662"/>
      <c r="E292" s="663"/>
      <c r="F292" s="333">
        <f>6.98*X2</f>
        <v>9283.4000000000015</v>
      </c>
      <c r="G292" s="257">
        <f t="shared" ref="G292" si="813">+F292*$X$1</f>
        <v>9283.4000000000015</v>
      </c>
      <c r="H292" s="68">
        <f>F292+600</f>
        <v>9883.4000000000015</v>
      </c>
      <c r="I292" s="257">
        <f t="shared" ref="I292" si="814">+H292*$X$1</f>
        <v>9883.4000000000015</v>
      </c>
      <c r="J292" s="559">
        <f>F292+260</f>
        <v>9543.4000000000015</v>
      </c>
      <c r="K292" s="257">
        <f t="shared" si="812"/>
        <v>9543.4000000000015</v>
      </c>
      <c r="L292" s="559">
        <f>F292+220</f>
        <v>9503.4000000000015</v>
      </c>
      <c r="M292" s="257">
        <f t="shared" ref="M292" si="815">+L292*$X$1</f>
        <v>9503.4000000000015</v>
      </c>
      <c r="N292" s="559">
        <f>F292+180</f>
        <v>9463.4000000000015</v>
      </c>
      <c r="O292" s="257">
        <f t="shared" ref="O292" si="816">+N292*$X$1</f>
        <v>9463.4000000000015</v>
      </c>
      <c r="P292" s="559">
        <f>F292+150</f>
        <v>9433.4000000000015</v>
      </c>
      <c r="Q292" s="257">
        <f t="shared" ref="Q292" si="817">+P292*$X$1</f>
        <v>9433.4000000000015</v>
      </c>
      <c r="R292" s="559">
        <f>F292+120</f>
        <v>9403.4000000000015</v>
      </c>
      <c r="S292" s="257">
        <f t="shared" ref="S292" si="818">+R292*$X$1</f>
        <v>9403.4000000000015</v>
      </c>
      <c r="T292" s="559">
        <f>F292+100</f>
        <v>9383.4000000000015</v>
      </c>
      <c r="U292" s="257">
        <f t="shared" ref="U292" si="819">+T292*$X$1</f>
        <v>9383.4000000000015</v>
      </c>
      <c r="V292" s="559">
        <f>F292+80</f>
        <v>9363.4000000000015</v>
      </c>
      <c r="W292" s="257">
        <f t="shared" ref="W292" si="820">+V292*$X$1</f>
        <v>9363.4000000000015</v>
      </c>
      <c r="X292" s="604"/>
      <c r="Y292" s="605"/>
      <c r="Z292" s="605"/>
      <c r="AA292" s="606"/>
      <c r="AB292" s="178">
        <v>1017</v>
      </c>
      <c r="AC292" s="4"/>
      <c r="AD292" s="4"/>
      <c r="AE292" s="4"/>
      <c r="AF292" s="4"/>
      <c r="AG292" s="4"/>
      <c r="AH292" s="116"/>
      <c r="AI292" s="4"/>
      <c r="AJ292" s="4"/>
      <c r="AK292" s="4"/>
      <c r="AL292" s="4"/>
    </row>
    <row r="293" spans="1:38" s="1" customFormat="1" ht="12.6" customHeight="1" x14ac:dyDescent="0.2">
      <c r="A293" s="18"/>
      <c r="B293" s="642" t="s">
        <v>991</v>
      </c>
      <c r="C293" s="662"/>
      <c r="D293" s="662"/>
      <c r="E293" s="663"/>
      <c r="F293" s="293">
        <v>31600</v>
      </c>
      <c r="G293" s="258">
        <f t="shared" ref="G293:G295" si="821">+F293*$X$1</f>
        <v>31600</v>
      </c>
      <c r="H293" s="82">
        <f t="shared" ref="H293" si="822">F293+600</f>
        <v>32200</v>
      </c>
      <c r="I293" s="258">
        <f t="shared" ref="I293" si="823">+H293*$X$1</f>
        <v>32200</v>
      </c>
      <c r="J293" s="576">
        <f t="shared" ref="J293" si="824">F293+260</f>
        <v>31860</v>
      </c>
      <c r="K293" s="258">
        <f t="shared" si="812"/>
        <v>31860</v>
      </c>
      <c r="L293" s="576">
        <f t="shared" ref="L293" si="825">F293+220</f>
        <v>31820</v>
      </c>
      <c r="M293" s="258">
        <f t="shared" ref="M293:M295" si="826">+L293*$X$1</f>
        <v>31820</v>
      </c>
      <c r="N293" s="576">
        <f t="shared" ref="N293" si="827">F293+180</f>
        <v>31780</v>
      </c>
      <c r="O293" s="258">
        <f t="shared" ref="O293:O295" si="828">+N293*$X$1</f>
        <v>31780</v>
      </c>
      <c r="P293" s="576">
        <f t="shared" ref="P293" si="829">F293+150</f>
        <v>31750</v>
      </c>
      <c r="Q293" s="258">
        <f t="shared" ref="Q293:Q295" si="830">+P293*$X$1</f>
        <v>31750</v>
      </c>
      <c r="R293" s="576">
        <f t="shared" ref="R293" si="831">F293+120</f>
        <v>31720</v>
      </c>
      <c r="S293" s="258">
        <f t="shared" ref="S293:S295" si="832">+R293*$X$1</f>
        <v>31720</v>
      </c>
      <c r="T293" s="576">
        <f t="shared" ref="T293" si="833">F293+100</f>
        <v>31700</v>
      </c>
      <c r="U293" s="258">
        <f t="shared" ref="U293:U295" si="834">+T293*$X$1</f>
        <v>31700</v>
      </c>
      <c r="V293" s="576">
        <f t="shared" ref="V293" si="835">F293+80</f>
        <v>31680</v>
      </c>
      <c r="W293" s="258">
        <f t="shared" ref="W293:W295" si="836">+V293*$X$1</f>
        <v>31680</v>
      </c>
      <c r="X293" s="593"/>
      <c r="Y293" s="594"/>
      <c r="Z293" s="594"/>
      <c r="AA293" s="595"/>
      <c r="AB293" s="178">
        <v>1018</v>
      </c>
      <c r="AC293" s="4"/>
      <c r="AD293" s="4"/>
      <c r="AE293" s="4"/>
      <c r="AF293" s="4"/>
      <c r="AG293" s="4"/>
      <c r="AH293" s="116"/>
      <c r="AI293" s="4"/>
      <c r="AJ293" s="4"/>
      <c r="AK293" s="4"/>
      <c r="AL293" s="4"/>
    </row>
    <row r="294" spans="1:38" s="1" customFormat="1" ht="12.6" customHeight="1" x14ac:dyDescent="0.2">
      <c r="A294" s="18"/>
      <c r="B294" s="642" t="s">
        <v>1005</v>
      </c>
      <c r="C294" s="662"/>
      <c r="D294" s="662"/>
      <c r="E294" s="663"/>
      <c r="F294" s="337">
        <f>9.7*X2</f>
        <v>12900.999999999998</v>
      </c>
      <c r="G294" s="274">
        <f t="shared" ref="G294" si="837">+F294*$X$1</f>
        <v>12900.999999999998</v>
      </c>
      <c r="H294" s="68">
        <f t="shared" ref="H294" si="838">F294+600</f>
        <v>13500.999999999998</v>
      </c>
      <c r="I294" s="257">
        <f t="shared" ref="I294" si="839">+H294*$X$1</f>
        <v>13500.999999999998</v>
      </c>
      <c r="J294" s="559">
        <f>F294+280</f>
        <v>13180.999999999998</v>
      </c>
      <c r="K294" s="257">
        <f t="shared" ref="K294" si="840">+J294*$X$1</f>
        <v>13180.999999999998</v>
      </c>
      <c r="L294" s="559">
        <f>F294+230</f>
        <v>13130.999999999998</v>
      </c>
      <c r="M294" s="257">
        <f t="shared" si="826"/>
        <v>13130.999999999998</v>
      </c>
      <c r="N294" s="559">
        <f>F294+190</f>
        <v>13090.999999999998</v>
      </c>
      <c r="O294" s="257">
        <f t="shared" si="828"/>
        <v>13090.999999999998</v>
      </c>
      <c r="P294" s="559">
        <f>F294+160</f>
        <v>13060.999999999998</v>
      </c>
      <c r="Q294" s="257">
        <f t="shared" si="830"/>
        <v>13060.999999999998</v>
      </c>
      <c r="R294" s="559">
        <f>F294+130</f>
        <v>13030.999999999998</v>
      </c>
      <c r="S294" s="257">
        <f t="shared" si="832"/>
        <v>13030.999999999998</v>
      </c>
      <c r="T294" s="559">
        <f>F294+110</f>
        <v>13010.999999999998</v>
      </c>
      <c r="U294" s="257">
        <f t="shared" si="834"/>
        <v>13010.999999999998</v>
      </c>
      <c r="V294" s="559">
        <f>F294+90</f>
        <v>12990.999999999998</v>
      </c>
      <c r="W294" s="257">
        <f t="shared" si="836"/>
        <v>12990.999999999998</v>
      </c>
      <c r="X294" s="604"/>
      <c r="Y294" s="605"/>
      <c r="Z294" s="605"/>
      <c r="AA294" s="606"/>
      <c r="AB294" s="178">
        <v>1019</v>
      </c>
      <c r="AC294" s="4"/>
      <c r="AD294" s="4"/>
      <c r="AE294" s="4"/>
      <c r="AF294" s="4"/>
      <c r="AG294" s="4"/>
      <c r="AH294" s="116"/>
      <c r="AI294" s="4"/>
      <c r="AJ294" s="4"/>
      <c r="AK294" s="4"/>
      <c r="AL294" s="4"/>
    </row>
    <row r="295" spans="1:38" ht="12.6" customHeight="1" x14ac:dyDescent="0.2">
      <c r="A295" s="17"/>
      <c r="B295" s="790" t="s">
        <v>972</v>
      </c>
      <c r="C295" s="791"/>
      <c r="D295" s="791"/>
      <c r="E295" s="791"/>
      <c r="F295" s="336">
        <f>3.18*X2</f>
        <v>4229.4000000000005</v>
      </c>
      <c r="G295" s="303">
        <f t="shared" si="821"/>
        <v>4229.4000000000005</v>
      </c>
      <c r="H295" s="576">
        <f>F295+800</f>
        <v>5029.4000000000005</v>
      </c>
      <c r="I295" s="258">
        <f>+H295*$X$1</f>
        <v>5029.4000000000005</v>
      </c>
      <c r="J295" s="576">
        <f>F295+600</f>
        <v>4829.4000000000005</v>
      </c>
      <c r="K295" s="258">
        <f>+J295*$X$1</f>
        <v>4829.4000000000005</v>
      </c>
      <c r="L295" s="576">
        <f>F295+500</f>
        <v>4729.4000000000005</v>
      </c>
      <c r="M295" s="258">
        <f t="shared" si="826"/>
        <v>4729.4000000000005</v>
      </c>
      <c r="N295" s="576">
        <f>F295+450</f>
        <v>4679.4000000000005</v>
      </c>
      <c r="O295" s="258">
        <f t="shared" si="828"/>
        <v>4679.4000000000005</v>
      </c>
      <c r="P295" s="576">
        <f>F295+360</f>
        <v>4589.4000000000005</v>
      </c>
      <c r="Q295" s="258">
        <f t="shared" si="830"/>
        <v>4589.4000000000005</v>
      </c>
      <c r="R295" s="576">
        <f>F295+330</f>
        <v>4559.4000000000005</v>
      </c>
      <c r="S295" s="258">
        <f t="shared" si="832"/>
        <v>4559.4000000000005</v>
      </c>
      <c r="T295" s="92">
        <f>F295+300</f>
        <v>4529.4000000000005</v>
      </c>
      <c r="U295" s="272">
        <f t="shared" si="834"/>
        <v>4529.4000000000005</v>
      </c>
      <c r="V295" s="92">
        <f>F295+260</f>
        <v>4489.4000000000005</v>
      </c>
      <c r="W295" s="272">
        <f t="shared" si="836"/>
        <v>4489.4000000000005</v>
      </c>
      <c r="X295" s="135"/>
      <c r="Y295" s="135"/>
      <c r="Z295" s="135"/>
      <c r="AA295" s="135"/>
      <c r="AB295" s="178">
        <v>1021</v>
      </c>
    </row>
    <row r="296" spans="1:38" ht="12.6" customHeight="1" x14ac:dyDescent="0.2">
      <c r="A296" s="17"/>
      <c r="B296" s="790" t="s">
        <v>973</v>
      </c>
      <c r="C296" s="791"/>
      <c r="D296" s="791"/>
      <c r="E296" s="791"/>
      <c r="F296" s="337">
        <v>13390</v>
      </c>
      <c r="G296" s="274">
        <f t="shared" ref="G296" si="841">+F296*$X$1</f>
        <v>13390</v>
      </c>
      <c r="H296" s="559"/>
      <c r="I296" s="257"/>
      <c r="J296" s="559">
        <f>F296+600</f>
        <v>13990</v>
      </c>
      <c r="K296" s="257">
        <f>+J296*$X$1</f>
        <v>13990</v>
      </c>
      <c r="L296" s="559">
        <f>F296+500</f>
        <v>13890</v>
      </c>
      <c r="M296" s="257">
        <f t="shared" ref="M296" si="842">+L296*$X$1</f>
        <v>13890</v>
      </c>
      <c r="N296" s="559">
        <f>F296+450</f>
        <v>13840</v>
      </c>
      <c r="O296" s="257">
        <f t="shared" ref="O296" si="843">+N296*$X$1</f>
        <v>13840</v>
      </c>
      <c r="P296" s="559">
        <f>F296+360</f>
        <v>13750</v>
      </c>
      <c r="Q296" s="257">
        <f t="shared" ref="Q296" si="844">+P296*$X$1</f>
        <v>13750</v>
      </c>
      <c r="R296" s="559">
        <f>F296+330</f>
        <v>13720</v>
      </c>
      <c r="S296" s="257">
        <f t="shared" ref="S296" si="845">+R296*$X$1</f>
        <v>13720</v>
      </c>
      <c r="T296" s="93">
        <f>F296+300</f>
        <v>13690</v>
      </c>
      <c r="U296" s="235">
        <f t="shared" ref="U296" si="846">+T296*$X$1</f>
        <v>13690</v>
      </c>
      <c r="V296" s="93">
        <f>F296+260</f>
        <v>13650</v>
      </c>
      <c r="W296" s="235">
        <f t="shared" ref="W296" si="847">+V296*$X$1</f>
        <v>13650</v>
      </c>
      <c r="X296" s="135"/>
      <c r="Y296" s="135"/>
      <c r="Z296" s="135"/>
      <c r="AA296" s="135"/>
      <c r="AB296" s="178">
        <v>1022</v>
      </c>
    </row>
    <row r="297" spans="1:38" ht="12.6" customHeight="1" x14ac:dyDescent="0.2">
      <c r="A297" s="17"/>
      <c r="B297" s="723" t="s">
        <v>910</v>
      </c>
      <c r="C297" s="686"/>
      <c r="D297" s="686"/>
      <c r="E297" s="686"/>
      <c r="F297" s="334">
        <v>5650</v>
      </c>
      <c r="G297" s="258">
        <f>+F297*$X$1</f>
        <v>5650</v>
      </c>
      <c r="H297" s="82"/>
      <c r="I297" s="258"/>
      <c r="J297" s="576">
        <f>F297+280</f>
        <v>5930</v>
      </c>
      <c r="K297" s="258">
        <f t="shared" si="812"/>
        <v>5930</v>
      </c>
      <c r="L297" s="576">
        <f>F297+230</f>
        <v>5880</v>
      </c>
      <c r="M297" s="258">
        <f t="shared" ref="M297" si="848">+L297*$X$1</f>
        <v>5880</v>
      </c>
      <c r="N297" s="576">
        <f>F297+190</f>
        <v>5840</v>
      </c>
      <c r="O297" s="258">
        <f t="shared" ref="O297" si="849">+N297*$X$1</f>
        <v>5840</v>
      </c>
      <c r="P297" s="576">
        <f>F297+160</f>
        <v>5810</v>
      </c>
      <c r="Q297" s="258">
        <f t="shared" ref="Q297" si="850">+P297*$X$1</f>
        <v>5810</v>
      </c>
      <c r="R297" s="576">
        <f>F297+130</f>
        <v>5780</v>
      </c>
      <c r="S297" s="258">
        <f t="shared" ref="S297" si="851">+R297*$X$1</f>
        <v>5780</v>
      </c>
      <c r="T297" s="576">
        <f>F297+110</f>
        <v>5760</v>
      </c>
      <c r="U297" s="258">
        <f t="shared" ref="U297" si="852">+T297*$X$1</f>
        <v>5760</v>
      </c>
      <c r="V297" s="576">
        <f>F297+90</f>
        <v>5740</v>
      </c>
      <c r="W297" s="258">
        <f t="shared" ref="W297" si="853">+V297*$X$1</f>
        <v>5740</v>
      </c>
      <c r="X297" s="714"/>
      <c r="Y297" s="715"/>
      <c r="Z297" s="715"/>
      <c r="AA297" s="716"/>
      <c r="AB297" s="178">
        <v>1023</v>
      </c>
    </row>
    <row r="298" spans="1:38" s="1" customFormat="1" ht="12.6" customHeight="1" x14ac:dyDescent="0.2">
      <c r="A298" s="18"/>
      <c r="B298" s="678" t="s">
        <v>829</v>
      </c>
      <c r="C298" s="679"/>
      <c r="D298" s="679"/>
      <c r="E298" s="680"/>
      <c r="F298" s="333">
        <f>2.55*X2</f>
        <v>3391.4999999999995</v>
      </c>
      <c r="G298" s="257">
        <f>+F298*$X$1</f>
        <v>3391.4999999999995</v>
      </c>
      <c r="H298" s="559">
        <f t="shared" ref="H298:H299" si="854">F298+600</f>
        <v>3991.4999999999995</v>
      </c>
      <c r="I298" s="257">
        <f t="shared" ref="I298:I299" si="855">+H298*$X$1</f>
        <v>3991.4999999999995</v>
      </c>
      <c r="J298" s="559">
        <f t="shared" ref="J298:J299" si="856">F298+260</f>
        <v>3651.4999999999995</v>
      </c>
      <c r="K298" s="257">
        <f t="shared" ref="K298:K299" si="857">+J298*$X$1</f>
        <v>3651.4999999999995</v>
      </c>
      <c r="L298" s="559">
        <f t="shared" ref="L298:L299" si="858">F298+230</f>
        <v>3621.4999999999995</v>
      </c>
      <c r="M298" s="257">
        <f t="shared" ref="M298:M300" si="859">+L298*$X$1</f>
        <v>3621.4999999999995</v>
      </c>
      <c r="N298" s="559">
        <f t="shared" ref="N298:N299" si="860">F298+200</f>
        <v>3591.4999999999995</v>
      </c>
      <c r="O298" s="257">
        <f t="shared" ref="O298:O300" si="861">+N298*$X$1</f>
        <v>3591.4999999999995</v>
      </c>
      <c r="P298" s="559">
        <f t="shared" ref="P298:P299" si="862">F298+170</f>
        <v>3561.4999999999995</v>
      </c>
      <c r="Q298" s="257">
        <f t="shared" ref="Q298:Q300" si="863">+P298*$X$1</f>
        <v>3561.4999999999995</v>
      </c>
      <c r="R298" s="559">
        <f t="shared" ref="R298:R299" si="864">F298+150</f>
        <v>3541.4999999999995</v>
      </c>
      <c r="S298" s="257">
        <f t="shared" ref="S298:S300" si="865">+R298*$X$1</f>
        <v>3541.4999999999995</v>
      </c>
      <c r="T298" s="93">
        <f t="shared" ref="T298:T299" si="866">F298+130</f>
        <v>3521.4999999999995</v>
      </c>
      <c r="U298" s="235">
        <f t="shared" ref="U298:U300" si="867">+T298*$X$1</f>
        <v>3521.4999999999995</v>
      </c>
      <c r="V298" s="93">
        <f t="shared" ref="V298:V299" si="868">F298+110</f>
        <v>3501.4999999999995</v>
      </c>
      <c r="W298" s="235">
        <f t="shared" ref="W298:W300" si="869">+V298*$X$1</f>
        <v>3501.4999999999995</v>
      </c>
      <c r="X298" s="486"/>
      <c r="Y298" s="488"/>
      <c r="Z298" s="488"/>
      <c r="AA298" s="487"/>
      <c r="AB298" s="178">
        <v>1024</v>
      </c>
      <c r="AC298" s="4"/>
      <c r="AD298" s="4"/>
      <c r="AE298" s="4"/>
      <c r="AF298" s="4"/>
      <c r="AG298" s="4"/>
      <c r="AH298" s="433"/>
      <c r="AI298" s="4"/>
      <c r="AJ298" s="4"/>
      <c r="AK298" s="4"/>
      <c r="AL298" s="4"/>
    </row>
    <row r="299" spans="1:38" s="1" customFormat="1" ht="12.6" customHeight="1" x14ac:dyDescent="0.2">
      <c r="A299" s="18"/>
      <c r="B299" s="687" t="s">
        <v>942</v>
      </c>
      <c r="C299" s="688"/>
      <c r="D299" s="688"/>
      <c r="E299" s="689"/>
      <c r="F299" s="334">
        <f>2.55*X2</f>
        <v>3391.4999999999995</v>
      </c>
      <c r="G299" s="258">
        <f>+F299*$X$1</f>
        <v>3391.4999999999995</v>
      </c>
      <c r="H299" s="576">
        <f t="shared" si="854"/>
        <v>3991.4999999999995</v>
      </c>
      <c r="I299" s="258">
        <f t="shared" si="855"/>
        <v>3991.4999999999995</v>
      </c>
      <c r="J299" s="576">
        <f t="shared" si="856"/>
        <v>3651.4999999999995</v>
      </c>
      <c r="K299" s="258">
        <f t="shared" si="857"/>
        <v>3651.4999999999995</v>
      </c>
      <c r="L299" s="576">
        <f t="shared" si="858"/>
        <v>3621.4999999999995</v>
      </c>
      <c r="M299" s="258">
        <f t="shared" si="859"/>
        <v>3621.4999999999995</v>
      </c>
      <c r="N299" s="576">
        <f t="shared" si="860"/>
        <v>3591.4999999999995</v>
      </c>
      <c r="O299" s="258">
        <f t="shared" si="861"/>
        <v>3591.4999999999995</v>
      </c>
      <c r="P299" s="576">
        <f t="shared" si="862"/>
        <v>3561.4999999999995</v>
      </c>
      <c r="Q299" s="258">
        <f t="shared" si="863"/>
        <v>3561.4999999999995</v>
      </c>
      <c r="R299" s="576">
        <f t="shared" si="864"/>
        <v>3541.4999999999995</v>
      </c>
      <c r="S299" s="258">
        <f t="shared" si="865"/>
        <v>3541.4999999999995</v>
      </c>
      <c r="T299" s="92">
        <f t="shared" si="866"/>
        <v>3521.4999999999995</v>
      </c>
      <c r="U299" s="272">
        <f t="shared" si="867"/>
        <v>3521.4999999999995</v>
      </c>
      <c r="V299" s="92">
        <f t="shared" si="868"/>
        <v>3501.4999999999995</v>
      </c>
      <c r="W299" s="272">
        <f t="shared" si="869"/>
        <v>3501.4999999999995</v>
      </c>
      <c r="X299" s="432"/>
      <c r="Y299" s="430"/>
      <c r="Z299" s="430"/>
      <c r="AA299" s="431"/>
      <c r="AB299" s="178">
        <v>1026</v>
      </c>
      <c r="AC299" s="4"/>
      <c r="AD299" s="4"/>
      <c r="AE299" s="4"/>
      <c r="AF299" s="4"/>
      <c r="AG299" s="4"/>
      <c r="AH299" s="433"/>
      <c r="AI299" s="4"/>
      <c r="AJ299" s="4"/>
      <c r="AK299" s="4"/>
      <c r="AL299" s="4"/>
    </row>
    <row r="300" spans="1:38" s="1" customFormat="1" ht="12.6" customHeight="1" x14ac:dyDescent="0.2">
      <c r="A300" s="18"/>
      <c r="B300" s="678" t="s">
        <v>546</v>
      </c>
      <c r="C300" s="679"/>
      <c r="D300" s="679"/>
      <c r="E300" s="680"/>
      <c r="F300" s="465">
        <f>13*X2</f>
        <v>17290</v>
      </c>
      <c r="G300" s="259">
        <f t="shared" ref="G300:G302" si="870">+F300*$X$1</f>
        <v>17290</v>
      </c>
      <c r="H300" s="68">
        <f>F300+650</f>
        <v>17940</v>
      </c>
      <c r="I300" s="257">
        <f>+H300*$X$1</f>
        <v>17940</v>
      </c>
      <c r="J300" s="559">
        <f>F300+280</f>
        <v>17570</v>
      </c>
      <c r="K300" s="257">
        <f>+J300*$X$1</f>
        <v>17570</v>
      </c>
      <c r="L300" s="559">
        <f>F300+230</f>
        <v>17520</v>
      </c>
      <c r="M300" s="257">
        <f t="shared" si="859"/>
        <v>17520</v>
      </c>
      <c r="N300" s="559">
        <f>F300+190</f>
        <v>17480</v>
      </c>
      <c r="O300" s="257">
        <f t="shared" si="861"/>
        <v>17480</v>
      </c>
      <c r="P300" s="559">
        <f>F300+160</f>
        <v>17450</v>
      </c>
      <c r="Q300" s="257">
        <f t="shared" si="863"/>
        <v>17450</v>
      </c>
      <c r="R300" s="559">
        <f>F300+130</f>
        <v>17420</v>
      </c>
      <c r="S300" s="257">
        <f t="shared" si="865"/>
        <v>17420</v>
      </c>
      <c r="T300" s="559">
        <f>F300+110</f>
        <v>17400</v>
      </c>
      <c r="U300" s="257">
        <f t="shared" si="867"/>
        <v>17400</v>
      </c>
      <c r="V300" s="559">
        <f>F300+90</f>
        <v>17380</v>
      </c>
      <c r="W300" s="257">
        <f t="shared" si="869"/>
        <v>17380</v>
      </c>
      <c r="X300" s="299"/>
      <c r="Y300" s="300"/>
      <c r="Z300" s="300"/>
      <c r="AA300" s="301"/>
      <c r="AB300" s="178">
        <v>1028</v>
      </c>
      <c r="AC300" s="4"/>
      <c r="AD300" s="4"/>
      <c r="AE300" s="4"/>
      <c r="AF300" s="4"/>
      <c r="AG300" s="4"/>
      <c r="AH300" s="116"/>
      <c r="AI300" s="4"/>
      <c r="AJ300" s="4"/>
      <c r="AK300" s="4"/>
      <c r="AL300" s="4"/>
    </row>
    <row r="301" spans="1:38" s="1" customFormat="1" ht="12.6" customHeight="1" x14ac:dyDescent="0.2">
      <c r="A301" s="18"/>
      <c r="B301" s="687" t="s">
        <v>776</v>
      </c>
      <c r="C301" s="688"/>
      <c r="D301" s="688"/>
      <c r="E301" s="689"/>
      <c r="F301" s="293">
        <v>3150</v>
      </c>
      <c r="G301" s="258">
        <f t="shared" ref="G301" si="871">+F301*$X$1</f>
        <v>3150</v>
      </c>
      <c r="H301" s="576"/>
      <c r="I301" s="258"/>
      <c r="J301" s="576"/>
      <c r="K301" s="258"/>
      <c r="L301" s="576">
        <f t="shared" ref="L301:L303" si="872">F301+230</f>
        <v>3380</v>
      </c>
      <c r="M301" s="258">
        <f t="shared" ref="M301:M304" si="873">+L301*$X$1</f>
        <v>3380</v>
      </c>
      <c r="N301" s="576">
        <f t="shared" ref="N301:N303" si="874">F301+200</f>
        <v>3350</v>
      </c>
      <c r="O301" s="258">
        <f t="shared" ref="O301:O304" si="875">+N301*$X$1</f>
        <v>3350</v>
      </c>
      <c r="P301" s="576">
        <f t="shared" ref="P301:P303" si="876">F301+170</f>
        <v>3320</v>
      </c>
      <c r="Q301" s="258">
        <f t="shared" ref="Q301:Q304" si="877">+P301*$X$1</f>
        <v>3320</v>
      </c>
      <c r="R301" s="576">
        <f t="shared" ref="R301:R303" si="878">F301+150</f>
        <v>3300</v>
      </c>
      <c r="S301" s="258">
        <f t="shared" ref="S301:S304" si="879">+R301*$X$1</f>
        <v>3300</v>
      </c>
      <c r="T301" s="92">
        <f t="shared" ref="T301:T303" si="880">F301+130</f>
        <v>3280</v>
      </c>
      <c r="U301" s="272">
        <f t="shared" ref="U301:U304" si="881">+T301*$X$1</f>
        <v>3280</v>
      </c>
      <c r="V301" s="92">
        <f t="shared" ref="V301:V303" si="882">F301+110</f>
        <v>3260</v>
      </c>
      <c r="W301" s="272">
        <f t="shared" ref="W301:W304" si="883">+V301*$X$1</f>
        <v>3260</v>
      </c>
      <c r="X301" s="438"/>
      <c r="Y301" s="439"/>
      <c r="Z301" s="439"/>
      <c r="AA301" s="440"/>
      <c r="AB301" s="178">
        <v>1029</v>
      </c>
      <c r="AC301" s="4"/>
      <c r="AD301" s="4"/>
      <c r="AE301" s="4"/>
      <c r="AF301" s="4"/>
      <c r="AG301" s="4"/>
      <c r="AH301" s="116"/>
      <c r="AI301" s="4"/>
      <c r="AJ301" s="4"/>
      <c r="AK301" s="4"/>
      <c r="AL301" s="4"/>
    </row>
    <row r="302" spans="1:38" s="1" customFormat="1" ht="12.6" customHeight="1" x14ac:dyDescent="0.2">
      <c r="A302" s="18"/>
      <c r="B302" s="678" t="s">
        <v>544</v>
      </c>
      <c r="C302" s="679"/>
      <c r="D302" s="679"/>
      <c r="E302" s="680"/>
      <c r="F302" s="294">
        <v>3150</v>
      </c>
      <c r="G302" s="257">
        <f t="shared" si="870"/>
        <v>3150</v>
      </c>
      <c r="H302" s="559"/>
      <c r="I302" s="257"/>
      <c r="J302" s="559"/>
      <c r="K302" s="257"/>
      <c r="L302" s="559">
        <f t="shared" si="872"/>
        <v>3380</v>
      </c>
      <c r="M302" s="257">
        <f t="shared" si="873"/>
        <v>3380</v>
      </c>
      <c r="N302" s="559">
        <f t="shared" si="874"/>
        <v>3350</v>
      </c>
      <c r="O302" s="257">
        <f t="shared" si="875"/>
        <v>3350</v>
      </c>
      <c r="P302" s="559">
        <f t="shared" si="876"/>
        <v>3320</v>
      </c>
      <c r="Q302" s="257">
        <f t="shared" si="877"/>
        <v>3320</v>
      </c>
      <c r="R302" s="559">
        <f t="shared" si="878"/>
        <v>3300</v>
      </c>
      <c r="S302" s="257">
        <f t="shared" si="879"/>
        <v>3300</v>
      </c>
      <c r="T302" s="93">
        <f t="shared" si="880"/>
        <v>3280</v>
      </c>
      <c r="U302" s="235">
        <f t="shared" si="881"/>
        <v>3280</v>
      </c>
      <c r="V302" s="93">
        <f t="shared" si="882"/>
        <v>3260</v>
      </c>
      <c r="W302" s="235">
        <f t="shared" si="883"/>
        <v>3260</v>
      </c>
      <c r="X302" s="289"/>
      <c r="Y302" s="287"/>
      <c r="Z302" s="287"/>
      <c r="AA302" s="288"/>
      <c r="AB302" s="178">
        <v>1030</v>
      </c>
      <c r="AC302" s="4"/>
      <c r="AD302" s="4"/>
      <c r="AE302" s="4"/>
      <c r="AF302" s="4"/>
      <c r="AG302" s="4"/>
      <c r="AH302" s="116"/>
      <c r="AI302" s="4"/>
      <c r="AJ302" s="4"/>
      <c r="AK302" s="4"/>
      <c r="AL302" s="4"/>
    </row>
    <row r="303" spans="1:38" s="1" customFormat="1" ht="12.6" customHeight="1" x14ac:dyDescent="0.2">
      <c r="A303" s="18"/>
      <c r="B303" s="687" t="s">
        <v>545</v>
      </c>
      <c r="C303" s="688"/>
      <c r="D303" s="688"/>
      <c r="E303" s="689"/>
      <c r="F303" s="293">
        <v>3150</v>
      </c>
      <c r="G303" s="258">
        <f t="shared" ref="G303:G304" si="884">+F303*$X$1</f>
        <v>3150</v>
      </c>
      <c r="H303" s="576"/>
      <c r="I303" s="258"/>
      <c r="J303" s="576"/>
      <c r="K303" s="258"/>
      <c r="L303" s="576">
        <f t="shared" si="872"/>
        <v>3380</v>
      </c>
      <c r="M303" s="258">
        <f t="shared" si="873"/>
        <v>3380</v>
      </c>
      <c r="N303" s="576">
        <f t="shared" si="874"/>
        <v>3350</v>
      </c>
      <c r="O303" s="258">
        <f t="shared" si="875"/>
        <v>3350</v>
      </c>
      <c r="P303" s="576">
        <f t="shared" si="876"/>
        <v>3320</v>
      </c>
      <c r="Q303" s="258">
        <f t="shared" si="877"/>
        <v>3320</v>
      </c>
      <c r="R303" s="576">
        <f t="shared" si="878"/>
        <v>3300</v>
      </c>
      <c r="S303" s="258">
        <f t="shared" si="879"/>
        <v>3300</v>
      </c>
      <c r="T303" s="92">
        <f t="shared" si="880"/>
        <v>3280</v>
      </c>
      <c r="U303" s="272">
        <f t="shared" si="881"/>
        <v>3280</v>
      </c>
      <c r="V303" s="92">
        <f t="shared" si="882"/>
        <v>3260</v>
      </c>
      <c r="W303" s="272">
        <f t="shared" si="883"/>
        <v>3260</v>
      </c>
      <c r="X303" s="295"/>
      <c r="Y303" s="296"/>
      <c r="Z303" s="296"/>
      <c r="AA303" s="297"/>
      <c r="AB303" s="178">
        <v>1031</v>
      </c>
      <c r="AC303" s="4"/>
      <c r="AD303" s="4"/>
      <c r="AE303" s="4"/>
      <c r="AF303" s="4"/>
      <c r="AG303" s="4"/>
      <c r="AH303" s="116"/>
      <c r="AI303" s="4"/>
      <c r="AJ303" s="4"/>
      <c r="AK303" s="4"/>
      <c r="AL303" s="4"/>
    </row>
    <row r="304" spans="1:38" s="1" customFormat="1" ht="12.6" customHeight="1" x14ac:dyDescent="0.2">
      <c r="A304" s="18"/>
      <c r="B304" s="678" t="s">
        <v>786</v>
      </c>
      <c r="C304" s="679"/>
      <c r="D304" s="679"/>
      <c r="E304" s="680"/>
      <c r="F304" s="333">
        <f>14.9*X2</f>
        <v>19817</v>
      </c>
      <c r="G304" s="257">
        <f t="shared" si="884"/>
        <v>19817</v>
      </c>
      <c r="H304" s="68">
        <f>F304+600</f>
        <v>20417</v>
      </c>
      <c r="I304" s="257">
        <f t="shared" ref="I304:I314" si="885">+H304*$X$1</f>
        <v>20417</v>
      </c>
      <c r="J304" s="559">
        <f>F304+260</f>
        <v>20077</v>
      </c>
      <c r="K304" s="257">
        <f t="shared" ref="K304:K314" si="886">+J304*$X$1</f>
        <v>20077</v>
      </c>
      <c r="L304" s="559">
        <f>F304+220</f>
        <v>20037</v>
      </c>
      <c r="M304" s="257">
        <f t="shared" si="873"/>
        <v>20037</v>
      </c>
      <c r="N304" s="559">
        <f>F304+180</f>
        <v>19997</v>
      </c>
      <c r="O304" s="257">
        <f t="shared" si="875"/>
        <v>19997</v>
      </c>
      <c r="P304" s="559">
        <f>F304+150</f>
        <v>19967</v>
      </c>
      <c r="Q304" s="257">
        <f t="shared" si="877"/>
        <v>19967</v>
      </c>
      <c r="R304" s="559">
        <f>F304+120</f>
        <v>19937</v>
      </c>
      <c r="S304" s="257">
        <f t="shared" si="879"/>
        <v>19937</v>
      </c>
      <c r="T304" s="559">
        <f>F304+100</f>
        <v>19917</v>
      </c>
      <c r="U304" s="257">
        <f t="shared" si="881"/>
        <v>19917</v>
      </c>
      <c r="V304" s="559">
        <f>F304+80</f>
        <v>19897</v>
      </c>
      <c r="W304" s="257">
        <f t="shared" si="883"/>
        <v>19897</v>
      </c>
      <c r="X304" s="229"/>
      <c r="Y304" s="230"/>
      <c r="Z304" s="230"/>
      <c r="AA304" s="231"/>
      <c r="AB304" s="178">
        <v>1032</v>
      </c>
      <c r="AC304" s="4"/>
      <c r="AD304" s="4"/>
      <c r="AE304" s="4"/>
      <c r="AF304" s="4"/>
      <c r="AG304" s="4"/>
      <c r="AH304" s="116"/>
      <c r="AI304" s="4"/>
      <c r="AJ304" s="4"/>
      <c r="AK304" s="4"/>
      <c r="AL304" s="4"/>
    </row>
    <row r="305" spans="1:38" s="1" customFormat="1" ht="12.6" customHeight="1" x14ac:dyDescent="0.2">
      <c r="A305" s="18"/>
      <c r="B305" s="687" t="s">
        <v>427</v>
      </c>
      <c r="C305" s="688"/>
      <c r="D305" s="688"/>
      <c r="E305" s="689"/>
      <c r="F305" s="334">
        <f>20.46*X2</f>
        <v>27211.800000000003</v>
      </c>
      <c r="G305" s="258">
        <f t="shared" ref="G305" si="887">+F305*$X$1</f>
        <v>27211.800000000003</v>
      </c>
      <c r="H305" s="82">
        <f>F305+650</f>
        <v>27861.800000000003</v>
      </c>
      <c r="I305" s="258">
        <f t="shared" si="885"/>
        <v>27861.800000000003</v>
      </c>
      <c r="J305" s="576">
        <f>F305+280</f>
        <v>27491.800000000003</v>
      </c>
      <c r="K305" s="258">
        <f t="shared" si="886"/>
        <v>27491.800000000003</v>
      </c>
      <c r="L305" s="576">
        <f>F305+230</f>
        <v>27441.800000000003</v>
      </c>
      <c r="M305" s="258">
        <f t="shared" ref="M305:M307" si="888">+L305*$X$1</f>
        <v>27441.800000000003</v>
      </c>
      <c r="N305" s="576">
        <f>F305+190</f>
        <v>27401.800000000003</v>
      </c>
      <c r="O305" s="258">
        <f t="shared" ref="O305:O307" si="889">+N305*$X$1</f>
        <v>27401.800000000003</v>
      </c>
      <c r="P305" s="576">
        <f>F305+160</f>
        <v>27371.800000000003</v>
      </c>
      <c r="Q305" s="258">
        <f t="shared" ref="Q305:Q307" si="890">+P305*$X$1</f>
        <v>27371.800000000003</v>
      </c>
      <c r="R305" s="576">
        <f>F305+130</f>
        <v>27341.800000000003</v>
      </c>
      <c r="S305" s="258">
        <f t="shared" ref="S305:S307" si="891">+R305*$X$1</f>
        <v>27341.800000000003</v>
      </c>
      <c r="T305" s="576">
        <f>F305+110</f>
        <v>27321.800000000003</v>
      </c>
      <c r="U305" s="258">
        <f t="shared" ref="U305:U307" si="892">+T305*$X$1</f>
        <v>27321.800000000003</v>
      </c>
      <c r="V305" s="576">
        <f>F305+90</f>
        <v>27301.800000000003</v>
      </c>
      <c r="W305" s="258">
        <f t="shared" ref="W305:W307" si="893">+V305*$X$1</f>
        <v>27301.800000000003</v>
      </c>
      <c r="X305" s="222"/>
      <c r="Y305" s="224"/>
      <c r="Z305" s="224"/>
      <c r="AA305" s="223"/>
      <c r="AB305" s="178">
        <v>1034</v>
      </c>
      <c r="AC305" s="4"/>
      <c r="AD305" s="4"/>
      <c r="AE305" s="4"/>
      <c r="AF305" s="4"/>
      <c r="AG305" s="4"/>
      <c r="AH305" s="116"/>
      <c r="AI305" s="4"/>
      <c r="AJ305" s="4"/>
      <c r="AK305" s="4"/>
      <c r="AL305" s="4"/>
    </row>
    <row r="306" spans="1:38" ht="12.6" customHeight="1" x14ac:dyDescent="0.2">
      <c r="A306" s="17"/>
      <c r="B306" s="672" t="s">
        <v>391</v>
      </c>
      <c r="C306" s="673"/>
      <c r="D306" s="673"/>
      <c r="E306" s="673"/>
      <c r="F306" s="294">
        <v>11220</v>
      </c>
      <c r="G306" s="257">
        <f>+F306*$X$1</f>
        <v>11220</v>
      </c>
      <c r="H306" s="68">
        <f>F306+600</f>
        <v>11820</v>
      </c>
      <c r="I306" s="257">
        <f t="shared" si="885"/>
        <v>11820</v>
      </c>
      <c r="J306" s="559">
        <f>F306+260</f>
        <v>11480</v>
      </c>
      <c r="K306" s="257">
        <f t="shared" si="886"/>
        <v>11480</v>
      </c>
      <c r="L306" s="559">
        <f>F306+220</f>
        <v>11440</v>
      </c>
      <c r="M306" s="257">
        <f t="shared" si="888"/>
        <v>11440</v>
      </c>
      <c r="N306" s="559">
        <f>F306+180</f>
        <v>11400</v>
      </c>
      <c r="O306" s="257">
        <f t="shared" si="889"/>
        <v>11400</v>
      </c>
      <c r="P306" s="559">
        <f>F306+150</f>
        <v>11370</v>
      </c>
      <c r="Q306" s="257">
        <f t="shared" si="890"/>
        <v>11370</v>
      </c>
      <c r="R306" s="559">
        <f>F306+120</f>
        <v>11340</v>
      </c>
      <c r="S306" s="257">
        <f t="shared" si="891"/>
        <v>11340</v>
      </c>
      <c r="T306" s="559">
        <f>F306+100</f>
        <v>11320</v>
      </c>
      <c r="U306" s="257">
        <f t="shared" si="892"/>
        <v>11320</v>
      </c>
      <c r="V306" s="559">
        <f>F306+80</f>
        <v>11300</v>
      </c>
      <c r="W306" s="257">
        <f t="shared" si="893"/>
        <v>11300</v>
      </c>
      <c r="X306" s="714"/>
      <c r="Y306" s="715"/>
      <c r="Z306" s="715"/>
      <c r="AA306" s="716"/>
      <c r="AB306" s="178">
        <v>1040</v>
      </c>
      <c r="AC306" s="61"/>
    </row>
    <row r="307" spans="1:38" ht="12.6" customHeight="1" x14ac:dyDescent="0.2">
      <c r="A307" s="17"/>
      <c r="B307" s="667" t="s">
        <v>707</v>
      </c>
      <c r="C307" s="668"/>
      <c r="D307" s="668"/>
      <c r="E307" s="668"/>
      <c r="F307" s="334">
        <f>21.21*X2</f>
        <v>28209.300000000003</v>
      </c>
      <c r="G307" s="258">
        <f>+F307*$X$1</f>
        <v>28209.300000000003</v>
      </c>
      <c r="H307" s="82">
        <f>F307+600</f>
        <v>28809.300000000003</v>
      </c>
      <c r="I307" s="258">
        <f t="shared" si="885"/>
        <v>28809.300000000003</v>
      </c>
      <c r="J307" s="576">
        <f>F307+260</f>
        <v>28469.300000000003</v>
      </c>
      <c r="K307" s="258">
        <f t="shared" si="886"/>
        <v>28469.300000000003</v>
      </c>
      <c r="L307" s="576">
        <f>F307+220</f>
        <v>28429.300000000003</v>
      </c>
      <c r="M307" s="258">
        <f t="shared" si="888"/>
        <v>28429.300000000003</v>
      </c>
      <c r="N307" s="576">
        <f>F307+180</f>
        <v>28389.300000000003</v>
      </c>
      <c r="O307" s="258">
        <f t="shared" si="889"/>
        <v>28389.300000000003</v>
      </c>
      <c r="P307" s="576">
        <f>F307+150</f>
        <v>28359.300000000003</v>
      </c>
      <c r="Q307" s="258">
        <f t="shared" si="890"/>
        <v>28359.300000000003</v>
      </c>
      <c r="R307" s="576">
        <f>F307+120</f>
        <v>28329.300000000003</v>
      </c>
      <c r="S307" s="258">
        <f t="shared" si="891"/>
        <v>28329.300000000003</v>
      </c>
      <c r="T307" s="576">
        <f>F307+100</f>
        <v>28309.300000000003</v>
      </c>
      <c r="U307" s="258">
        <f t="shared" si="892"/>
        <v>28309.300000000003</v>
      </c>
      <c r="V307" s="576">
        <f>F307+80</f>
        <v>28289.300000000003</v>
      </c>
      <c r="W307" s="258">
        <f t="shared" si="893"/>
        <v>28289.300000000003</v>
      </c>
      <c r="X307" s="714"/>
      <c r="Y307" s="715"/>
      <c r="Z307" s="715"/>
      <c r="AA307" s="716"/>
      <c r="AB307" s="178">
        <v>1041</v>
      </c>
      <c r="AC307" s="61"/>
    </row>
    <row r="308" spans="1:38" ht="12.6" customHeight="1" x14ac:dyDescent="0.2">
      <c r="A308" s="17"/>
      <c r="B308" s="672" t="s">
        <v>706</v>
      </c>
      <c r="C308" s="673"/>
      <c r="D308" s="673"/>
      <c r="E308" s="673"/>
      <c r="F308" s="333">
        <f>12.7*X2</f>
        <v>16891</v>
      </c>
      <c r="G308" s="257">
        <f t="shared" ref="G308" si="894">+F308*$X$1</f>
        <v>16891</v>
      </c>
      <c r="H308" s="68">
        <f>F308+650</f>
        <v>17541</v>
      </c>
      <c r="I308" s="257">
        <f t="shared" si="885"/>
        <v>17541</v>
      </c>
      <c r="J308" s="559">
        <f>F308+280</f>
        <v>17171</v>
      </c>
      <c r="K308" s="257">
        <f t="shared" si="886"/>
        <v>17171</v>
      </c>
      <c r="L308" s="559">
        <f>F308+230</f>
        <v>17121</v>
      </c>
      <c r="M308" s="257">
        <f t="shared" ref="M308:M315" si="895">+L308*$X$1</f>
        <v>17121</v>
      </c>
      <c r="N308" s="559">
        <f>F308+190</f>
        <v>17081</v>
      </c>
      <c r="O308" s="257">
        <f t="shared" ref="O308:O315" si="896">+N308*$X$1</f>
        <v>17081</v>
      </c>
      <c r="P308" s="559">
        <f>F308+160</f>
        <v>17051</v>
      </c>
      <c r="Q308" s="257">
        <f t="shared" ref="Q308:Q315" si="897">+P308*$X$1</f>
        <v>17051</v>
      </c>
      <c r="R308" s="559">
        <f>F308+130</f>
        <v>17021</v>
      </c>
      <c r="S308" s="257">
        <f t="shared" ref="S308:S315" si="898">+R308*$X$1</f>
        <v>17021</v>
      </c>
      <c r="T308" s="559">
        <f>F308+110</f>
        <v>17001</v>
      </c>
      <c r="U308" s="257">
        <f t="shared" ref="U308:U315" si="899">+T308*$X$1</f>
        <v>17001</v>
      </c>
      <c r="V308" s="559">
        <f>F308+90</f>
        <v>16981</v>
      </c>
      <c r="W308" s="257">
        <f t="shared" ref="W308:W315" si="900">+V308*$X$1</f>
        <v>16981</v>
      </c>
      <c r="X308" s="714"/>
      <c r="Y308" s="715"/>
      <c r="Z308" s="715"/>
      <c r="AA308" s="716"/>
      <c r="AB308" s="178">
        <v>1042</v>
      </c>
    </row>
    <row r="309" spans="1:38" ht="12.6" customHeight="1" x14ac:dyDescent="0.2">
      <c r="A309" s="17"/>
      <c r="B309" s="667" t="s">
        <v>476</v>
      </c>
      <c r="C309" s="668"/>
      <c r="D309" s="668"/>
      <c r="E309" s="668"/>
      <c r="F309" s="293">
        <v>17690</v>
      </c>
      <c r="G309" s="258">
        <f t="shared" ref="G309:G315" si="901">+F309*$X$1</f>
        <v>17690</v>
      </c>
      <c r="H309" s="82">
        <f t="shared" ref="H309:H314" si="902">F309+600</f>
        <v>18290</v>
      </c>
      <c r="I309" s="258">
        <f t="shared" si="885"/>
        <v>18290</v>
      </c>
      <c r="J309" s="576">
        <f t="shared" ref="J309:J314" si="903">F309+260</f>
        <v>17950</v>
      </c>
      <c r="K309" s="258">
        <f t="shared" si="886"/>
        <v>17950</v>
      </c>
      <c r="L309" s="576">
        <f t="shared" ref="L309:L314" si="904">F309+220</f>
        <v>17910</v>
      </c>
      <c r="M309" s="258">
        <f t="shared" si="895"/>
        <v>17910</v>
      </c>
      <c r="N309" s="576">
        <f t="shared" ref="N309:N314" si="905">F309+180</f>
        <v>17870</v>
      </c>
      <c r="O309" s="258">
        <f t="shared" si="896"/>
        <v>17870</v>
      </c>
      <c r="P309" s="576">
        <f t="shared" ref="P309:P314" si="906">F309+150</f>
        <v>17840</v>
      </c>
      <c r="Q309" s="258">
        <f t="shared" si="897"/>
        <v>17840</v>
      </c>
      <c r="R309" s="576">
        <f t="shared" ref="R309:R314" si="907">F309+120</f>
        <v>17810</v>
      </c>
      <c r="S309" s="258">
        <f t="shared" si="898"/>
        <v>17810</v>
      </c>
      <c r="T309" s="576">
        <f t="shared" ref="T309:T314" si="908">F309+100</f>
        <v>17790</v>
      </c>
      <c r="U309" s="258">
        <f t="shared" si="899"/>
        <v>17790</v>
      </c>
      <c r="V309" s="576">
        <f t="shared" ref="V309:V314" si="909">F309+80</f>
        <v>17770</v>
      </c>
      <c r="W309" s="258">
        <f t="shared" si="900"/>
        <v>17770</v>
      </c>
      <c r="X309" s="714"/>
      <c r="Y309" s="715"/>
      <c r="Z309" s="715"/>
      <c r="AA309" s="716"/>
      <c r="AB309" s="178">
        <v>1043</v>
      </c>
      <c r="AC309" s="61"/>
    </row>
    <row r="310" spans="1:38" ht="12.6" customHeight="1" x14ac:dyDescent="0.2">
      <c r="A310" s="17"/>
      <c r="B310" s="672" t="s">
        <v>918</v>
      </c>
      <c r="C310" s="673"/>
      <c r="D310" s="673"/>
      <c r="E310" s="673"/>
      <c r="F310" s="294">
        <v>20690</v>
      </c>
      <c r="G310" s="257">
        <f t="shared" si="901"/>
        <v>20690</v>
      </c>
      <c r="H310" s="68">
        <f t="shared" si="902"/>
        <v>21290</v>
      </c>
      <c r="I310" s="257">
        <f t="shared" si="885"/>
        <v>21290</v>
      </c>
      <c r="J310" s="559">
        <f t="shared" si="903"/>
        <v>20950</v>
      </c>
      <c r="K310" s="257">
        <f t="shared" si="886"/>
        <v>20950</v>
      </c>
      <c r="L310" s="559">
        <f t="shared" si="904"/>
        <v>20910</v>
      </c>
      <c r="M310" s="257">
        <f t="shared" si="895"/>
        <v>20910</v>
      </c>
      <c r="N310" s="559">
        <f t="shared" si="905"/>
        <v>20870</v>
      </c>
      <c r="O310" s="257">
        <f t="shared" si="896"/>
        <v>20870</v>
      </c>
      <c r="P310" s="559">
        <f t="shared" si="906"/>
        <v>20840</v>
      </c>
      <c r="Q310" s="257">
        <f t="shared" si="897"/>
        <v>20840</v>
      </c>
      <c r="R310" s="559">
        <f t="shared" si="907"/>
        <v>20810</v>
      </c>
      <c r="S310" s="257">
        <f t="shared" si="898"/>
        <v>20810</v>
      </c>
      <c r="T310" s="559">
        <f t="shared" si="908"/>
        <v>20790</v>
      </c>
      <c r="U310" s="257">
        <f t="shared" si="899"/>
        <v>20790</v>
      </c>
      <c r="V310" s="559">
        <f t="shared" si="909"/>
        <v>20770</v>
      </c>
      <c r="W310" s="257">
        <f t="shared" si="900"/>
        <v>20770</v>
      </c>
      <c r="X310" s="714"/>
      <c r="Y310" s="715"/>
      <c r="Z310" s="715"/>
      <c r="AA310" s="716"/>
      <c r="AB310" s="178">
        <v>1044</v>
      </c>
      <c r="AC310" s="61"/>
    </row>
    <row r="311" spans="1:38" ht="12.6" customHeight="1" x14ac:dyDescent="0.2">
      <c r="A311" s="17"/>
      <c r="B311" s="709" t="s">
        <v>739</v>
      </c>
      <c r="C311" s="710"/>
      <c r="D311" s="710"/>
      <c r="E311" s="710"/>
      <c r="F311" s="589">
        <v>19690</v>
      </c>
      <c r="G311" s="469">
        <f>+F311*$X$1</f>
        <v>19690</v>
      </c>
      <c r="H311" s="471">
        <f t="shared" si="902"/>
        <v>20290</v>
      </c>
      <c r="I311" s="469">
        <f t="shared" si="885"/>
        <v>20290</v>
      </c>
      <c r="J311" s="596">
        <f t="shared" si="903"/>
        <v>19950</v>
      </c>
      <c r="K311" s="469">
        <f t="shared" si="886"/>
        <v>19950</v>
      </c>
      <c r="L311" s="596">
        <f t="shared" si="904"/>
        <v>19910</v>
      </c>
      <c r="M311" s="469">
        <f t="shared" si="895"/>
        <v>19910</v>
      </c>
      <c r="N311" s="596">
        <f t="shared" si="905"/>
        <v>19870</v>
      </c>
      <c r="O311" s="469">
        <f t="shared" si="896"/>
        <v>19870</v>
      </c>
      <c r="P311" s="596">
        <f t="shared" si="906"/>
        <v>19840</v>
      </c>
      <c r="Q311" s="469">
        <f t="shared" si="897"/>
        <v>19840</v>
      </c>
      <c r="R311" s="596">
        <f t="shared" si="907"/>
        <v>19810</v>
      </c>
      <c r="S311" s="469">
        <f t="shared" si="898"/>
        <v>19810</v>
      </c>
      <c r="T311" s="596">
        <f t="shared" si="908"/>
        <v>19790</v>
      </c>
      <c r="U311" s="469">
        <f t="shared" si="899"/>
        <v>19790</v>
      </c>
      <c r="V311" s="596">
        <f t="shared" si="909"/>
        <v>19770</v>
      </c>
      <c r="W311" s="469">
        <f t="shared" si="900"/>
        <v>19770</v>
      </c>
      <c r="X311" s="715"/>
      <c r="Y311" s="715"/>
      <c r="Z311" s="715"/>
      <c r="AA311" s="716"/>
      <c r="AB311" s="178">
        <v>1045</v>
      </c>
      <c r="AC311" s="61"/>
    </row>
    <row r="312" spans="1:38" ht="12.6" customHeight="1" x14ac:dyDescent="0.2">
      <c r="A312" s="17"/>
      <c r="B312" s="667" t="s">
        <v>508</v>
      </c>
      <c r="C312" s="668"/>
      <c r="D312" s="668"/>
      <c r="E312" s="668"/>
      <c r="F312" s="293">
        <v>11390</v>
      </c>
      <c r="G312" s="258">
        <f t="shared" si="901"/>
        <v>11390</v>
      </c>
      <c r="H312" s="82">
        <f t="shared" si="902"/>
        <v>11990</v>
      </c>
      <c r="I312" s="258">
        <f t="shared" si="885"/>
        <v>11990</v>
      </c>
      <c r="J312" s="576">
        <f t="shared" si="903"/>
        <v>11650</v>
      </c>
      <c r="K312" s="258">
        <f t="shared" si="886"/>
        <v>11650</v>
      </c>
      <c r="L312" s="576">
        <f t="shared" si="904"/>
        <v>11610</v>
      </c>
      <c r="M312" s="258">
        <f t="shared" si="895"/>
        <v>11610</v>
      </c>
      <c r="N312" s="576">
        <f t="shared" si="905"/>
        <v>11570</v>
      </c>
      <c r="O312" s="258">
        <f t="shared" si="896"/>
        <v>11570</v>
      </c>
      <c r="P312" s="576">
        <f t="shared" si="906"/>
        <v>11540</v>
      </c>
      <c r="Q312" s="258">
        <f t="shared" si="897"/>
        <v>11540</v>
      </c>
      <c r="R312" s="576">
        <f t="shared" si="907"/>
        <v>11510</v>
      </c>
      <c r="S312" s="258">
        <f t="shared" si="898"/>
        <v>11510</v>
      </c>
      <c r="T312" s="576">
        <f t="shared" si="908"/>
        <v>11490</v>
      </c>
      <c r="U312" s="258">
        <f t="shared" si="899"/>
        <v>11490</v>
      </c>
      <c r="V312" s="576">
        <f t="shared" si="909"/>
        <v>11470</v>
      </c>
      <c r="W312" s="258">
        <f t="shared" si="900"/>
        <v>11470</v>
      </c>
      <c r="X312" s="714"/>
      <c r="Y312" s="715"/>
      <c r="Z312" s="715"/>
      <c r="AA312" s="716"/>
      <c r="AB312" s="178">
        <v>1048</v>
      </c>
      <c r="AC312" s="61"/>
    </row>
    <row r="313" spans="1:38" ht="12.6" customHeight="1" x14ac:dyDescent="0.2">
      <c r="A313" s="17"/>
      <c r="B313" s="672" t="s">
        <v>507</v>
      </c>
      <c r="C313" s="673"/>
      <c r="D313" s="673"/>
      <c r="E313" s="673"/>
      <c r="F313" s="294">
        <v>8895</v>
      </c>
      <c r="G313" s="257">
        <f t="shared" si="901"/>
        <v>8895</v>
      </c>
      <c r="H313" s="68">
        <f t="shared" si="902"/>
        <v>9495</v>
      </c>
      <c r="I313" s="257">
        <f t="shared" si="885"/>
        <v>9495</v>
      </c>
      <c r="J313" s="559">
        <f t="shared" si="903"/>
        <v>9155</v>
      </c>
      <c r="K313" s="257">
        <f t="shared" si="886"/>
        <v>9155</v>
      </c>
      <c r="L313" s="559">
        <f t="shared" si="904"/>
        <v>9115</v>
      </c>
      <c r="M313" s="257">
        <f t="shared" si="895"/>
        <v>9115</v>
      </c>
      <c r="N313" s="559">
        <f t="shared" si="905"/>
        <v>9075</v>
      </c>
      <c r="O313" s="257">
        <f t="shared" si="896"/>
        <v>9075</v>
      </c>
      <c r="P313" s="559">
        <f t="shared" si="906"/>
        <v>9045</v>
      </c>
      <c r="Q313" s="257">
        <f t="shared" si="897"/>
        <v>9045</v>
      </c>
      <c r="R313" s="559">
        <f t="shared" si="907"/>
        <v>9015</v>
      </c>
      <c r="S313" s="257">
        <f t="shared" si="898"/>
        <v>9015</v>
      </c>
      <c r="T313" s="559">
        <f t="shared" si="908"/>
        <v>8995</v>
      </c>
      <c r="U313" s="257">
        <f t="shared" si="899"/>
        <v>8995</v>
      </c>
      <c r="V313" s="559">
        <f t="shared" si="909"/>
        <v>8975</v>
      </c>
      <c r="W313" s="257">
        <f t="shared" si="900"/>
        <v>8975</v>
      </c>
      <c r="X313" s="714"/>
      <c r="Y313" s="715"/>
      <c r="Z313" s="715"/>
      <c r="AA313" s="716"/>
      <c r="AB313" s="178">
        <v>1049</v>
      </c>
      <c r="AC313" s="61"/>
    </row>
    <row r="314" spans="1:38" ht="12.6" customHeight="1" x14ac:dyDescent="0.2">
      <c r="A314" s="17"/>
      <c r="B314" s="667" t="s">
        <v>509</v>
      </c>
      <c r="C314" s="668"/>
      <c r="D314" s="668"/>
      <c r="E314" s="668"/>
      <c r="F314" s="293">
        <v>10250</v>
      </c>
      <c r="G314" s="258">
        <f t="shared" si="901"/>
        <v>10250</v>
      </c>
      <c r="H314" s="82">
        <f t="shared" si="902"/>
        <v>10850</v>
      </c>
      <c r="I314" s="258">
        <f t="shared" si="885"/>
        <v>10850</v>
      </c>
      <c r="J314" s="576">
        <f t="shared" si="903"/>
        <v>10510</v>
      </c>
      <c r="K314" s="258">
        <f t="shared" si="886"/>
        <v>10510</v>
      </c>
      <c r="L314" s="576">
        <f t="shared" si="904"/>
        <v>10470</v>
      </c>
      <c r="M314" s="258">
        <f t="shared" si="895"/>
        <v>10470</v>
      </c>
      <c r="N314" s="576">
        <f t="shared" si="905"/>
        <v>10430</v>
      </c>
      <c r="O314" s="258">
        <f t="shared" si="896"/>
        <v>10430</v>
      </c>
      <c r="P314" s="576">
        <f t="shared" si="906"/>
        <v>10400</v>
      </c>
      <c r="Q314" s="258">
        <f t="shared" si="897"/>
        <v>10400</v>
      </c>
      <c r="R314" s="576">
        <f t="shared" si="907"/>
        <v>10370</v>
      </c>
      <c r="S314" s="258">
        <f t="shared" si="898"/>
        <v>10370</v>
      </c>
      <c r="T314" s="576">
        <f t="shared" si="908"/>
        <v>10350</v>
      </c>
      <c r="U314" s="258">
        <f t="shared" si="899"/>
        <v>10350</v>
      </c>
      <c r="V314" s="576">
        <f t="shared" si="909"/>
        <v>10330</v>
      </c>
      <c r="W314" s="258">
        <f t="shared" si="900"/>
        <v>10330</v>
      </c>
      <c r="X314" s="714"/>
      <c r="Y314" s="715"/>
      <c r="Z314" s="715"/>
      <c r="AA314" s="716"/>
      <c r="AB314" s="178">
        <v>1050</v>
      </c>
      <c r="AC314" s="61"/>
    </row>
    <row r="315" spans="1:38" ht="12.6" customHeight="1" x14ac:dyDescent="0.2">
      <c r="A315" s="17"/>
      <c r="B315" s="790" t="s">
        <v>921</v>
      </c>
      <c r="C315" s="791"/>
      <c r="D315" s="791"/>
      <c r="E315" s="791"/>
      <c r="F315" s="337">
        <f>13.1*X2</f>
        <v>17423</v>
      </c>
      <c r="G315" s="274">
        <f t="shared" si="901"/>
        <v>17423</v>
      </c>
      <c r="H315" s="559">
        <f>F315+800</f>
        <v>18223</v>
      </c>
      <c r="I315" s="257">
        <f>+H315*$X$1</f>
        <v>18223</v>
      </c>
      <c r="J315" s="559">
        <f>F315+600</f>
        <v>18023</v>
      </c>
      <c r="K315" s="257">
        <f>+J315*$X$1</f>
        <v>18023</v>
      </c>
      <c r="L315" s="559">
        <f>F315+500</f>
        <v>17923</v>
      </c>
      <c r="M315" s="257">
        <f t="shared" si="895"/>
        <v>17923</v>
      </c>
      <c r="N315" s="559">
        <f>F315+450</f>
        <v>17873</v>
      </c>
      <c r="O315" s="257">
        <f t="shared" si="896"/>
        <v>17873</v>
      </c>
      <c r="P315" s="559">
        <f>F315+360</f>
        <v>17783</v>
      </c>
      <c r="Q315" s="257">
        <f t="shared" si="897"/>
        <v>17783</v>
      </c>
      <c r="R315" s="559">
        <f>F315+330</f>
        <v>17753</v>
      </c>
      <c r="S315" s="257">
        <f t="shared" si="898"/>
        <v>17753</v>
      </c>
      <c r="T315" s="93">
        <f>F315+300</f>
        <v>17723</v>
      </c>
      <c r="U315" s="235">
        <f t="shared" si="899"/>
        <v>17723</v>
      </c>
      <c r="V315" s="93">
        <f>F315+260</f>
        <v>17683</v>
      </c>
      <c r="W315" s="235">
        <f t="shared" si="900"/>
        <v>17683</v>
      </c>
      <c r="X315" s="135"/>
      <c r="Y315" s="135"/>
      <c r="Z315" s="135"/>
      <c r="AA315" s="135"/>
      <c r="AB315" s="178">
        <v>1051</v>
      </c>
    </row>
    <row r="316" spans="1:38" ht="12.75" customHeight="1" x14ac:dyDescent="0.2">
      <c r="A316" s="17"/>
      <c r="B316" s="3"/>
      <c r="C316" s="3"/>
      <c r="D316" s="3"/>
      <c r="E316" s="3"/>
      <c r="F316" s="4"/>
      <c r="G316" s="4"/>
      <c r="H316" s="22"/>
      <c r="I316" s="22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7"/>
      <c r="W316" s="7"/>
    </row>
    <row r="317" spans="1:38" ht="12.75" customHeight="1" x14ac:dyDescent="0.2">
      <c r="A317" s="17"/>
      <c r="B317" s="3"/>
      <c r="C317" s="3"/>
      <c r="D317" s="3"/>
      <c r="E317" s="3"/>
      <c r="F317" s="4"/>
      <c r="G317" s="4"/>
      <c r="H317" s="22"/>
      <c r="I317" s="22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7"/>
      <c r="W317" s="7"/>
    </row>
    <row r="318" spans="1:38" ht="12.75" customHeight="1" x14ac:dyDescent="0.2">
      <c r="A318" s="17"/>
      <c r="B318" s="62"/>
      <c r="C318" s="62"/>
      <c r="D318" s="62"/>
      <c r="E318" s="62"/>
      <c r="F318" s="4"/>
      <c r="G318" s="4"/>
      <c r="H318" s="22"/>
      <c r="I318" s="22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7"/>
      <c r="W318" s="7"/>
    </row>
    <row r="319" spans="1:38" ht="14.25" customHeight="1" x14ac:dyDescent="0.2">
      <c r="A319" s="17"/>
      <c r="B319" s="796" t="s">
        <v>11</v>
      </c>
      <c r="C319" s="765" t="s">
        <v>12</v>
      </c>
      <c r="D319" s="766"/>
      <c r="E319" s="766"/>
      <c r="F319" s="649" t="s">
        <v>13</v>
      </c>
      <c r="G319" s="649" t="s">
        <v>13</v>
      </c>
      <c r="H319" s="651" t="s">
        <v>742</v>
      </c>
      <c r="I319" s="651"/>
      <c r="J319" s="652"/>
      <c r="K319" s="652"/>
      <c r="L319" s="652"/>
      <c r="M319" s="652"/>
      <c r="N319" s="652"/>
      <c r="O319" s="652"/>
      <c r="P319" s="652"/>
      <c r="Q319" s="652"/>
      <c r="R319" s="652"/>
      <c r="S319" s="652"/>
      <c r="T319" s="652"/>
      <c r="U319" s="652"/>
      <c r="V319" s="652"/>
      <c r="W319" s="652"/>
      <c r="X319" s="653" t="s">
        <v>14</v>
      </c>
      <c r="Y319" s="702"/>
      <c r="Z319" s="702"/>
      <c r="AA319" s="703"/>
      <c r="AB319" s="638" t="s">
        <v>15</v>
      </c>
      <c r="AF319" s="640" t="s">
        <v>3</v>
      </c>
      <c r="AG319" s="641"/>
      <c r="AH319" s="641"/>
    </row>
    <row r="320" spans="1:38" ht="11.25" customHeight="1" x14ac:dyDescent="0.2">
      <c r="A320" s="17"/>
      <c r="B320" s="796"/>
      <c r="C320" s="766"/>
      <c r="D320" s="766"/>
      <c r="E320" s="766"/>
      <c r="F320" s="650"/>
      <c r="G320" s="650"/>
      <c r="H320" s="421"/>
      <c r="I320" s="413" t="s">
        <v>267</v>
      </c>
      <c r="J320" s="415"/>
      <c r="K320" s="413" t="s">
        <v>17</v>
      </c>
      <c r="L320" s="416"/>
      <c r="M320" s="416" t="s">
        <v>18</v>
      </c>
      <c r="N320" s="416"/>
      <c r="O320" s="413" t="s">
        <v>19</v>
      </c>
      <c r="P320" s="416"/>
      <c r="Q320" s="416" t="s">
        <v>268</v>
      </c>
      <c r="R320" s="416"/>
      <c r="S320" s="416" t="s">
        <v>20</v>
      </c>
      <c r="T320" s="416"/>
      <c r="U320" s="416" t="s">
        <v>21</v>
      </c>
      <c r="V320" s="416"/>
      <c r="W320" s="416" t="s">
        <v>22</v>
      </c>
      <c r="X320" s="704"/>
      <c r="Y320" s="705"/>
      <c r="Z320" s="705"/>
      <c r="AA320" s="706"/>
      <c r="AB320" s="639"/>
    </row>
    <row r="321" spans="1:29" ht="12.6" customHeight="1" x14ac:dyDescent="0.2">
      <c r="A321" s="17"/>
      <c r="B321" s="781" t="s">
        <v>740</v>
      </c>
      <c r="C321" s="782"/>
      <c r="D321" s="782"/>
      <c r="E321" s="783"/>
      <c r="F321" s="473">
        <f>11.1*X2</f>
        <v>14763</v>
      </c>
      <c r="G321" s="469">
        <f t="shared" ref="G321" si="910">+F321*$X$1</f>
        <v>14763</v>
      </c>
      <c r="H321" s="471">
        <f>F321+600</f>
        <v>15363</v>
      </c>
      <c r="I321" s="469">
        <f>+H321*$X$1</f>
        <v>15363</v>
      </c>
      <c r="J321" s="554">
        <f>F321+260</f>
        <v>15023</v>
      </c>
      <c r="K321" s="469">
        <f>+J321*$X$1</f>
        <v>15023</v>
      </c>
      <c r="L321" s="554">
        <f>F321+220</f>
        <v>14983</v>
      </c>
      <c r="M321" s="469">
        <f>+L321*$X$1</f>
        <v>14983</v>
      </c>
      <c r="N321" s="554">
        <f>F321+180</f>
        <v>14943</v>
      </c>
      <c r="O321" s="469">
        <f>+N321*$X$1</f>
        <v>14943</v>
      </c>
      <c r="P321" s="554">
        <f>F321+150</f>
        <v>14913</v>
      </c>
      <c r="Q321" s="469">
        <f>+P321*$X$1</f>
        <v>14913</v>
      </c>
      <c r="R321" s="554">
        <f>F321+120</f>
        <v>14883</v>
      </c>
      <c r="S321" s="469">
        <f>+R321*$X$1</f>
        <v>14883</v>
      </c>
      <c r="T321" s="554">
        <f>F321+100</f>
        <v>14863</v>
      </c>
      <c r="U321" s="469">
        <f>+T321*$X$1</f>
        <v>14863</v>
      </c>
      <c r="V321" s="554">
        <f>F321+80</f>
        <v>14843</v>
      </c>
      <c r="W321" s="469">
        <f>+V321*$X$1</f>
        <v>14843</v>
      </c>
      <c r="X321" s="714"/>
      <c r="Y321" s="715"/>
      <c r="Z321" s="715"/>
      <c r="AA321" s="716"/>
      <c r="AB321" s="178">
        <v>1052</v>
      </c>
      <c r="AC321" s="61"/>
    </row>
    <row r="322" spans="1:29" ht="12.6" customHeight="1" x14ac:dyDescent="0.2">
      <c r="A322" s="17"/>
      <c r="B322" s="687" t="s">
        <v>419</v>
      </c>
      <c r="C322" s="800"/>
      <c r="D322" s="800"/>
      <c r="E322" s="801"/>
      <c r="F322" s="334">
        <f>24.4*X2</f>
        <v>32451.999999999996</v>
      </c>
      <c r="G322" s="258">
        <f>+F322*$X$1</f>
        <v>32451.999999999996</v>
      </c>
      <c r="H322" s="82">
        <f>F322+600</f>
        <v>33052</v>
      </c>
      <c r="I322" s="258">
        <f>+H322*$X$1</f>
        <v>33052</v>
      </c>
      <c r="J322" s="576">
        <f>F322+260</f>
        <v>32711.999999999996</v>
      </c>
      <c r="K322" s="258">
        <f>+J322*$X$1</f>
        <v>32711.999999999996</v>
      </c>
      <c r="L322" s="576">
        <f>F322+220</f>
        <v>32671.999999999996</v>
      </c>
      <c r="M322" s="258">
        <f>+L322*$X$1</f>
        <v>32671.999999999996</v>
      </c>
      <c r="N322" s="576">
        <f>F322+180</f>
        <v>32631.999999999996</v>
      </c>
      <c r="O322" s="258">
        <f>+N322*$X$1</f>
        <v>32631.999999999996</v>
      </c>
      <c r="P322" s="576">
        <f>F322+150</f>
        <v>32601.999999999996</v>
      </c>
      <c r="Q322" s="258">
        <f>+P322*$X$1</f>
        <v>32601.999999999996</v>
      </c>
      <c r="R322" s="576">
        <f>F322+120</f>
        <v>32571.999999999996</v>
      </c>
      <c r="S322" s="258">
        <f>+R322*$X$1</f>
        <v>32571.999999999996</v>
      </c>
      <c r="T322" s="576">
        <f>F322+100</f>
        <v>32551.999999999996</v>
      </c>
      <c r="U322" s="258">
        <f>+T322*$X$1</f>
        <v>32551.999999999996</v>
      </c>
      <c r="V322" s="576">
        <f>F322+80</f>
        <v>32531.999999999996</v>
      </c>
      <c r="W322" s="258">
        <f>+V322*$X$1</f>
        <v>32531.999999999996</v>
      </c>
      <c r="X322" s="714"/>
      <c r="Y322" s="715"/>
      <c r="Z322" s="715"/>
      <c r="AA322" s="716"/>
      <c r="AB322" s="178">
        <v>1053</v>
      </c>
      <c r="AC322" s="61"/>
    </row>
    <row r="323" spans="1:29" ht="12.6" customHeight="1" x14ac:dyDescent="0.2">
      <c r="A323" s="17"/>
      <c r="B323" s="781" t="s">
        <v>791</v>
      </c>
      <c r="C323" s="782"/>
      <c r="D323" s="782"/>
      <c r="E323" s="783"/>
      <c r="F323" s="473">
        <f>9*X2</f>
        <v>11970</v>
      </c>
      <c r="G323" s="469">
        <f t="shared" ref="G323" si="911">+F323*$X$1</f>
        <v>11970</v>
      </c>
      <c r="H323" s="471">
        <f>F323+600</f>
        <v>12570</v>
      </c>
      <c r="I323" s="469">
        <f>+H323*$X$1</f>
        <v>12570</v>
      </c>
      <c r="J323" s="554">
        <f>F323+260</f>
        <v>12230</v>
      </c>
      <c r="K323" s="469">
        <f>+J323*$X$1</f>
        <v>12230</v>
      </c>
      <c r="L323" s="554">
        <f>F323+220</f>
        <v>12190</v>
      </c>
      <c r="M323" s="469">
        <f>+L323*$X$1</f>
        <v>12190</v>
      </c>
      <c r="N323" s="554">
        <f>F323+180</f>
        <v>12150</v>
      </c>
      <c r="O323" s="469">
        <f>+N323*$X$1</f>
        <v>12150</v>
      </c>
      <c r="P323" s="554">
        <f>F323+150</f>
        <v>12120</v>
      </c>
      <c r="Q323" s="469">
        <f>+P323*$X$1</f>
        <v>12120</v>
      </c>
      <c r="R323" s="554">
        <f>F323+120</f>
        <v>12090</v>
      </c>
      <c r="S323" s="469">
        <f>+R323*$X$1</f>
        <v>12090</v>
      </c>
      <c r="T323" s="554">
        <f>F323+100</f>
        <v>12070</v>
      </c>
      <c r="U323" s="469">
        <f>+T323*$X$1</f>
        <v>12070</v>
      </c>
      <c r="V323" s="554">
        <f>F323+80</f>
        <v>12050</v>
      </c>
      <c r="W323" s="469">
        <f>+V323*$X$1</f>
        <v>12050</v>
      </c>
      <c r="X323" s="714"/>
      <c r="Y323" s="715"/>
      <c r="Z323" s="715"/>
      <c r="AA323" s="716"/>
      <c r="AB323" s="178">
        <v>1054</v>
      </c>
      <c r="AC323" s="61"/>
    </row>
    <row r="324" spans="1:29" ht="12.6" customHeight="1" x14ac:dyDescent="0.2">
      <c r="A324" s="17"/>
      <c r="B324" s="687" t="s">
        <v>851</v>
      </c>
      <c r="C324" s="800"/>
      <c r="D324" s="800"/>
      <c r="E324" s="801"/>
      <c r="F324" s="334">
        <f>20.9*X2</f>
        <v>27796.999999999996</v>
      </c>
      <c r="G324" s="258">
        <f t="shared" ref="G324" si="912">+F324*$X$1</f>
        <v>27796.999999999996</v>
      </c>
      <c r="H324" s="82">
        <f>F324+600</f>
        <v>28396.999999999996</v>
      </c>
      <c r="I324" s="258">
        <f>+H324*$X$1</f>
        <v>28396.999999999996</v>
      </c>
      <c r="J324" s="576">
        <f>F324+260</f>
        <v>28056.999999999996</v>
      </c>
      <c r="K324" s="258">
        <f>+J324*$X$1</f>
        <v>28056.999999999996</v>
      </c>
      <c r="L324" s="576">
        <f>F324+220</f>
        <v>28016.999999999996</v>
      </c>
      <c r="M324" s="258">
        <f>+L324*$X$1</f>
        <v>28016.999999999996</v>
      </c>
      <c r="N324" s="576">
        <f>F324+180</f>
        <v>27976.999999999996</v>
      </c>
      <c r="O324" s="258">
        <f>+N324*$X$1</f>
        <v>27976.999999999996</v>
      </c>
      <c r="P324" s="576">
        <f>F324+150</f>
        <v>27946.999999999996</v>
      </c>
      <c r="Q324" s="258">
        <f>+P324*$X$1</f>
        <v>27946.999999999996</v>
      </c>
      <c r="R324" s="576">
        <f>F324+120</f>
        <v>27916.999999999996</v>
      </c>
      <c r="S324" s="258">
        <f>+R324*$X$1</f>
        <v>27916.999999999996</v>
      </c>
      <c r="T324" s="576">
        <f>F324+100</f>
        <v>27896.999999999996</v>
      </c>
      <c r="U324" s="258">
        <f>+T324*$X$1</f>
        <v>27896.999999999996</v>
      </c>
      <c r="V324" s="576">
        <f>F324+80</f>
        <v>27876.999999999996</v>
      </c>
      <c r="W324" s="258">
        <f>+V324*$X$1</f>
        <v>27876.999999999996</v>
      </c>
      <c r="X324" s="714"/>
      <c r="Y324" s="715"/>
      <c r="Z324" s="715"/>
      <c r="AA324" s="716"/>
      <c r="AB324" s="178">
        <v>1056</v>
      </c>
      <c r="AC324" s="61"/>
    </row>
    <row r="325" spans="1:29" ht="12.6" customHeight="1" x14ac:dyDescent="0.2">
      <c r="A325" s="17"/>
      <c r="B325" s="672" t="s">
        <v>554</v>
      </c>
      <c r="C325" s="673"/>
      <c r="D325" s="673"/>
      <c r="E325" s="673"/>
      <c r="F325" s="294">
        <v>17490</v>
      </c>
      <c r="G325" s="257">
        <f>+F325*$X$1</f>
        <v>17490</v>
      </c>
      <c r="H325" s="68">
        <f>F325+600</f>
        <v>18090</v>
      </c>
      <c r="I325" s="257">
        <f>+H325*$X$1</f>
        <v>18090</v>
      </c>
      <c r="J325" s="559">
        <f>F325+260</f>
        <v>17750</v>
      </c>
      <c r="K325" s="257">
        <f>+J325*$X$1</f>
        <v>17750</v>
      </c>
      <c r="L325" s="559">
        <f>F325+220</f>
        <v>17710</v>
      </c>
      <c r="M325" s="257">
        <f t="shared" ref="M325" si="913">+L325*$X$1</f>
        <v>17710</v>
      </c>
      <c r="N325" s="559">
        <f>F325+180</f>
        <v>17670</v>
      </c>
      <c r="O325" s="257">
        <f t="shared" ref="O325" si="914">+N325*$X$1</f>
        <v>17670</v>
      </c>
      <c r="P325" s="559">
        <f>F325+150</f>
        <v>17640</v>
      </c>
      <c r="Q325" s="257">
        <f t="shared" ref="Q325" si="915">+P325*$X$1</f>
        <v>17640</v>
      </c>
      <c r="R325" s="559">
        <f>F325+120</f>
        <v>17610</v>
      </c>
      <c r="S325" s="257">
        <f t="shared" ref="S325" si="916">+R325*$X$1</f>
        <v>17610</v>
      </c>
      <c r="T325" s="559">
        <f>F325+100</f>
        <v>17590</v>
      </c>
      <c r="U325" s="257">
        <f t="shared" ref="U325" si="917">+T325*$X$1</f>
        <v>17590</v>
      </c>
      <c r="V325" s="559">
        <f>F325+80</f>
        <v>17570</v>
      </c>
      <c r="W325" s="257">
        <f t="shared" ref="W325" si="918">+V325*$X$1</f>
        <v>17570</v>
      </c>
      <c r="X325" s="714"/>
      <c r="Y325" s="715"/>
      <c r="Z325" s="715"/>
      <c r="AA325" s="716"/>
      <c r="AB325" s="178">
        <v>1057</v>
      </c>
    </row>
    <row r="326" spans="1:29" ht="12.6" customHeight="1" x14ac:dyDescent="0.2">
      <c r="A326" s="17"/>
      <c r="B326" s="642" t="s">
        <v>909</v>
      </c>
      <c r="C326" s="763"/>
      <c r="D326" s="763"/>
      <c r="E326" s="764"/>
      <c r="F326" s="334">
        <f>10.7*X2</f>
        <v>14230.999999999998</v>
      </c>
      <c r="G326" s="258">
        <f t="shared" ref="G326:G327" si="919">+F326*$X$1</f>
        <v>14230.999999999998</v>
      </c>
      <c r="H326" s="82">
        <f t="shared" ref="H326:H327" si="920">F326+600</f>
        <v>14830.999999999998</v>
      </c>
      <c r="I326" s="258">
        <f t="shared" ref="I326:I327" si="921">+H326*$X$1</f>
        <v>14830.999999999998</v>
      </c>
      <c r="J326" s="576">
        <f t="shared" ref="J326:J327" si="922">F326+260</f>
        <v>14490.999999999998</v>
      </c>
      <c r="K326" s="258">
        <f t="shared" ref="K326:K327" si="923">+J326*$X$1</f>
        <v>14490.999999999998</v>
      </c>
      <c r="L326" s="576">
        <f t="shared" ref="L326:L327" si="924">F326+220</f>
        <v>14450.999999999998</v>
      </c>
      <c r="M326" s="258">
        <f>+L326*$X$1</f>
        <v>14450.999999999998</v>
      </c>
      <c r="N326" s="576">
        <f t="shared" ref="N326:N327" si="925">F326+180</f>
        <v>14410.999999999998</v>
      </c>
      <c r="O326" s="258">
        <f>+N326*$X$1</f>
        <v>14410.999999999998</v>
      </c>
      <c r="P326" s="576">
        <f t="shared" ref="P326:P327" si="926">F326+150</f>
        <v>14380.999999999998</v>
      </c>
      <c r="Q326" s="258">
        <f>+P326*$X$1</f>
        <v>14380.999999999998</v>
      </c>
      <c r="R326" s="576">
        <f t="shared" ref="R326:R327" si="927">F326+120</f>
        <v>14350.999999999998</v>
      </c>
      <c r="S326" s="258">
        <f>+R326*$X$1</f>
        <v>14350.999999999998</v>
      </c>
      <c r="T326" s="576">
        <f t="shared" ref="T326:T327" si="928">F326+100</f>
        <v>14330.999999999998</v>
      </c>
      <c r="U326" s="258">
        <f>+T326*$X$1</f>
        <v>14330.999999999998</v>
      </c>
      <c r="V326" s="576">
        <f t="shared" ref="V326:V327" si="929">F326+80</f>
        <v>14310.999999999998</v>
      </c>
      <c r="W326" s="258">
        <f>+V326*$X$1</f>
        <v>14310.999999999998</v>
      </c>
      <c r="X326" s="714"/>
      <c r="Y326" s="715"/>
      <c r="Z326" s="715"/>
      <c r="AA326" s="716"/>
      <c r="AB326" s="178">
        <v>1059</v>
      </c>
      <c r="AC326" s="61"/>
    </row>
    <row r="327" spans="1:29" ht="12.6" customHeight="1" x14ac:dyDescent="0.2">
      <c r="A327" s="17"/>
      <c r="B327" s="642" t="s">
        <v>996</v>
      </c>
      <c r="C327" s="763"/>
      <c r="D327" s="763"/>
      <c r="E327" s="764"/>
      <c r="F327" s="333">
        <f>23.15*X2</f>
        <v>30789.499999999996</v>
      </c>
      <c r="G327" s="257">
        <f t="shared" si="919"/>
        <v>30789.499999999996</v>
      </c>
      <c r="H327" s="68">
        <f t="shared" si="920"/>
        <v>31389.499999999996</v>
      </c>
      <c r="I327" s="257">
        <f t="shared" si="921"/>
        <v>31389.499999999996</v>
      </c>
      <c r="J327" s="559">
        <f t="shared" si="922"/>
        <v>31049.499999999996</v>
      </c>
      <c r="K327" s="257">
        <f t="shared" si="923"/>
        <v>31049.499999999996</v>
      </c>
      <c r="L327" s="559">
        <f t="shared" si="924"/>
        <v>31009.499999999996</v>
      </c>
      <c r="M327" s="257">
        <f t="shared" ref="M327" si="930">+L327*$X$1</f>
        <v>31009.499999999996</v>
      </c>
      <c r="N327" s="559">
        <f t="shared" si="925"/>
        <v>30969.499999999996</v>
      </c>
      <c r="O327" s="257">
        <f t="shared" ref="O327" si="931">+N327*$X$1</f>
        <v>30969.499999999996</v>
      </c>
      <c r="P327" s="559">
        <f t="shared" si="926"/>
        <v>30939.499999999996</v>
      </c>
      <c r="Q327" s="257">
        <f t="shared" ref="Q327" si="932">+P327*$X$1</f>
        <v>30939.499999999996</v>
      </c>
      <c r="R327" s="559">
        <f t="shared" si="927"/>
        <v>30909.499999999996</v>
      </c>
      <c r="S327" s="257">
        <f t="shared" ref="S327" si="933">+R327*$X$1</f>
        <v>30909.499999999996</v>
      </c>
      <c r="T327" s="559">
        <f t="shared" si="928"/>
        <v>30889.499999999996</v>
      </c>
      <c r="U327" s="257">
        <f t="shared" ref="U327" si="934">+T327*$X$1</f>
        <v>30889.499999999996</v>
      </c>
      <c r="V327" s="559">
        <f t="shared" si="929"/>
        <v>30869.499999999996</v>
      </c>
      <c r="W327" s="257">
        <f t="shared" ref="W327" si="935">+V327*$X$1</f>
        <v>30869.499999999996</v>
      </c>
      <c r="X327" s="714"/>
      <c r="Y327" s="715"/>
      <c r="Z327" s="715"/>
      <c r="AA327" s="716"/>
      <c r="AB327" s="178">
        <v>1062</v>
      </c>
      <c r="AC327" s="61"/>
    </row>
    <row r="328" spans="1:29" ht="12.6" customHeight="1" x14ac:dyDescent="0.2">
      <c r="A328" s="17"/>
      <c r="B328" s="667" t="s">
        <v>389</v>
      </c>
      <c r="C328" s="668"/>
      <c r="D328" s="668"/>
      <c r="E328" s="668"/>
      <c r="F328" s="336">
        <f>12.8*X2</f>
        <v>17024</v>
      </c>
      <c r="G328" s="283">
        <f t="shared" ref="G328:G329" si="936">+F328*$X$1</f>
        <v>17024</v>
      </c>
      <c r="H328" s="82">
        <f>F328+600</f>
        <v>17624</v>
      </c>
      <c r="I328" s="258">
        <f>+H328*$X$1</f>
        <v>17624</v>
      </c>
      <c r="J328" s="576"/>
      <c r="K328" s="258"/>
      <c r="L328" s="576"/>
      <c r="M328" s="258"/>
      <c r="N328" s="576"/>
      <c r="O328" s="258"/>
      <c r="P328" s="576"/>
      <c r="Q328" s="258"/>
      <c r="R328" s="576"/>
      <c r="S328" s="258"/>
      <c r="T328" s="576"/>
      <c r="U328" s="258"/>
      <c r="V328" s="576"/>
      <c r="W328" s="258"/>
      <c r="X328" s="714"/>
      <c r="Y328" s="715"/>
      <c r="Z328" s="715"/>
      <c r="AA328" s="716"/>
      <c r="AB328" s="178">
        <v>1064</v>
      </c>
      <c r="AC328" s="61"/>
    </row>
    <row r="329" spans="1:29" ht="12.6" customHeight="1" x14ac:dyDescent="0.2">
      <c r="A329" s="17"/>
      <c r="B329" s="642" t="s">
        <v>993</v>
      </c>
      <c r="C329" s="763"/>
      <c r="D329" s="763"/>
      <c r="E329" s="764"/>
      <c r="F329" s="333">
        <f>16.6*X2</f>
        <v>22078.000000000004</v>
      </c>
      <c r="G329" s="257">
        <f t="shared" si="936"/>
        <v>22078.000000000004</v>
      </c>
      <c r="H329" s="68">
        <f t="shared" ref="H329" si="937">F329+600</f>
        <v>22678.000000000004</v>
      </c>
      <c r="I329" s="257">
        <f t="shared" ref="I329" si="938">+H329*$X$1</f>
        <v>22678.000000000004</v>
      </c>
      <c r="J329" s="559">
        <f t="shared" ref="J329" si="939">F329+260</f>
        <v>22338.000000000004</v>
      </c>
      <c r="K329" s="257">
        <f t="shared" ref="K329" si="940">+J329*$X$1</f>
        <v>22338.000000000004</v>
      </c>
      <c r="L329" s="559">
        <f t="shared" ref="L329" si="941">F329+220</f>
        <v>22298.000000000004</v>
      </c>
      <c r="M329" s="257">
        <f t="shared" ref="M329" si="942">+L329*$X$1</f>
        <v>22298.000000000004</v>
      </c>
      <c r="N329" s="559">
        <f t="shared" ref="N329" si="943">F329+180</f>
        <v>22258.000000000004</v>
      </c>
      <c r="O329" s="257">
        <f t="shared" ref="O329" si="944">+N329*$X$1</f>
        <v>22258.000000000004</v>
      </c>
      <c r="P329" s="559">
        <f t="shared" ref="P329" si="945">F329+150</f>
        <v>22228.000000000004</v>
      </c>
      <c r="Q329" s="257">
        <f t="shared" ref="Q329" si="946">+P329*$X$1</f>
        <v>22228.000000000004</v>
      </c>
      <c r="R329" s="559">
        <f t="shared" ref="R329" si="947">F329+120</f>
        <v>22198.000000000004</v>
      </c>
      <c r="S329" s="257">
        <f t="shared" ref="S329" si="948">+R329*$X$1</f>
        <v>22198.000000000004</v>
      </c>
      <c r="T329" s="559">
        <f t="shared" ref="T329" si="949">F329+100</f>
        <v>22178.000000000004</v>
      </c>
      <c r="U329" s="257">
        <f t="shared" ref="U329" si="950">+T329*$X$1</f>
        <v>22178.000000000004</v>
      </c>
      <c r="V329" s="559">
        <f t="shared" ref="V329" si="951">F329+80</f>
        <v>22158.000000000004</v>
      </c>
      <c r="W329" s="257">
        <f t="shared" ref="W329" si="952">+V329*$X$1</f>
        <v>22158.000000000004</v>
      </c>
      <c r="X329" s="714"/>
      <c r="Y329" s="715"/>
      <c r="Z329" s="715"/>
      <c r="AA329" s="716"/>
      <c r="AB329" s="178">
        <v>1065</v>
      </c>
      <c r="AC329" s="61"/>
    </row>
    <row r="330" spans="1:29" ht="12.6" customHeight="1" x14ac:dyDescent="0.2">
      <c r="A330" s="17"/>
      <c r="B330" s="781" t="s">
        <v>852</v>
      </c>
      <c r="C330" s="1163"/>
      <c r="D330" s="1163"/>
      <c r="E330" s="1164"/>
      <c r="F330" s="473">
        <f>4.8*X2</f>
        <v>6384</v>
      </c>
      <c r="G330" s="469">
        <f>+F330*$X$1</f>
        <v>6384</v>
      </c>
      <c r="H330" s="597">
        <f t="shared" ref="H330:H332" si="953">F330+600</f>
        <v>6984</v>
      </c>
      <c r="I330" s="469">
        <f t="shared" ref="I330:I332" si="954">+H330*$X$1</f>
        <v>6984</v>
      </c>
      <c r="J330" s="597">
        <f t="shared" ref="J330:J332" si="955">F330+260</f>
        <v>6644</v>
      </c>
      <c r="K330" s="469">
        <f t="shared" ref="K330:K332" si="956">+J330*$X$1</f>
        <v>6644</v>
      </c>
      <c r="L330" s="597">
        <f t="shared" ref="L330" si="957">F330+230</f>
        <v>6614</v>
      </c>
      <c r="M330" s="469">
        <f>+L330*$X$1</f>
        <v>6614</v>
      </c>
      <c r="N330" s="597">
        <f t="shared" ref="N330" si="958">F330+200</f>
        <v>6584</v>
      </c>
      <c r="O330" s="469">
        <f>+N330*$X$1</f>
        <v>6584</v>
      </c>
      <c r="P330" s="597">
        <f t="shared" ref="P330" si="959">F330+170</f>
        <v>6554</v>
      </c>
      <c r="Q330" s="469">
        <f>+P330*$X$1</f>
        <v>6554</v>
      </c>
      <c r="R330" s="597">
        <f t="shared" ref="R330" si="960">F330+150</f>
        <v>6534</v>
      </c>
      <c r="S330" s="469">
        <f>+R330*$X$1</f>
        <v>6534</v>
      </c>
      <c r="T330" s="549">
        <f t="shared" ref="T330" si="961">F330+130</f>
        <v>6514</v>
      </c>
      <c r="U330" s="548">
        <f>+T330*$X$1</f>
        <v>6514</v>
      </c>
      <c r="V330" s="549">
        <f t="shared" ref="V330" si="962">F330+110</f>
        <v>6494</v>
      </c>
      <c r="W330" s="469">
        <f>+V330*$X$1</f>
        <v>6494</v>
      </c>
      <c r="X330" s="489"/>
      <c r="Y330" s="495"/>
      <c r="Z330" s="495"/>
      <c r="AA330" s="490"/>
      <c r="AB330" s="178">
        <v>1066</v>
      </c>
    </row>
    <row r="331" spans="1:29" ht="12.6" customHeight="1" x14ac:dyDescent="0.2">
      <c r="A331" s="17"/>
      <c r="B331" s="642" t="s">
        <v>992</v>
      </c>
      <c r="C331" s="763"/>
      <c r="D331" s="763"/>
      <c r="E331" s="764"/>
      <c r="F331" s="333">
        <f>24.31*X2</f>
        <v>32332.3</v>
      </c>
      <c r="G331" s="257">
        <f t="shared" ref="G331:G332" si="963">+F331*$X$1</f>
        <v>32332.3</v>
      </c>
      <c r="H331" s="68">
        <f t="shared" si="953"/>
        <v>32932.300000000003</v>
      </c>
      <c r="I331" s="257">
        <f t="shared" si="954"/>
        <v>32932.300000000003</v>
      </c>
      <c r="J331" s="559">
        <f t="shared" si="955"/>
        <v>32592.3</v>
      </c>
      <c r="K331" s="257">
        <f t="shared" si="956"/>
        <v>32592.3</v>
      </c>
      <c r="L331" s="559">
        <f t="shared" ref="L331:L332" si="964">F331+220</f>
        <v>32552.3</v>
      </c>
      <c r="M331" s="257">
        <f t="shared" ref="M331:M332" si="965">+L331*$X$1</f>
        <v>32552.3</v>
      </c>
      <c r="N331" s="559">
        <f t="shared" ref="N331:N332" si="966">F331+180</f>
        <v>32512.3</v>
      </c>
      <c r="O331" s="257">
        <f t="shared" ref="O331:O332" si="967">+N331*$X$1</f>
        <v>32512.3</v>
      </c>
      <c r="P331" s="559">
        <f t="shared" ref="P331:P332" si="968">F331+150</f>
        <v>32482.3</v>
      </c>
      <c r="Q331" s="257">
        <f t="shared" ref="Q331:Q332" si="969">+P331*$X$1</f>
        <v>32482.3</v>
      </c>
      <c r="R331" s="559">
        <f t="shared" ref="R331:R332" si="970">F331+120</f>
        <v>32452.3</v>
      </c>
      <c r="S331" s="257">
        <f t="shared" ref="S331:S332" si="971">+R331*$X$1</f>
        <v>32452.3</v>
      </c>
      <c r="T331" s="559">
        <f t="shared" ref="T331:T332" si="972">F331+100</f>
        <v>32432.3</v>
      </c>
      <c r="U331" s="257">
        <f t="shared" ref="U331:U332" si="973">+T331*$X$1</f>
        <v>32432.3</v>
      </c>
      <c r="V331" s="559">
        <f t="shared" ref="V331:V332" si="974">F331+80</f>
        <v>32412.3</v>
      </c>
      <c r="W331" s="257">
        <f t="shared" ref="W331:W332" si="975">+V331*$X$1</f>
        <v>32412.3</v>
      </c>
      <c r="X331" s="714"/>
      <c r="Y331" s="715"/>
      <c r="Z331" s="715"/>
      <c r="AA331" s="716"/>
      <c r="AB331" s="178">
        <v>1070</v>
      </c>
      <c r="AC331" s="61"/>
    </row>
    <row r="332" spans="1:29" ht="12.6" customHeight="1" x14ac:dyDescent="0.2">
      <c r="A332" s="17"/>
      <c r="B332" s="642" t="s">
        <v>994</v>
      </c>
      <c r="C332" s="763"/>
      <c r="D332" s="763"/>
      <c r="E332" s="764"/>
      <c r="F332" s="334">
        <f>26.44*X2</f>
        <v>35165.200000000004</v>
      </c>
      <c r="G332" s="258">
        <f t="shared" si="963"/>
        <v>35165.200000000004</v>
      </c>
      <c r="H332" s="82">
        <f t="shared" si="953"/>
        <v>35765.200000000004</v>
      </c>
      <c r="I332" s="258">
        <f t="shared" si="954"/>
        <v>35765.200000000004</v>
      </c>
      <c r="J332" s="576">
        <f t="shared" si="955"/>
        <v>35425.200000000004</v>
      </c>
      <c r="K332" s="258">
        <f t="shared" si="956"/>
        <v>35425.200000000004</v>
      </c>
      <c r="L332" s="576">
        <f t="shared" si="964"/>
        <v>35385.200000000004</v>
      </c>
      <c r="M332" s="258">
        <f t="shared" si="965"/>
        <v>35385.200000000004</v>
      </c>
      <c r="N332" s="576">
        <f t="shared" si="966"/>
        <v>35345.200000000004</v>
      </c>
      <c r="O332" s="258">
        <f t="shared" si="967"/>
        <v>35345.200000000004</v>
      </c>
      <c r="P332" s="576">
        <f t="shared" si="968"/>
        <v>35315.200000000004</v>
      </c>
      <c r="Q332" s="258">
        <f t="shared" si="969"/>
        <v>35315.200000000004</v>
      </c>
      <c r="R332" s="576">
        <f t="shared" si="970"/>
        <v>35285.200000000004</v>
      </c>
      <c r="S332" s="258">
        <f t="shared" si="971"/>
        <v>35285.200000000004</v>
      </c>
      <c r="T332" s="576">
        <f t="shared" si="972"/>
        <v>35265.200000000004</v>
      </c>
      <c r="U332" s="258">
        <f t="shared" si="973"/>
        <v>35265.200000000004</v>
      </c>
      <c r="V332" s="576">
        <f t="shared" si="974"/>
        <v>35245.200000000004</v>
      </c>
      <c r="W332" s="258">
        <f t="shared" si="975"/>
        <v>35245.200000000004</v>
      </c>
      <c r="X332" s="714"/>
      <c r="Y332" s="715"/>
      <c r="Z332" s="715"/>
      <c r="AA332" s="716"/>
      <c r="AB332" s="178">
        <v>1073</v>
      </c>
      <c r="AC332" s="61"/>
    </row>
    <row r="333" spans="1:29" ht="12.6" customHeight="1" x14ac:dyDescent="0.2">
      <c r="A333" s="17"/>
      <c r="B333" s="678" t="s">
        <v>196</v>
      </c>
      <c r="C333" s="679"/>
      <c r="D333" s="679"/>
      <c r="E333" s="680"/>
      <c r="F333" s="333">
        <f>12.16*X2</f>
        <v>16172.800000000001</v>
      </c>
      <c r="G333" s="257">
        <f>+F333*$X$1</f>
        <v>16172.800000000001</v>
      </c>
      <c r="H333" s="559">
        <f t="shared" ref="H333" si="976">F333+600</f>
        <v>16772.800000000003</v>
      </c>
      <c r="I333" s="257">
        <f t="shared" ref="I333" si="977">+H333*$X$1</f>
        <v>16772.800000000003</v>
      </c>
      <c r="J333" s="559">
        <f t="shared" ref="J333:J334" si="978">F333+260</f>
        <v>16432.800000000003</v>
      </c>
      <c r="K333" s="257">
        <f t="shared" ref="K333:K334" si="979">+J333*$X$1</f>
        <v>16432.800000000003</v>
      </c>
      <c r="L333" s="559">
        <f t="shared" ref="L333" si="980">F333+230</f>
        <v>16402.800000000003</v>
      </c>
      <c r="M333" s="257">
        <f>+L333*$X$1</f>
        <v>16402.800000000003</v>
      </c>
      <c r="N333" s="559">
        <f t="shared" ref="N333" si="981">F333+200</f>
        <v>16372.800000000001</v>
      </c>
      <c r="O333" s="257">
        <f>+N333*$X$1</f>
        <v>16372.800000000001</v>
      </c>
      <c r="P333" s="559">
        <f t="shared" ref="P333" si="982">F333+170</f>
        <v>16342.800000000001</v>
      </c>
      <c r="Q333" s="257">
        <f>+P333*$X$1</f>
        <v>16342.800000000001</v>
      </c>
      <c r="R333" s="559">
        <f t="shared" ref="R333" si="983">F333+150</f>
        <v>16322.800000000001</v>
      </c>
      <c r="S333" s="257">
        <f>+R333*$X$1</f>
        <v>16322.800000000001</v>
      </c>
      <c r="T333" s="93">
        <f t="shared" ref="T333" si="984">F333+130</f>
        <v>16302.800000000001</v>
      </c>
      <c r="U333" s="235">
        <f>+T333*$X$1</f>
        <v>16302.800000000001</v>
      </c>
      <c r="V333" s="93">
        <f t="shared" ref="V333" si="985">F333+110</f>
        <v>16282.800000000001</v>
      </c>
      <c r="W333" s="257">
        <f>+V333*$X$1</f>
        <v>16282.800000000001</v>
      </c>
      <c r="X333" s="165"/>
      <c r="Y333" s="168"/>
      <c r="Z333" s="168"/>
      <c r="AA333" s="167"/>
      <c r="AB333" s="178">
        <v>1075</v>
      </c>
    </row>
    <row r="334" spans="1:29" ht="12.6" customHeight="1" x14ac:dyDescent="0.2">
      <c r="A334" s="17"/>
      <c r="B334" s="723" t="s">
        <v>988</v>
      </c>
      <c r="C334" s="789"/>
      <c r="D334" s="789"/>
      <c r="E334" s="789"/>
      <c r="F334" s="293">
        <v>8890</v>
      </c>
      <c r="G334" s="258">
        <f>+F334*$X$1</f>
        <v>8890</v>
      </c>
      <c r="H334" s="82"/>
      <c r="I334" s="258"/>
      <c r="J334" s="576">
        <f t="shared" si="978"/>
        <v>9150</v>
      </c>
      <c r="K334" s="258">
        <f t="shared" si="979"/>
        <v>9150</v>
      </c>
      <c r="L334" s="576">
        <f t="shared" ref="L334" si="986">F334+220</f>
        <v>9110</v>
      </c>
      <c r="M334" s="258">
        <f t="shared" ref="M334" si="987">+L334*$X$1</f>
        <v>9110</v>
      </c>
      <c r="N334" s="576">
        <f t="shared" ref="N334" si="988">F334+180</f>
        <v>9070</v>
      </c>
      <c r="O334" s="258">
        <f t="shared" ref="O334" si="989">+N334*$X$1</f>
        <v>9070</v>
      </c>
      <c r="P334" s="576">
        <f t="shared" ref="P334" si="990">F334+150</f>
        <v>9040</v>
      </c>
      <c r="Q334" s="258">
        <f t="shared" ref="Q334" si="991">+P334*$X$1</f>
        <v>9040</v>
      </c>
      <c r="R334" s="576">
        <f t="shared" ref="R334" si="992">F334+120</f>
        <v>9010</v>
      </c>
      <c r="S334" s="258">
        <f t="shared" ref="S334" si="993">+R334*$X$1</f>
        <v>9010</v>
      </c>
      <c r="T334" s="576">
        <f t="shared" ref="T334" si="994">F334+100</f>
        <v>8990</v>
      </c>
      <c r="U334" s="258">
        <f t="shared" ref="U334" si="995">+T334*$X$1</f>
        <v>8990</v>
      </c>
      <c r="V334" s="576">
        <f t="shared" ref="V334" si="996">F334+80</f>
        <v>8970</v>
      </c>
      <c r="W334" s="258">
        <f t="shared" ref="W334" si="997">+V334*$X$1</f>
        <v>8970</v>
      </c>
      <c r="X334" s="714"/>
      <c r="Y334" s="715"/>
      <c r="Z334" s="715"/>
      <c r="AA334" s="716"/>
      <c r="AB334" s="178">
        <v>1076</v>
      </c>
    </row>
    <row r="335" spans="1:29" ht="12.6" customHeight="1" x14ac:dyDescent="0.2">
      <c r="A335" s="17"/>
      <c r="B335" s="723" t="s">
        <v>970</v>
      </c>
      <c r="C335" s="789"/>
      <c r="D335" s="789"/>
      <c r="E335" s="789"/>
      <c r="F335" s="337">
        <f>9.7*X2</f>
        <v>12900.999999999998</v>
      </c>
      <c r="G335" s="273">
        <f t="shared" ref="G335" si="998">+F335*$X$1</f>
        <v>12900.999999999998</v>
      </c>
      <c r="H335" s="68">
        <f>F335+650</f>
        <v>13550.999999999998</v>
      </c>
      <c r="I335" s="257">
        <f t="shared" ref="I335:I340" si="999">+H335*$X$1</f>
        <v>13550.999999999998</v>
      </c>
      <c r="J335" s="559">
        <f>F335+280</f>
        <v>13180.999999999998</v>
      </c>
      <c r="K335" s="257">
        <f t="shared" ref="K335:K340" si="1000">+J335*$X$1</f>
        <v>13180.999999999998</v>
      </c>
      <c r="L335" s="559">
        <f>F335+230</f>
        <v>13130.999999999998</v>
      </c>
      <c r="M335" s="257">
        <f t="shared" ref="M335" si="1001">+L335*$X$1</f>
        <v>13130.999999999998</v>
      </c>
      <c r="N335" s="559">
        <f>F335+190</f>
        <v>13090.999999999998</v>
      </c>
      <c r="O335" s="257">
        <f t="shared" ref="O335" si="1002">+N335*$X$1</f>
        <v>13090.999999999998</v>
      </c>
      <c r="P335" s="559">
        <f>F335+160</f>
        <v>13060.999999999998</v>
      </c>
      <c r="Q335" s="257">
        <f t="shared" ref="Q335" si="1003">+P335*$X$1</f>
        <v>13060.999999999998</v>
      </c>
      <c r="R335" s="559">
        <f>F335+130</f>
        <v>13030.999999999998</v>
      </c>
      <c r="S335" s="257">
        <f t="shared" ref="S335" si="1004">+R335*$X$1</f>
        <v>13030.999999999998</v>
      </c>
      <c r="T335" s="559">
        <f>F335+110</f>
        <v>13010.999999999998</v>
      </c>
      <c r="U335" s="257">
        <f t="shared" ref="U335" si="1005">+T335*$X$1</f>
        <v>13010.999999999998</v>
      </c>
      <c r="V335" s="559">
        <f>F335+90</f>
        <v>12990.999999999998</v>
      </c>
      <c r="W335" s="257">
        <f t="shared" ref="W335" si="1006">+V335*$X$1</f>
        <v>12990.999999999998</v>
      </c>
      <c r="X335" s="714"/>
      <c r="Y335" s="715"/>
      <c r="Z335" s="715"/>
      <c r="AA335" s="716"/>
      <c r="AB335" s="178">
        <v>1077</v>
      </c>
    </row>
    <row r="336" spans="1:29" ht="12.6" customHeight="1" x14ac:dyDescent="0.2">
      <c r="A336" s="17"/>
      <c r="B336" s="667" t="s">
        <v>351</v>
      </c>
      <c r="C336" s="752"/>
      <c r="D336" s="752"/>
      <c r="E336" s="752"/>
      <c r="F336" s="336">
        <f>6.6*X2</f>
        <v>8778</v>
      </c>
      <c r="G336" s="283">
        <f t="shared" ref="G336" si="1007">+F336*$X$1</f>
        <v>8778</v>
      </c>
      <c r="H336" s="82">
        <f>F336+650</f>
        <v>9428</v>
      </c>
      <c r="I336" s="258">
        <f t="shared" si="999"/>
        <v>9428</v>
      </c>
      <c r="J336" s="576">
        <f>F336+280</f>
        <v>9058</v>
      </c>
      <c r="K336" s="258">
        <f t="shared" si="1000"/>
        <v>9058</v>
      </c>
      <c r="L336" s="576">
        <f>F336+230</f>
        <v>9008</v>
      </c>
      <c r="M336" s="258">
        <f t="shared" ref="M336" si="1008">+L336*$X$1</f>
        <v>9008</v>
      </c>
      <c r="N336" s="576">
        <f>F336+190</f>
        <v>8968</v>
      </c>
      <c r="O336" s="258">
        <f t="shared" ref="O336" si="1009">+N336*$X$1</f>
        <v>8968</v>
      </c>
      <c r="P336" s="576">
        <f>F336+160</f>
        <v>8938</v>
      </c>
      <c r="Q336" s="258">
        <f t="shared" ref="Q336" si="1010">+P336*$X$1</f>
        <v>8938</v>
      </c>
      <c r="R336" s="576">
        <f>F336+130</f>
        <v>8908</v>
      </c>
      <c r="S336" s="258">
        <f t="shared" ref="S336" si="1011">+R336*$X$1</f>
        <v>8908</v>
      </c>
      <c r="T336" s="576">
        <f>F336+110</f>
        <v>8888</v>
      </c>
      <c r="U336" s="258">
        <f t="shared" ref="U336" si="1012">+T336*$X$1</f>
        <v>8888</v>
      </c>
      <c r="V336" s="576">
        <f>F336+90</f>
        <v>8868</v>
      </c>
      <c r="W336" s="258">
        <f t="shared" ref="W336" si="1013">+V336*$X$1</f>
        <v>8868</v>
      </c>
      <c r="X336" s="714"/>
      <c r="Y336" s="715"/>
      <c r="Z336" s="715"/>
      <c r="AA336" s="716"/>
      <c r="AB336" s="178">
        <v>1078</v>
      </c>
    </row>
    <row r="337" spans="1:30" ht="12.6" customHeight="1" x14ac:dyDescent="0.2">
      <c r="A337" s="17"/>
      <c r="B337" s="690" t="s">
        <v>353</v>
      </c>
      <c r="C337" s="740"/>
      <c r="D337" s="740"/>
      <c r="E337" s="740"/>
      <c r="F337" s="337">
        <f>5.35*X2</f>
        <v>7115.4999999999991</v>
      </c>
      <c r="G337" s="273">
        <f t="shared" ref="G337" si="1014">+F337*$X$1</f>
        <v>7115.4999999999991</v>
      </c>
      <c r="H337" s="68">
        <f>F337+650</f>
        <v>7765.4999999999991</v>
      </c>
      <c r="I337" s="257">
        <f t="shared" si="999"/>
        <v>7765.4999999999991</v>
      </c>
      <c r="J337" s="559">
        <f>F337+280</f>
        <v>7395.4999999999991</v>
      </c>
      <c r="K337" s="257">
        <f t="shared" si="1000"/>
        <v>7395.4999999999991</v>
      </c>
      <c r="L337" s="559">
        <f>F337+230</f>
        <v>7345.4999999999991</v>
      </c>
      <c r="M337" s="257">
        <f t="shared" ref="M337" si="1015">+L337*$X$1</f>
        <v>7345.4999999999991</v>
      </c>
      <c r="N337" s="559">
        <f>F337+190</f>
        <v>7305.4999999999991</v>
      </c>
      <c r="O337" s="257">
        <f t="shared" ref="O337" si="1016">+N337*$X$1</f>
        <v>7305.4999999999991</v>
      </c>
      <c r="P337" s="559">
        <f>F337+160</f>
        <v>7275.4999999999991</v>
      </c>
      <c r="Q337" s="257">
        <f t="shared" ref="Q337" si="1017">+P337*$X$1</f>
        <v>7275.4999999999991</v>
      </c>
      <c r="R337" s="559">
        <f>F337+130</f>
        <v>7245.4999999999991</v>
      </c>
      <c r="S337" s="257">
        <f t="shared" ref="S337" si="1018">+R337*$X$1</f>
        <v>7245.4999999999991</v>
      </c>
      <c r="T337" s="559">
        <f>F337+110</f>
        <v>7225.4999999999991</v>
      </c>
      <c r="U337" s="257">
        <f t="shared" ref="U337" si="1019">+T337*$X$1</f>
        <v>7225.4999999999991</v>
      </c>
      <c r="V337" s="559">
        <f>F337+90</f>
        <v>7205.4999999999991</v>
      </c>
      <c r="W337" s="257">
        <f t="shared" ref="W337" si="1020">+V337*$X$1</f>
        <v>7205.4999999999991</v>
      </c>
      <c r="X337" s="715"/>
      <c r="Y337" s="715"/>
      <c r="Z337" s="715"/>
      <c r="AA337" s="716"/>
      <c r="AB337" s="178">
        <v>1079</v>
      </c>
    </row>
    <row r="338" spans="1:30" ht="12.6" customHeight="1" x14ac:dyDescent="0.2">
      <c r="A338" s="17"/>
      <c r="B338" s="667" t="s">
        <v>474</v>
      </c>
      <c r="C338" s="668"/>
      <c r="D338" s="668"/>
      <c r="E338" s="668"/>
      <c r="F338" s="293">
        <v>15190</v>
      </c>
      <c r="G338" s="258">
        <f>+F338*$X$1</f>
        <v>15190</v>
      </c>
      <c r="H338" s="82">
        <f>F338+600</f>
        <v>15790</v>
      </c>
      <c r="I338" s="258">
        <f t="shared" si="999"/>
        <v>15790</v>
      </c>
      <c r="J338" s="576">
        <f>F338+260</f>
        <v>15450</v>
      </c>
      <c r="K338" s="258">
        <f t="shared" si="1000"/>
        <v>15450</v>
      </c>
      <c r="L338" s="576">
        <f>F338+220</f>
        <v>15410</v>
      </c>
      <c r="M338" s="258">
        <f t="shared" ref="M338" si="1021">+L338*$X$1</f>
        <v>15410</v>
      </c>
      <c r="N338" s="576">
        <f>F338+180</f>
        <v>15370</v>
      </c>
      <c r="O338" s="258">
        <f t="shared" ref="O338" si="1022">+N338*$X$1</f>
        <v>15370</v>
      </c>
      <c r="P338" s="576">
        <f>F338+150</f>
        <v>15340</v>
      </c>
      <c r="Q338" s="258">
        <f t="shared" ref="Q338" si="1023">+P338*$X$1</f>
        <v>15340</v>
      </c>
      <c r="R338" s="576">
        <f>F338+120</f>
        <v>15310</v>
      </c>
      <c r="S338" s="258">
        <f t="shared" ref="S338" si="1024">+R338*$X$1</f>
        <v>15310</v>
      </c>
      <c r="T338" s="576">
        <f>F338+100</f>
        <v>15290</v>
      </c>
      <c r="U338" s="258">
        <f t="shared" ref="U338" si="1025">+T338*$X$1</f>
        <v>15290</v>
      </c>
      <c r="V338" s="576">
        <f>F338+80</f>
        <v>15270</v>
      </c>
      <c r="W338" s="258">
        <f t="shared" ref="W338" si="1026">+V338*$X$1</f>
        <v>15270</v>
      </c>
      <c r="X338" s="715"/>
      <c r="Y338" s="715"/>
      <c r="Z338" s="715"/>
      <c r="AA338" s="716"/>
      <c r="AB338" s="178">
        <v>1080</v>
      </c>
      <c r="AC338" s="61"/>
    </row>
    <row r="339" spans="1:30" ht="12.6" customHeight="1" x14ac:dyDescent="0.2">
      <c r="A339" s="17"/>
      <c r="B339" s="672" t="s">
        <v>475</v>
      </c>
      <c r="C339" s="673"/>
      <c r="D339" s="673"/>
      <c r="E339" s="673"/>
      <c r="F339" s="294">
        <v>16390</v>
      </c>
      <c r="G339" s="257">
        <f>+F339*$X$1</f>
        <v>16390</v>
      </c>
      <c r="H339" s="68">
        <f>F339+600</f>
        <v>16990</v>
      </c>
      <c r="I339" s="257">
        <f t="shared" si="999"/>
        <v>16990</v>
      </c>
      <c r="J339" s="559">
        <f>F339+260</f>
        <v>16650</v>
      </c>
      <c r="K339" s="257">
        <f t="shared" si="1000"/>
        <v>16650</v>
      </c>
      <c r="L339" s="559">
        <f>F339+220</f>
        <v>16610</v>
      </c>
      <c r="M339" s="257">
        <f t="shared" ref="M339" si="1027">+L339*$X$1</f>
        <v>16610</v>
      </c>
      <c r="N339" s="559">
        <f>F339+180</f>
        <v>16570</v>
      </c>
      <c r="O339" s="257">
        <f t="shared" ref="O339" si="1028">+N339*$X$1</f>
        <v>16570</v>
      </c>
      <c r="P339" s="559">
        <f>F339+150</f>
        <v>16540</v>
      </c>
      <c r="Q339" s="257">
        <f t="shared" ref="Q339" si="1029">+P339*$X$1</f>
        <v>16540</v>
      </c>
      <c r="R339" s="559">
        <f>F339+120</f>
        <v>16510</v>
      </c>
      <c r="S339" s="257">
        <f t="shared" ref="S339" si="1030">+R339*$X$1</f>
        <v>16510</v>
      </c>
      <c r="T339" s="559">
        <f>F339+100</f>
        <v>16490</v>
      </c>
      <c r="U339" s="257">
        <f t="shared" ref="U339" si="1031">+T339*$X$1</f>
        <v>16490</v>
      </c>
      <c r="V339" s="559">
        <f>F339+80</f>
        <v>16470</v>
      </c>
      <c r="W339" s="257">
        <f t="shared" ref="W339" si="1032">+V339*$X$1</f>
        <v>16470</v>
      </c>
      <c r="X339" s="715"/>
      <c r="Y339" s="715"/>
      <c r="Z339" s="715"/>
      <c r="AA339" s="716"/>
      <c r="AB339" s="178">
        <v>1081</v>
      </c>
      <c r="AC339" s="61"/>
    </row>
    <row r="340" spans="1:30" ht="12.6" customHeight="1" x14ac:dyDescent="0.2">
      <c r="A340" s="17"/>
      <c r="B340" s="667" t="s">
        <v>393</v>
      </c>
      <c r="C340" s="668"/>
      <c r="D340" s="668"/>
      <c r="E340" s="668"/>
      <c r="F340" s="293">
        <v>13490</v>
      </c>
      <c r="G340" s="258">
        <f>+F340*$X$1</f>
        <v>13490</v>
      </c>
      <c r="H340" s="82">
        <f>F340+600</f>
        <v>14090</v>
      </c>
      <c r="I340" s="258">
        <f t="shared" si="999"/>
        <v>14090</v>
      </c>
      <c r="J340" s="576">
        <f>F340+260</f>
        <v>13750</v>
      </c>
      <c r="K340" s="258">
        <f t="shared" si="1000"/>
        <v>13750</v>
      </c>
      <c r="L340" s="576">
        <f>F340+220</f>
        <v>13710</v>
      </c>
      <c r="M340" s="258">
        <f t="shared" ref="M340:M343" si="1033">+L340*$X$1</f>
        <v>13710</v>
      </c>
      <c r="N340" s="576">
        <f>F340+180</f>
        <v>13670</v>
      </c>
      <c r="O340" s="258">
        <f t="shared" ref="O340:O343" si="1034">+N340*$X$1</f>
        <v>13670</v>
      </c>
      <c r="P340" s="576">
        <f>F340+150</f>
        <v>13640</v>
      </c>
      <c r="Q340" s="258">
        <f t="shared" ref="Q340:Q343" si="1035">+P340*$X$1</f>
        <v>13640</v>
      </c>
      <c r="R340" s="576">
        <f>F340+120</f>
        <v>13610</v>
      </c>
      <c r="S340" s="258">
        <f t="shared" ref="S340:S343" si="1036">+R340*$X$1</f>
        <v>13610</v>
      </c>
      <c r="T340" s="576">
        <f>F340+100</f>
        <v>13590</v>
      </c>
      <c r="U340" s="258">
        <f t="shared" ref="U340:U343" si="1037">+T340*$X$1</f>
        <v>13590</v>
      </c>
      <c r="V340" s="576">
        <f>F340+80</f>
        <v>13570</v>
      </c>
      <c r="W340" s="258">
        <f t="shared" ref="W340:W343" si="1038">+V340*$X$1</f>
        <v>13570</v>
      </c>
      <c r="X340" s="715"/>
      <c r="Y340" s="715"/>
      <c r="Z340" s="715"/>
      <c r="AA340" s="716"/>
      <c r="AB340" s="178">
        <v>1083</v>
      </c>
      <c r="AC340" s="61"/>
    </row>
    <row r="341" spans="1:30" ht="12.6" customHeight="1" x14ac:dyDescent="0.2">
      <c r="A341" s="17"/>
      <c r="B341" s="723" t="s">
        <v>989</v>
      </c>
      <c r="C341" s="789"/>
      <c r="D341" s="789"/>
      <c r="E341" s="789"/>
      <c r="F341" s="337">
        <f>9.35*X2</f>
        <v>12435.5</v>
      </c>
      <c r="G341" s="273">
        <f t="shared" ref="G341" si="1039">+F341*$X$1</f>
        <v>12435.5</v>
      </c>
      <c r="H341" s="68">
        <f>F341+650</f>
        <v>13085.5</v>
      </c>
      <c r="I341" s="257">
        <f t="shared" ref="I341:I342" si="1040">+H341*$X$1</f>
        <v>13085.5</v>
      </c>
      <c r="J341" s="559">
        <f>F341+280</f>
        <v>12715.5</v>
      </c>
      <c r="K341" s="257">
        <f t="shared" ref="K341:K342" si="1041">+J341*$X$1</f>
        <v>12715.5</v>
      </c>
      <c r="L341" s="559">
        <f>F341+230</f>
        <v>12665.5</v>
      </c>
      <c r="M341" s="257">
        <f t="shared" si="1033"/>
        <v>12665.5</v>
      </c>
      <c r="N341" s="559">
        <f>F341+190</f>
        <v>12625.5</v>
      </c>
      <c r="O341" s="257">
        <f t="shared" si="1034"/>
        <v>12625.5</v>
      </c>
      <c r="P341" s="559">
        <f>F341+160</f>
        <v>12595.5</v>
      </c>
      <c r="Q341" s="257">
        <f t="shared" si="1035"/>
        <v>12595.5</v>
      </c>
      <c r="R341" s="559">
        <f>F341+130</f>
        <v>12565.5</v>
      </c>
      <c r="S341" s="257">
        <f t="shared" si="1036"/>
        <v>12565.5</v>
      </c>
      <c r="T341" s="559">
        <f>F341+110</f>
        <v>12545.5</v>
      </c>
      <c r="U341" s="257">
        <f t="shared" si="1037"/>
        <v>12545.5</v>
      </c>
      <c r="V341" s="559">
        <f>F341+90</f>
        <v>12525.5</v>
      </c>
      <c r="W341" s="257">
        <f t="shared" si="1038"/>
        <v>12525.5</v>
      </c>
      <c r="X341" s="714"/>
      <c r="Y341" s="715"/>
      <c r="Z341" s="715"/>
      <c r="AA341" s="716"/>
      <c r="AB341" s="178">
        <v>1087</v>
      </c>
    </row>
    <row r="342" spans="1:30" ht="12.6" customHeight="1" x14ac:dyDescent="0.2">
      <c r="A342" s="17"/>
      <c r="B342" s="723" t="s">
        <v>990</v>
      </c>
      <c r="C342" s="789"/>
      <c r="D342" s="789"/>
      <c r="E342" s="789"/>
      <c r="F342" s="283">
        <v>43410</v>
      </c>
      <c r="G342" s="258">
        <f>+F342*$X$1</f>
        <v>43410</v>
      </c>
      <c r="H342" s="576">
        <f>F342+700</f>
        <v>44110</v>
      </c>
      <c r="I342" s="258">
        <f t="shared" si="1040"/>
        <v>44110</v>
      </c>
      <c r="J342" s="576">
        <f>F342+350</f>
        <v>43760</v>
      </c>
      <c r="K342" s="258">
        <f t="shared" si="1041"/>
        <v>43760</v>
      </c>
      <c r="L342" s="576">
        <f>F342+300</f>
        <v>43710</v>
      </c>
      <c r="M342" s="258">
        <f>+L342*$X$1</f>
        <v>43710</v>
      </c>
      <c r="N342" s="576">
        <f>F342+260</f>
        <v>43670</v>
      </c>
      <c r="O342" s="258">
        <f>+N342*$X$1</f>
        <v>43670</v>
      </c>
      <c r="P342" s="576">
        <f>F342+230</f>
        <v>43640</v>
      </c>
      <c r="Q342" s="258">
        <f>+P342*$X$1</f>
        <v>43640</v>
      </c>
      <c r="R342" s="576">
        <f>F342+210</f>
        <v>43620</v>
      </c>
      <c r="S342" s="258">
        <f>+R342*$X$1</f>
        <v>43620</v>
      </c>
      <c r="T342" s="92">
        <f>F342+190</f>
        <v>43600</v>
      </c>
      <c r="U342" s="272">
        <f>+T342*$X$1</f>
        <v>43600</v>
      </c>
      <c r="V342" s="92">
        <f>F342+160</f>
        <v>43570</v>
      </c>
      <c r="W342" s="258">
        <f>+V342*$X$1</f>
        <v>43570</v>
      </c>
      <c r="X342" s="714"/>
      <c r="Y342" s="715"/>
      <c r="Z342" s="715"/>
      <c r="AA342" s="716"/>
      <c r="AB342" s="178">
        <v>1107</v>
      </c>
    </row>
    <row r="343" spans="1:30" ht="12.6" customHeight="1" x14ac:dyDescent="0.2">
      <c r="A343" s="17"/>
      <c r="B343" s="690" t="s">
        <v>753</v>
      </c>
      <c r="C343" s="740"/>
      <c r="D343" s="740"/>
      <c r="E343" s="740"/>
      <c r="F343" s="333">
        <f>2.32*X2</f>
        <v>3085.6</v>
      </c>
      <c r="G343" s="257">
        <f t="shared" ref="G343" si="1042">+F343*$X$1</f>
        <v>3085.6</v>
      </c>
      <c r="H343" s="534">
        <f>F343+600</f>
        <v>3685.6</v>
      </c>
      <c r="I343" s="257">
        <f t="shared" ref="I343" si="1043">+H343*$X$1</f>
        <v>3685.6</v>
      </c>
      <c r="J343" s="68">
        <f>F343+220</f>
        <v>3305.6</v>
      </c>
      <c r="K343" s="257">
        <f t="shared" ref="K343" si="1044">+J343*$X$1</f>
        <v>3305.6</v>
      </c>
      <c r="L343" s="534">
        <f t="shared" ref="L343" si="1045">F343+150</f>
        <v>3235.6</v>
      </c>
      <c r="M343" s="257">
        <f t="shared" si="1033"/>
        <v>3235.6</v>
      </c>
      <c r="N343" s="534">
        <f t="shared" ref="N343" si="1046">F343+110</f>
        <v>3195.6</v>
      </c>
      <c r="O343" s="257">
        <f t="shared" si="1034"/>
        <v>3195.6</v>
      </c>
      <c r="P343" s="534">
        <f t="shared" ref="P343" si="1047">F343+100</f>
        <v>3185.6</v>
      </c>
      <c r="Q343" s="257">
        <f t="shared" si="1035"/>
        <v>3185.6</v>
      </c>
      <c r="R343" s="534">
        <f t="shared" ref="R343" si="1048">F343+80</f>
        <v>3165.6</v>
      </c>
      <c r="S343" s="257">
        <f t="shared" si="1036"/>
        <v>3165.6</v>
      </c>
      <c r="T343" s="534">
        <f t="shared" ref="T343" si="1049">F343+65</f>
        <v>3150.6</v>
      </c>
      <c r="U343" s="257">
        <f t="shared" si="1037"/>
        <v>3150.6</v>
      </c>
      <c r="V343" s="534">
        <f t="shared" ref="V343" si="1050">F343+56</f>
        <v>3141.6</v>
      </c>
      <c r="W343" s="257">
        <f t="shared" si="1038"/>
        <v>3141.6</v>
      </c>
      <c r="X343" s="825"/>
      <c r="Y343" s="1001"/>
      <c r="Z343" s="1001"/>
      <c r="AA343" s="1002"/>
      <c r="AB343" s="353">
        <v>2130</v>
      </c>
      <c r="AC343" s="62"/>
    </row>
    <row r="344" spans="1:30" ht="12.6" customHeight="1" x14ac:dyDescent="0.2">
      <c r="A344" s="17"/>
      <c r="B344" s="707" t="s">
        <v>754</v>
      </c>
      <c r="C344" s="770"/>
      <c r="D344" s="770"/>
      <c r="E344" s="770"/>
      <c r="F344" s="334">
        <f>2.25*X2</f>
        <v>2992.5</v>
      </c>
      <c r="G344" s="258">
        <f t="shared" ref="G344" si="1051">+F344*$X$1</f>
        <v>2992.5</v>
      </c>
      <c r="H344" s="406">
        <f>F344+600</f>
        <v>3592.5</v>
      </c>
      <c r="I344" s="258">
        <f t="shared" ref="I344" si="1052">+H344*$X$1</f>
        <v>3592.5</v>
      </c>
      <c r="J344" s="82">
        <f>F344+250</f>
        <v>3242.5</v>
      </c>
      <c r="K344" s="258">
        <f t="shared" ref="K344" si="1053">+J344*$X$1</f>
        <v>3242.5</v>
      </c>
      <c r="L344" s="406">
        <f>F344+180</f>
        <v>3172.5</v>
      </c>
      <c r="M344" s="258">
        <f t="shared" ref="M344:M345" si="1054">+L344*$X$1</f>
        <v>3172.5</v>
      </c>
      <c r="N344" s="406">
        <f>F344+130</f>
        <v>3122.5</v>
      </c>
      <c r="O344" s="258">
        <f t="shared" ref="O344:O345" si="1055">+N344*$X$1</f>
        <v>3122.5</v>
      </c>
      <c r="P344" s="406">
        <f>F344+110</f>
        <v>3102.5</v>
      </c>
      <c r="Q344" s="258">
        <f t="shared" ref="Q344:Q345" si="1056">+P344*$X$1</f>
        <v>3102.5</v>
      </c>
      <c r="R344" s="406">
        <f>F344+90</f>
        <v>3082.5</v>
      </c>
      <c r="S344" s="258">
        <f t="shared" ref="S344:S345" si="1057">+R344*$X$1</f>
        <v>3082.5</v>
      </c>
      <c r="T344" s="406"/>
      <c r="U344" s="258"/>
      <c r="V344" s="406"/>
      <c r="W344" s="258"/>
      <c r="X344" s="825"/>
      <c r="Y344" s="1001"/>
      <c r="Z344" s="1001"/>
      <c r="AA344" s="1002"/>
      <c r="AB344" s="353">
        <v>2131</v>
      </c>
      <c r="AC344" s="62"/>
    </row>
    <row r="345" spans="1:30" ht="12.6" customHeight="1" x14ac:dyDescent="0.2">
      <c r="A345" s="94"/>
      <c r="B345" s="672" t="s">
        <v>197</v>
      </c>
      <c r="C345" s="673"/>
      <c r="D345" s="673"/>
      <c r="E345" s="673"/>
      <c r="F345" s="333">
        <f>0.41*X2</f>
        <v>545.29999999999995</v>
      </c>
      <c r="G345" s="257">
        <f t="shared" ref="G345:G346" si="1058">+F345*$X$1</f>
        <v>545.29999999999995</v>
      </c>
      <c r="H345" s="252"/>
      <c r="I345" s="305"/>
      <c r="J345" s="534"/>
      <c r="K345" s="257"/>
      <c r="L345" s="534">
        <f>F345+160</f>
        <v>705.3</v>
      </c>
      <c r="M345" s="257">
        <f t="shared" si="1054"/>
        <v>705.3</v>
      </c>
      <c r="N345" s="534">
        <f>F345+100</f>
        <v>645.29999999999995</v>
      </c>
      <c r="O345" s="257">
        <f t="shared" si="1055"/>
        <v>645.29999999999995</v>
      </c>
      <c r="P345" s="534">
        <f>F345+75</f>
        <v>620.29999999999995</v>
      </c>
      <c r="Q345" s="257">
        <f t="shared" si="1056"/>
        <v>620.29999999999995</v>
      </c>
      <c r="R345" s="534">
        <f>F345+65</f>
        <v>610.29999999999995</v>
      </c>
      <c r="S345" s="257">
        <f t="shared" si="1057"/>
        <v>610.29999999999995</v>
      </c>
      <c r="T345" s="93">
        <f>F345+50</f>
        <v>595.29999999999995</v>
      </c>
      <c r="U345" s="235">
        <f t="shared" ref="U345" si="1059">+T345*$X$1</f>
        <v>595.29999999999995</v>
      </c>
      <c r="V345" s="93">
        <f>F345+38</f>
        <v>583.29999999999995</v>
      </c>
      <c r="W345" s="235">
        <f t="shared" ref="W345" si="1060">+V345*$X$1</f>
        <v>583.29999999999995</v>
      </c>
      <c r="X345" s="121"/>
      <c r="Y345" s="119"/>
      <c r="Z345" s="119"/>
      <c r="AA345" s="119"/>
      <c r="AB345" s="353">
        <v>2145</v>
      </c>
      <c r="AC345" s="62"/>
    </row>
    <row r="346" spans="1:30" ht="12.6" customHeight="1" x14ac:dyDescent="0.25">
      <c r="A346" s="115"/>
      <c r="B346" s="667" t="s">
        <v>893</v>
      </c>
      <c r="C346" s="668"/>
      <c r="D346" s="668"/>
      <c r="E346" s="668"/>
      <c r="F346" s="334">
        <v>170</v>
      </c>
      <c r="G346" s="258">
        <f t="shared" si="1058"/>
        <v>170</v>
      </c>
      <c r="H346" s="251"/>
      <c r="I346" s="306"/>
      <c r="J346" s="483"/>
      <c r="K346" s="258"/>
      <c r="L346" s="484"/>
      <c r="M346" s="258"/>
      <c r="N346" s="484"/>
      <c r="O346" s="485"/>
      <c r="P346" s="251"/>
      <c r="Q346" s="306"/>
      <c r="R346" s="484"/>
      <c r="S346" s="485"/>
      <c r="T346" s="484"/>
      <c r="U346" s="485"/>
      <c r="V346" s="484"/>
      <c r="W346" s="485"/>
      <c r="X346" s="119"/>
      <c r="Y346" s="119"/>
      <c r="Z346" s="119"/>
      <c r="AA346" s="119"/>
      <c r="AB346" s="178">
        <v>2147</v>
      </c>
    </row>
    <row r="347" spans="1:30" ht="12.6" customHeight="1" x14ac:dyDescent="0.2">
      <c r="A347" s="17"/>
      <c r="B347" s="672" t="s">
        <v>198</v>
      </c>
      <c r="C347" s="673"/>
      <c r="D347" s="673"/>
      <c r="E347" s="673"/>
      <c r="F347" s="333">
        <v>48</v>
      </c>
      <c r="G347" s="257">
        <f t="shared" ref="G347:G352" si="1061">+F347*$X$1</f>
        <v>48</v>
      </c>
      <c r="H347" s="252"/>
      <c r="I347" s="305"/>
      <c r="J347" s="534">
        <f>F347+210</f>
        <v>258</v>
      </c>
      <c r="K347" s="257">
        <f t="shared" ref="K347" si="1062">+J347*$X$1</f>
        <v>258</v>
      </c>
      <c r="L347" s="534">
        <f>F347+160</f>
        <v>208</v>
      </c>
      <c r="M347" s="257">
        <f t="shared" ref="M347" si="1063">+L347*$X$1</f>
        <v>208</v>
      </c>
      <c r="N347" s="534">
        <f>F347+100</f>
        <v>148</v>
      </c>
      <c r="O347" s="257">
        <f t="shared" ref="O347" si="1064">+N347*$X$1</f>
        <v>148</v>
      </c>
      <c r="P347" s="534">
        <f>F347+75</f>
        <v>123</v>
      </c>
      <c r="Q347" s="257">
        <f t="shared" ref="Q347" si="1065">+P347*$X$1</f>
        <v>123</v>
      </c>
      <c r="R347" s="534">
        <f>F347+65</f>
        <v>113</v>
      </c>
      <c r="S347" s="257">
        <f t="shared" ref="S347" si="1066">+R347*$X$1</f>
        <v>113</v>
      </c>
      <c r="T347" s="93">
        <f>F347+50</f>
        <v>98</v>
      </c>
      <c r="U347" s="235">
        <f t="shared" ref="U347" si="1067">+T347*$X$1</f>
        <v>98</v>
      </c>
      <c r="V347" s="93">
        <f>F347+38</f>
        <v>86</v>
      </c>
      <c r="W347" s="235">
        <f t="shared" ref="W347" si="1068">+V347*$X$1</f>
        <v>86</v>
      </c>
      <c r="X347" s="119"/>
      <c r="Y347" s="119"/>
      <c r="Z347" s="119"/>
      <c r="AA347" s="119"/>
      <c r="AB347" s="353">
        <v>2149</v>
      </c>
    </row>
    <row r="348" spans="1:30" ht="12.6" customHeight="1" x14ac:dyDescent="0.25">
      <c r="A348" s="115"/>
      <c r="B348" s="667" t="s">
        <v>832</v>
      </c>
      <c r="C348" s="668"/>
      <c r="D348" s="668"/>
      <c r="E348" s="668"/>
      <c r="F348" s="334">
        <f>1.41*X2</f>
        <v>1875.3</v>
      </c>
      <c r="G348" s="258">
        <f t="shared" si="1061"/>
        <v>1875.3</v>
      </c>
      <c r="H348" s="251"/>
      <c r="I348" s="306"/>
      <c r="J348" s="483"/>
      <c r="K348" s="258"/>
      <c r="L348" s="484"/>
      <c r="M348" s="258"/>
      <c r="N348" s="484"/>
      <c r="O348" s="485"/>
      <c r="P348" s="251"/>
      <c r="Q348" s="306"/>
      <c r="R348" s="484"/>
      <c r="S348" s="485"/>
      <c r="T348" s="484"/>
      <c r="U348" s="485"/>
      <c r="V348" s="484"/>
      <c r="W348" s="485"/>
      <c r="X348" s="119"/>
      <c r="Y348" s="119"/>
      <c r="Z348" s="119"/>
      <c r="AA348" s="119"/>
      <c r="AB348" s="178">
        <v>2150</v>
      </c>
    </row>
    <row r="349" spans="1:30" ht="12.6" customHeight="1" x14ac:dyDescent="0.25">
      <c r="A349" s="115"/>
      <c r="B349" s="672" t="s">
        <v>199</v>
      </c>
      <c r="C349" s="673"/>
      <c r="D349" s="673"/>
      <c r="E349" s="673"/>
      <c r="F349" s="333">
        <f>0.85*X2</f>
        <v>1130.5</v>
      </c>
      <c r="G349" s="257">
        <f t="shared" si="1061"/>
        <v>1130.5</v>
      </c>
      <c r="H349" s="252"/>
      <c r="I349" s="305"/>
      <c r="J349" s="524"/>
      <c r="K349" s="257"/>
      <c r="L349" s="525"/>
      <c r="M349" s="257"/>
      <c r="N349" s="525"/>
      <c r="O349" s="526"/>
      <c r="P349" s="252"/>
      <c r="Q349" s="305"/>
      <c r="R349" s="525"/>
      <c r="S349" s="526"/>
      <c r="T349" s="525"/>
      <c r="U349" s="526"/>
      <c r="V349" s="525"/>
      <c r="W349" s="526"/>
      <c r="X349" s="119"/>
      <c r="Y349" s="119"/>
      <c r="Z349" s="119"/>
      <c r="AA349" s="119"/>
      <c r="AB349" s="178">
        <v>2151</v>
      </c>
    </row>
    <row r="350" spans="1:30" ht="12.6" customHeight="1" x14ac:dyDescent="0.2">
      <c r="A350" s="17"/>
      <c r="B350" s="707" t="s">
        <v>200</v>
      </c>
      <c r="C350" s="708"/>
      <c r="D350" s="708"/>
      <c r="E350" s="708"/>
      <c r="F350" s="336">
        <f>0.57*X2</f>
        <v>758.09999999999991</v>
      </c>
      <c r="G350" s="283">
        <f t="shared" si="1061"/>
        <v>758.09999999999991</v>
      </c>
      <c r="H350" s="500"/>
      <c r="I350" s="501"/>
      <c r="J350" s="92"/>
      <c r="K350" s="283"/>
      <c r="L350" s="406">
        <f t="shared" ref="L350:L364" si="1069">F350+160</f>
        <v>918.09999999999991</v>
      </c>
      <c r="M350" s="258">
        <f t="shared" ref="M350" si="1070">+L350*$X$1</f>
        <v>918.09999999999991</v>
      </c>
      <c r="N350" s="406">
        <f t="shared" ref="N350:N364" si="1071">F350+100</f>
        <v>858.09999999999991</v>
      </c>
      <c r="O350" s="258">
        <f t="shared" ref="O350" si="1072">+N350*$X$1</f>
        <v>858.09999999999991</v>
      </c>
      <c r="P350" s="406">
        <f t="shared" ref="P350:P356" si="1073">F350+75</f>
        <v>833.09999999999991</v>
      </c>
      <c r="Q350" s="258">
        <f t="shared" ref="Q350" si="1074">+P350*$X$1</f>
        <v>833.09999999999991</v>
      </c>
      <c r="R350" s="406">
        <f t="shared" ref="R350:R356" si="1075">F350+65</f>
        <v>823.09999999999991</v>
      </c>
      <c r="S350" s="258">
        <f t="shared" ref="S350" si="1076">+R350*$X$1</f>
        <v>823.09999999999991</v>
      </c>
      <c r="T350" s="92">
        <f t="shared" ref="T350:T356" si="1077">F350+50</f>
        <v>808.09999999999991</v>
      </c>
      <c r="U350" s="272">
        <f t="shared" ref="U350" si="1078">+T350*$X$1</f>
        <v>808.09999999999991</v>
      </c>
      <c r="V350" s="92">
        <f t="shared" ref="V350:V356" si="1079">F350+38</f>
        <v>796.09999999999991</v>
      </c>
      <c r="W350" s="272">
        <f t="shared" ref="W350" si="1080">+V350*$X$1</f>
        <v>796.09999999999991</v>
      </c>
      <c r="X350" s="119"/>
      <c r="Y350" s="119"/>
      <c r="Z350" s="119"/>
      <c r="AA350" s="119"/>
      <c r="AB350" s="367">
        <v>2153</v>
      </c>
      <c r="AC350" s="62"/>
    </row>
    <row r="351" spans="1:30" ht="12.6" customHeight="1" x14ac:dyDescent="0.2">
      <c r="A351" s="17"/>
      <c r="B351" s="672" t="s">
        <v>345</v>
      </c>
      <c r="C351" s="673"/>
      <c r="D351" s="673"/>
      <c r="E351" s="673"/>
      <c r="F351" s="333">
        <f>0.43*X2</f>
        <v>571.9</v>
      </c>
      <c r="G351" s="257">
        <f t="shared" si="1061"/>
        <v>571.9</v>
      </c>
      <c r="H351" s="252"/>
      <c r="I351" s="305"/>
      <c r="J351" s="534"/>
      <c r="K351" s="257"/>
      <c r="L351" s="534">
        <f t="shared" si="1069"/>
        <v>731.9</v>
      </c>
      <c r="M351" s="257">
        <f t="shared" ref="M351:M352" si="1081">+L351*$X$1</f>
        <v>731.9</v>
      </c>
      <c r="N351" s="534">
        <f t="shared" si="1071"/>
        <v>671.9</v>
      </c>
      <c r="O351" s="257">
        <f t="shared" ref="O351:O352" si="1082">+N351*$X$1</f>
        <v>671.9</v>
      </c>
      <c r="P351" s="534">
        <f t="shared" si="1073"/>
        <v>646.9</v>
      </c>
      <c r="Q351" s="257">
        <f t="shared" ref="Q351:Q352" si="1083">+P351*$X$1</f>
        <v>646.9</v>
      </c>
      <c r="R351" s="534">
        <f t="shared" si="1075"/>
        <v>636.9</v>
      </c>
      <c r="S351" s="257">
        <f t="shared" ref="S351:S352" si="1084">+R351*$X$1</f>
        <v>636.9</v>
      </c>
      <c r="T351" s="93">
        <f t="shared" si="1077"/>
        <v>621.9</v>
      </c>
      <c r="U351" s="235">
        <f t="shared" ref="U351:U352" si="1085">+T351*$X$1</f>
        <v>621.9</v>
      </c>
      <c r="V351" s="93">
        <f t="shared" si="1079"/>
        <v>609.9</v>
      </c>
      <c r="W351" s="235">
        <f t="shared" ref="W351:W352" si="1086">+V351*$X$1</f>
        <v>609.9</v>
      </c>
      <c r="X351" s="119"/>
      <c r="Y351" s="126"/>
      <c r="Z351" s="126"/>
      <c r="AA351" s="126"/>
      <c r="AB351" s="366">
        <v>2154</v>
      </c>
      <c r="AC351" s="21"/>
      <c r="AD351" s="21"/>
    </row>
    <row r="352" spans="1:30" ht="12.6" customHeight="1" x14ac:dyDescent="0.2">
      <c r="A352" s="17"/>
      <c r="B352" s="667" t="s">
        <v>346</v>
      </c>
      <c r="C352" s="668"/>
      <c r="D352" s="668"/>
      <c r="E352" s="668"/>
      <c r="F352" s="334">
        <f>0.51*X2</f>
        <v>678.30000000000007</v>
      </c>
      <c r="G352" s="258">
        <f t="shared" si="1061"/>
        <v>678.30000000000007</v>
      </c>
      <c r="H352" s="251"/>
      <c r="I352" s="306"/>
      <c r="J352" s="406"/>
      <c r="K352" s="258"/>
      <c r="L352" s="406">
        <f t="shared" si="1069"/>
        <v>838.30000000000007</v>
      </c>
      <c r="M352" s="258">
        <f t="shared" si="1081"/>
        <v>838.30000000000007</v>
      </c>
      <c r="N352" s="406">
        <f t="shared" si="1071"/>
        <v>778.30000000000007</v>
      </c>
      <c r="O352" s="258">
        <f t="shared" si="1082"/>
        <v>778.30000000000007</v>
      </c>
      <c r="P352" s="406">
        <f t="shared" si="1073"/>
        <v>753.30000000000007</v>
      </c>
      <c r="Q352" s="258">
        <f t="shared" si="1083"/>
        <v>753.30000000000007</v>
      </c>
      <c r="R352" s="406">
        <f t="shared" si="1075"/>
        <v>743.30000000000007</v>
      </c>
      <c r="S352" s="258">
        <f t="shared" si="1084"/>
        <v>743.30000000000007</v>
      </c>
      <c r="T352" s="92">
        <f t="shared" si="1077"/>
        <v>728.30000000000007</v>
      </c>
      <c r="U352" s="272">
        <f t="shared" si="1085"/>
        <v>728.30000000000007</v>
      </c>
      <c r="V352" s="92">
        <f t="shared" si="1079"/>
        <v>716.30000000000007</v>
      </c>
      <c r="W352" s="272">
        <f t="shared" si="1086"/>
        <v>716.30000000000007</v>
      </c>
      <c r="X352" s="138"/>
      <c r="Y352" s="119"/>
      <c r="Z352" s="126"/>
      <c r="AA352" s="126"/>
      <c r="AB352" s="366">
        <v>2156</v>
      </c>
      <c r="AC352" s="21"/>
      <c r="AD352" s="21"/>
    </row>
    <row r="353" spans="1:34" ht="12.6" customHeight="1" x14ac:dyDescent="0.2">
      <c r="A353" s="17"/>
      <c r="B353" s="678" t="s">
        <v>201</v>
      </c>
      <c r="C353" s="679"/>
      <c r="D353" s="679"/>
      <c r="E353" s="680"/>
      <c r="F353" s="333">
        <f>0.43*X2</f>
        <v>571.9</v>
      </c>
      <c r="G353" s="257">
        <f t="shared" ref="G353" si="1087">+F353*$X$1</f>
        <v>571.9</v>
      </c>
      <c r="H353" s="252"/>
      <c r="I353" s="305"/>
      <c r="J353" s="534"/>
      <c r="K353" s="257"/>
      <c r="L353" s="534">
        <f t="shared" si="1069"/>
        <v>731.9</v>
      </c>
      <c r="M353" s="257">
        <f t="shared" ref="M353:M357" si="1088">+L353*$X$1</f>
        <v>731.9</v>
      </c>
      <c r="N353" s="534">
        <f t="shared" si="1071"/>
        <v>671.9</v>
      </c>
      <c r="O353" s="257">
        <f t="shared" ref="O353:O357" si="1089">+N353*$X$1</f>
        <v>671.9</v>
      </c>
      <c r="P353" s="534">
        <f t="shared" si="1073"/>
        <v>646.9</v>
      </c>
      <c r="Q353" s="257">
        <f t="shared" ref="Q353:Q356" si="1090">+P353*$X$1</f>
        <v>646.9</v>
      </c>
      <c r="R353" s="534">
        <f t="shared" si="1075"/>
        <v>636.9</v>
      </c>
      <c r="S353" s="257">
        <f t="shared" ref="S353:S356" si="1091">+R353*$X$1</f>
        <v>636.9</v>
      </c>
      <c r="T353" s="93">
        <f t="shared" si="1077"/>
        <v>621.9</v>
      </c>
      <c r="U353" s="235">
        <f t="shared" ref="U353:U356" si="1092">+T353*$X$1</f>
        <v>621.9</v>
      </c>
      <c r="V353" s="93">
        <f t="shared" si="1079"/>
        <v>609.9</v>
      </c>
      <c r="W353" s="235">
        <f t="shared" ref="W353:W356" si="1093">+V353*$X$1</f>
        <v>609.9</v>
      </c>
      <c r="X353" s="119"/>
      <c r="Y353" s="126"/>
      <c r="Z353" s="126"/>
      <c r="AA353" s="126"/>
      <c r="AB353" s="366">
        <v>2160</v>
      </c>
      <c r="AC353" s="21"/>
      <c r="AD353" s="21"/>
      <c r="AH353" s="61"/>
    </row>
    <row r="354" spans="1:34" ht="12.6" customHeight="1" x14ac:dyDescent="0.2">
      <c r="A354" s="88"/>
      <c r="B354" s="717" t="s">
        <v>202</v>
      </c>
      <c r="C354" s="718"/>
      <c r="D354" s="718"/>
      <c r="E354" s="719"/>
      <c r="F354" s="334">
        <f>0.47*X2</f>
        <v>625.09999999999991</v>
      </c>
      <c r="G354" s="272">
        <f t="shared" ref="G354" si="1094">+F354*$X$1</f>
        <v>625.09999999999991</v>
      </c>
      <c r="H354" s="406"/>
      <c r="I354" s="406"/>
      <c r="J354" s="109"/>
      <c r="K354" s="258"/>
      <c r="L354" s="406">
        <f t="shared" si="1069"/>
        <v>785.09999999999991</v>
      </c>
      <c r="M354" s="258">
        <f t="shared" si="1088"/>
        <v>785.09999999999991</v>
      </c>
      <c r="N354" s="406">
        <f t="shared" si="1071"/>
        <v>725.09999999999991</v>
      </c>
      <c r="O354" s="258">
        <f t="shared" si="1089"/>
        <v>725.09999999999991</v>
      </c>
      <c r="P354" s="406">
        <f t="shared" si="1073"/>
        <v>700.09999999999991</v>
      </c>
      <c r="Q354" s="258">
        <f t="shared" si="1090"/>
        <v>700.09999999999991</v>
      </c>
      <c r="R354" s="406">
        <f t="shared" si="1075"/>
        <v>690.09999999999991</v>
      </c>
      <c r="S354" s="258">
        <f t="shared" si="1091"/>
        <v>690.09999999999991</v>
      </c>
      <c r="T354" s="92">
        <f t="shared" si="1077"/>
        <v>675.09999999999991</v>
      </c>
      <c r="U354" s="272">
        <f t="shared" si="1092"/>
        <v>675.09999999999991</v>
      </c>
      <c r="V354" s="92">
        <f t="shared" si="1079"/>
        <v>663.09999999999991</v>
      </c>
      <c r="W354" s="272">
        <f t="shared" si="1093"/>
        <v>663.09999999999991</v>
      </c>
      <c r="X354" s="119"/>
      <c r="Y354" s="126"/>
      <c r="Z354" s="126"/>
      <c r="AA354" s="126"/>
      <c r="AB354" s="353">
        <v>2174</v>
      </c>
      <c r="AC354" s="63"/>
      <c r="AD354" s="21"/>
    </row>
    <row r="355" spans="1:34" ht="12.6" customHeight="1" x14ac:dyDescent="0.2">
      <c r="A355" s="88"/>
      <c r="B355" s="1138" t="s">
        <v>203</v>
      </c>
      <c r="C355" s="1139"/>
      <c r="D355" s="1139"/>
      <c r="E355" s="1140"/>
      <c r="F355" s="333">
        <f>0.47*X2</f>
        <v>625.09999999999991</v>
      </c>
      <c r="G355" s="235">
        <f>+F355*$X$1</f>
        <v>625.09999999999991</v>
      </c>
      <c r="H355" s="534"/>
      <c r="I355" s="534"/>
      <c r="J355" s="110"/>
      <c r="K355" s="257"/>
      <c r="L355" s="534">
        <f t="shared" si="1069"/>
        <v>785.09999999999991</v>
      </c>
      <c r="M355" s="257">
        <f t="shared" si="1088"/>
        <v>785.09999999999991</v>
      </c>
      <c r="N355" s="534">
        <f t="shared" si="1071"/>
        <v>725.09999999999991</v>
      </c>
      <c r="O355" s="257">
        <f t="shared" si="1089"/>
        <v>725.09999999999991</v>
      </c>
      <c r="P355" s="534">
        <f t="shared" si="1073"/>
        <v>700.09999999999991</v>
      </c>
      <c r="Q355" s="257">
        <f t="shared" si="1090"/>
        <v>700.09999999999991</v>
      </c>
      <c r="R355" s="534">
        <f t="shared" si="1075"/>
        <v>690.09999999999991</v>
      </c>
      <c r="S355" s="257">
        <f t="shared" si="1091"/>
        <v>690.09999999999991</v>
      </c>
      <c r="T355" s="93">
        <f t="shared" si="1077"/>
        <v>675.09999999999991</v>
      </c>
      <c r="U355" s="235">
        <f t="shared" si="1092"/>
        <v>675.09999999999991</v>
      </c>
      <c r="V355" s="93">
        <f t="shared" si="1079"/>
        <v>663.09999999999991</v>
      </c>
      <c r="W355" s="235">
        <f t="shared" si="1093"/>
        <v>663.09999999999991</v>
      </c>
      <c r="X355" s="119"/>
      <c r="Y355" s="126"/>
      <c r="Z355" s="126"/>
      <c r="AA355" s="126"/>
      <c r="AB355" s="353" t="s">
        <v>310</v>
      </c>
      <c r="AC355" s="63"/>
      <c r="AD355" s="21"/>
    </row>
    <row r="356" spans="1:34" ht="12.6" customHeight="1" x14ac:dyDescent="0.2">
      <c r="A356" s="88"/>
      <c r="B356" s="667" t="s">
        <v>626</v>
      </c>
      <c r="C356" s="668"/>
      <c r="D356" s="668"/>
      <c r="E356" s="668"/>
      <c r="F356" s="334">
        <f>0.49*X2</f>
        <v>651.69999999999993</v>
      </c>
      <c r="G356" s="272">
        <f>+F356*$X$1</f>
        <v>651.69999999999993</v>
      </c>
      <c r="H356" s="406"/>
      <c r="I356" s="406"/>
      <c r="J356" s="109"/>
      <c r="K356" s="258"/>
      <c r="L356" s="406">
        <f t="shared" si="1069"/>
        <v>811.69999999999993</v>
      </c>
      <c r="M356" s="258">
        <f t="shared" si="1088"/>
        <v>811.69999999999993</v>
      </c>
      <c r="N356" s="406">
        <f t="shared" si="1071"/>
        <v>751.69999999999993</v>
      </c>
      <c r="O356" s="258">
        <f t="shared" si="1089"/>
        <v>751.69999999999993</v>
      </c>
      <c r="P356" s="406">
        <f t="shared" si="1073"/>
        <v>726.69999999999993</v>
      </c>
      <c r="Q356" s="258">
        <f t="shared" si="1090"/>
        <v>726.69999999999993</v>
      </c>
      <c r="R356" s="406">
        <f t="shared" si="1075"/>
        <v>716.69999999999993</v>
      </c>
      <c r="S356" s="258">
        <f t="shared" si="1091"/>
        <v>716.69999999999993</v>
      </c>
      <c r="T356" s="92">
        <f t="shared" si="1077"/>
        <v>701.69999999999993</v>
      </c>
      <c r="U356" s="272">
        <f t="shared" si="1092"/>
        <v>701.69999999999993</v>
      </c>
      <c r="V356" s="92">
        <f t="shared" si="1079"/>
        <v>689.69999999999993</v>
      </c>
      <c r="W356" s="272">
        <f t="shared" si="1093"/>
        <v>689.69999999999993</v>
      </c>
      <c r="X356" s="119"/>
      <c r="Y356" s="126"/>
      <c r="Z356" s="126"/>
      <c r="AA356" s="126"/>
      <c r="AB356" s="353">
        <v>2180</v>
      </c>
      <c r="AC356" s="21"/>
      <c r="AD356" s="21"/>
    </row>
    <row r="357" spans="1:34" ht="12" customHeight="1" x14ac:dyDescent="0.2">
      <c r="A357" s="170"/>
      <c r="B357" s="678" t="s">
        <v>204</v>
      </c>
      <c r="C357" s="1003"/>
      <c r="D357" s="1003"/>
      <c r="E357" s="1004"/>
      <c r="F357" s="333">
        <f>0.64*X2</f>
        <v>851.2</v>
      </c>
      <c r="G357" s="235">
        <f>+F357*$X$1</f>
        <v>851.2</v>
      </c>
      <c r="H357" s="534"/>
      <c r="I357" s="534"/>
      <c r="J357" s="110"/>
      <c r="K357" s="257"/>
      <c r="L357" s="534">
        <f t="shared" si="1069"/>
        <v>1011.2</v>
      </c>
      <c r="M357" s="257">
        <f t="shared" si="1088"/>
        <v>1011.2</v>
      </c>
      <c r="N357" s="534">
        <f t="shared" si="1071"/>
        <v>951.2</v>
      </c>
      <c r="O357" s="257">
        <f t="shared" si="1089"/>
        <v>951.2</v>
      </c>
      <c r="P357" s="534"/>
      <c r="Q357" s="257"/>
      <c r="R357" s="534"/>
      <c r="S357" s="257"/>
      <c r="T357" s="93"/>
      <c r="U357" s="235"/>
      <c r="V357" s="93"/>
      <c r="W357" s="235"/>
      <c r="X357" s="119"/>
      <c r="Y357" s="119"/>
      <c r="Z357" s="119"/>
      <c r="AA357" s="119"/>
      <c r="AB357" s="353">
        <v>2184</v>
      </c>
    </row>
    <row r="358" spans="1:34" ht="12" customHeight="1" x14ac:dyDescent="0.2">
      <c r="A358" s="170"/>
      <c r="B358" s="687" t="s">
        <v>205</v>
      </c>
      <c r="C358" s="688"/>
      <c r="D358" s="688"/>
      <c r="E358" s="689"/>
      <c r="F358" s="334">
        <f>0.64*X2</f>
        <v>851.2</v>
      </c>
      <c r="G358" s="272">
        <f>+F358*$X$1</f>
        <v>851.2</v>
      </c>
      <c r="H358" s="406"/>
      <c r="I358" s="406"/>
      <c r="J358" s="109"/>
      <c r="K358" s="258"/>
      <c r="L358" s="406">
        <f t="shared" si="1069"/>
        <v>1011.2</v>
      </c>
      <c r="M358" s="258">
        <f t="shared" ref="M358:M360" si="1095">+L358*$X$1</f>
        <v>1011.2</v>
      </c>
      <c r="N358" s="406">
        <f t="shared" si="1071"/>
        <v>951.2</v>
      </c>
      <c r="O358" s="258">
        <f t="shared" ref="O358:O360" si="1096">+N358*$X$1</f>
        <v>951.2</v>
      </c>
      <c r="P358" s="406">
        <f t="shared" ref="P358:P364" si="1097">F358+75</f>
        <v>926.2</v>
      </c>
      <c r="Q358" s="258">
        <f t="shared" ref="Q358:Q360" si="1098">+P358*$X$1</f>
        <v>926.2</v>
      </c>
      <c r="R358" s="406">
        <f t="shared" ref="R358:R362" si="1099">F358+65</f>
        <v>916.2</v>
      </c>
      <c r="S358" s="258">
        <f t="shared" ref="S358:S360" si="1100">+R358*$X$1</f>
        <v>916.2</v>
      </c>
      <c r="T358" s="92">
        <f t="shared" ref="T358:T362" si="1101">F358+50</f>
        <v>901.2</v>
      </c>
      <c r="U358" s="272">
        <f t="shared" ref="U358:U360" si="1102">+T358*$X$1</f>
        <v>901.2</v>
      </c>
      <c r="V358" s="92">
        <f t="shared" ref="V358:V362" si="1103">F358+38</f>
        <v>889.2</v>
      </c>
      <c r="W358" s="272">
        <f t="shared" ref="W358:W360" si="1104">+V358*$X$1</f>
        <v>889.2</v>
      </c>
      <c r="X358" s="119"/>
      <c r="Y358" s="119"/>
      <c r="Z358" s="119"/>
      <c r="AA358" s="119"/>
      <c r="AB358" s="353" t="s">
        <v>206</v>
      </c>
    </row>
    <row r="359" spans="1:34" ht="12" customHeight="1" x14ac:dyDescent="0.2">
      <c r="A359" s="88"/>
      <c r="B359" s="678" t="s">
        <v>207</v>
      </c>
      <c r="C359" s="679"/>
      <c r="D359" s="679"/>
      <c r="E359" s="680"/>
      <c r="F359" s="333">
        <f>0.34*X2</f>
        <v>452.20000000000005</v>
      </c>
      <c r="G359" s="235">
        <f>+F359*$X$1</f>
        <v>452.20000000000005</v>
      </c>
      <c r="H359" s="534"/>
      <c r="I359" s="534"/>
      <c r="J359" s="110"/>
      <c r="K359" s="257"/>
      <c r="L359" s="534">
        <f t="shared" si="1069"/>
        <v>612.20000000000005</v>
      </c>
      <c r="M359" s="257">
        <f t="shared" si="1095"/>
        <v>612.20000000000005</v>
      </c>
      <c r="N359" s="534">
        <f t="shared" si="1071"/>
        <v>552.20000000000005</v>
      </c>
      <c r="O359" s="257">
        <f t="shared" si="1096"/>
        <v>552.20000000000005</v>
      </c>
      <c r="P359" s="534">
        <f t="shared" si="1097"/>
        <v>527.20000000000005</v>
      </c>
      <c r="Q359" s="257">
        <f t="shared" si="1098"/>
        <v>527.20000000000005</v>
      </c>
      <c r="R359" s="534">
        <f t="shared" si="1099"/>
        <v>517.20000000000005</v>
      </c>
      <c r="S359" s="257">
        <f t="shared" si="1100"/>
        <v>517.20000000000005</v>
      </c>
      <c r="T359" s="93">
        <f t="shared" si="1101"/>
        <v>502.20000000000005</v>
      </c>
      <c r="U359" s="235">
        <f t="shared" si="1102"/>
        <v>502.20000000000005</v>
      </c>
      <c r="V359" s="93">
        <f t="shared" si="1103"/>
        <v>490.20000000000005</v>
      </c>
      <c r="W359" s="235">
        <f t="shared" si="1104"/>
        <v>490.20000000000005</v>
      </c>
      <c r="X359" s="119"/>
      <c r="Y359" s="119"/>
      <c r="Z359" s="119"/>
      <c r="AA359" s="119"/>
      <c r="AB359" s="353">
        <v>2189</v>
      </c>
    </row>
    <row r="360" spans="1:34" ht="12.6" customHeight="1" x14ac:dyDescent="0.2">
      <c r="A360" s="88"/>
      <c r="B360" s="687" t="s">
        <v>208</v>
      </c>
      <c r="C360" s="688"/>
      <c r="D360" s="688"/>
      <c r="E360" s="689"/>
      <c r="F360" s="334">
        <f>0.54*X2</f>
        <v>718.2</v>
      </c>
      <c r="G360" s="272">
        <f t="shared" ref="G360" si="1105">+F360*$X$1</f>
        <v>718.2</v>
      </c>
      <c r="H360" s="406"/>
      <c r="I360" s="406"/>
      <c r="J360" s="109"/>
      <c r="K360" s="258"/>
      <c r="L360" s="406">
        <f t="shared" si="1069"/>
        <v>878.2</v>
      </c>
      <c r="M360" s="258">
        <f t="shared" si="1095"/>
        <v>878.2</v>
      </c>
      <c r="N360" s="406">
        <f t="shared" si="1071"/>
        <v>818.2</v>
      </c>
      <c r="O360" s="258">
        <f t="shared" si="1096"/>
        <v>818.2</v>
      </c>
      <c r="P360" s="406">
        <f t="shared" si="1097"/>
        <v>793.2</v>
      </c>
      <c r="Q360" s="258">
        <f t="shared" si="1098"/>
        <v>793.2</v>
      </c>
      <c r="R360" s="406">
        <f t="shared" si="1099"/>
        <v>783.2</v>
      </c>
      <c r="S360" s="258">
        <f t="shared" si="1100"/>
        <v>783.2</v>
      </c>
      <c r="T360" s="92">
        <f t="shared" si="1101"/>
        <v>768.2</v>
      </c>
      <c r="U360" s="272">
        <f t="shared" si="1102"/>
        <v>768.2</v>
      </c>
      <c r="V360" s="92">
        <f t="shared" si="1103"/>
        <v>756.2</v>
      </c>
      <c r="W360" s="272">
        <f t="shared" si="1104"/>
        <v>756.2</v>
      </c>
      <c r="X360" s="119"/>
      <c r="Y360" s="119"/>
      <c r="Z360" s="119"/>
      <c r="AA360" s="119"/>
      <c r="AB360" s="353">
        <v>2190</v>
      </c>
    </row>
    <row r="361" spans="1:34" ht="12.6" customHeight="1" x14ac:dyDescent="0.2">
      <c r="A361" s="17"/>
      <c r="B361" s="672" t="s">
        <v>209</v>
      </c>
      <c r="C361" s="673"/>
      <c r="D361" s="673"/>
      <c r="E361" s="673"/>
      <c r="F361" s="333">
        <f>0.503*X2</f>
        <v>668.99</v>
      </c>
      <c r="G361" s="235">
        <f>+F361*$X$1</f>
        <v>668.99</v>
      </c>
      <c r="H361" s="559"/>
      <c r="I361" s="559"/>
      <c r="J361" s="110"/>
      <c r="K361" s="257"/>
      <c r="L361" s="559">
        <f t="shared" si="1069"/>
        <v>828.99</v>
      </c>
      <c r="M361" s="257">
        <f t="shared" ref="M361:M363" si="1106">+L361*$X$1</f>
        <v>828.99</v>
      </c>
      <c r="N361" s="559">
        <f t="shared" si="1071"/>
        <v>768.99</v>
      </c>
      <c r="O361" s="257">
        <f t="shared" ref="O361:O363" si="1107">+N361*$X$1</f>
        <v>768.99</v>
      </c>
      <c r="P361" s="559">
        <f t="shared" si="1097"/>
        <v>743.99</v>
      </c>
      <c r="Q361" s="257">
        <f t="shared" ref="Q361:Q363" si="1108">+P361*$X$1</f>
        <v>743.99</v>
      </c>
      <c r="R361" s="559">
        <f t="shared" si="1099"/>
        <v>733.99</v>
      </c>
      <c r="S361" s="257">
        <f t="shared" ref="S361:S362" si="1109">+R361*$X$1</f>
        <v>733.99</v>
      </c>
      <c r="T361" s="93">
        <f t="shared" si="1101"/>
        <v>718.99</v>
      </c>
      <c r="U361" s="235">
        <f t="shared" ref="U361:U362" si="1110">+T361*$X$1</f>
        <v>718.99</v>
      </c>
      <c r="V361" s="93">
        <f t="shared" si="1103"/>
        <v>706.99</v>
      </c>
      <c r="W361" s="235">
        <f t="shared" ref="W361:W362" si="1111">+V361*$X$1</f>
        <v>706.99</v>
      </c>
      <c r="X361" s="119"/>
      <c r="Y361" s="119"/>
      <c r="Z361" s="119"/>
      <c r="AA361" s="119"/>
      <c r="AB361" s="353">
        <v>2194</v>
      </c>
    </row>
    <row r="362" spans="1:34" ht="12.6" customHeight="1" x14ac:dyDescent="0.2">
      <c r="A362" s="17"/>
      <c r="B362" s="1189" t="s">
        <v>210</v>
      </c>
      <c r="C362" s="1190"/>
      <c r="D362" s="1190"/>
      <c r="E362" s="1191"/>
      <c r="F362" s="334">
        <f>0.596*X2</f>
        <v>792.68</v>
      </c>
      <c r="G362" s="272">
        <f>+F362*$X$1</f>
        <v>792.68</v>
      </c>
      <c r="H362" s="576"/>
      <c r="I362" s="576"/>
      <c r="J362" s="109"/>
      <c r="K362" s="258"/>
      <c r="L362" s="576">
        <f t="shared" si="1069"/>
        <v>952.68</v>
      </c>
      <c r="M362" s="258">
        <f t="shared" si="1106"/>
        <v>952.68</v>
      </c>
      <c r="N362" s="576">
        <f t="shared" si="1071"/>
        <v>892.68</v>
      </c>
      <c r="O362" s="258">
        <f t="shared" si="1107"/>
        <v>892.68</v>
      </c>
      <c r="P362" s="576">
        <f t="shared" si="1097"/>
        <v>867.68</v>
      </c>
      <c r="Q362" s="258">
        <f t="shared" si="1108"/>
        <v>867.68</v>
      </c>
      <c r="R362" s="576">
        <f t="shared" si="1099"/>
        <v>857.68</v>
      </c>
      <c r="S362" s="258">
        <f t="shared" si="1109"/>
        <v>857.68</v>
      </c>
      <c r="T362" s="92">
        <f t="shared" si="1101"/>
        <v>842.68</v>
      </c>
      <c r="U362" s="272">
        <f t="shared" si="1110"/>
        <v>842.68</v>
      </c>
      <c r="V362" s="92">
        <f t="shared" si="1103"/>
        <v>830.68</v>
      </c>
      <c r="W362" s="272">
        <f t="shared" si="1111"/>
        <v>830.68</v>
      </c>
      <c r="X362" s="119"/>
      <c r="Y362" s="119"/>
      <c r="Z362" s="119"/>
      <c r="AA362" s="119"/>
      <c r="AB362" s="353">
        <v>2195</v>
      </c>
    </row>
    <row r="363" spans="1:34" ht="12.6" customHeight="1" x14ac:dyDescent="0.2">
      <c r="A363" s="17"/>
      <c r="B363" s="709" t="s">
        <v>211</v>
      </c>
      <c r="C363" s="710"/>
      <c r="D363" s="710"/>
      <c r="E363" s="710"/>
      <c r="F363" s="473">
        <f>0.35*X2</f>
        <v>465.49999999999994</v>
      </c>
      <c r="G363" s="548">
        <f>+F363*$X$1</f>
        <v>465.49999999999994</v>
      </c>
      <c r="H363" s="603"/>
      <c r="I363" s="603"/>
      <c r="J363" s="603"/>
      <c r="K363" s="469"/>
      <c r="L363" s="603">
        <f t="shared" si="1069"/>
        <v>625.5</v>
      </c>
      <c r="M363" s="469">
        <f t="shared" si="1106"/>
        <v>625.5</v>
      </c>
      <c r="N363" s="603">
        <f t="shared" si="1071"/>
        <v>565.5</v>
      </c>
      <c r="O363" s="469">
        <f t="shared" si="1107"/>
        <v>565.5</v>
      </c>
      <c r="P363" s="603">
        <f t="shared" si="1097"/>
        <v>540.5</v>
      </c>
      <c r="Q363" s="469">
        <f t="shared" si="1108"/>
        <v>540.5</v>
      </c>
      <c r="R363" s="603"/>
      <c r="S363" s="469"/>
      <c r="T363" s="549"/>
      <c r="U363" s="548"/>
      <c r="V363" s="549"/>
      <c r="W363" s="548"/>
      <c r="X363" s="119"/>
      <c r="Y363" s="119"/>
      <c r="Z363" s="119"/>
      <c r="AA363" s="119"/>
      <c r="AB363" s="353">
        <v>2198</v>
      </c>
    </row>
    <row r="364" spans="1:34" ht="12.6" customHeight="1" x14ac:dyDescent="0.2">
      <c r="A364" s="94"/>
      <c r="B364" s="667" t="s">
        <v>301</v>
      </c>
      <c r="C364" s="737"/>
      <c r="D364" s="737"/>
      <c r="E364" s="737"/>
      <c r="F364" s="334">
        <f>0.4*X2</f>
        <v>532</v>
      </c>
      <c r="G364" s="272">
        <f>+F364*$X$1</f>
        <v>532</v>
      </c>
      <c r="H364" s="576"/>
      <c r="I364" s="576"/>
      <c r="J364" s="576"/>
      <c r="K364" s="258"/>
      <c r="L364" s="576">
        <f t="shared" si="1069"/>
        <v>692</v>
      </c>
      <c r="M364" s="258">
        <f t="shared" ref="M364" si="1112">+L364*$X$1</f>
        <v>692</v>
      </c>
      <c r="N364" s="576">
        <f t="shared" si="1071"/>
        <v>632</v>
      </c>
      <c r="O364" s="258">
        <f t="shared" ref="O364" si="1113">+N364*$X$1</f>
        <v>632</v>
      </c>
      <c r="P364" s="576">
        <f t="shared" si="1097"/>
        <v>607</v>
      </c>
      <c r="Q364" s="258">
        <f t="shared" ref="Q364" si="1114">+P364*$X$1</f>
        <v>607</v>
      </c>
      <c r="R364" s="576">
        <f>F364+65</f>
        <v>597</v>
      </c>
      <c r="S364" s="258">
        <f t="shared" ref="S364" si="1115">+R364*$X$1</f>
        <v>597</v>
      </c>
      <c r="T364" s="92">
        <f>F364+50</f>
        <v>582</v>
      </c>
      <c r="U364" s="272">
        <f t="shared" ref="U364" si="1116">+T364*$X$1</f>
        <v>582</v>
      </c>
      <c r="V364" s="92">
        <f>F364+38</f>
        <v>570</v>
      </c>
      <c r="W364" s="272">
        <f t="shared" ref="W364" si="1117">+V364*$X$1</f>
        <v>570</v>
      </c>
      <c r="X364" s="140"/>
      <c r="Y364" s="119"/>
      <c r="Z364" s="119"/>
      <c r="AA364" s="119"/>
      <c r="AB364" s="353">
        <v>2202</v>
      </c>
    </row>
    <row r="365" spans="1:34" ht="12.6" customHeight="1" x14ac:dyDescent="0.2">
      <c r="A365" s="94"/>
      <c r="B365" s="672" t="s">
        <v>302</v>
      </c>
      <c r="C365" s="684"/>
      <c r="D365" s="684"/>
      <c r="E365" s="684"/>
      <c r="F365" s="333">
        <f>0.4*X2</f>
        <v>532</v>
      </c>
      <c r="G365" s="235">
        <f t="shared" ref="G365:G369" si="1118">+F365*$X$1</f>
        <v>532</v>
      </c>
      <c r="H365" s="559"/>
      <c r="I365" s="559"/>
      <c r="J365" s="559"/>
      <c r="K365" s="257"/>
      <c r="L365" s="559">
        <f t="shared" ref="L365:L372" si="1119">F365+160</f>
        <v>692</v>
      </c>
      <c r="M365" s="257">
        <f t="shared" ref="M365:M373" si="1120">+L365*$X$1</f>
        <v>692</v>
      </c>
      <c r="N365" s="559">
        <f t="shared" ref="N365:N372" si="1121">F365+100</f>
        <v>632</v>
      </c>
      <c r="O365" s="257">
        <f t="shared" ref="O365:O372" si="1122">+N365*$X$1</f>
        <v>632</v>
      </c>
      <c r="P365" s="559">
        <f t="shared" ref="P365:P372" si="1123">F365+75</f>
        <v>607</v>
      </c>
      <c r="Q365" s="257">
        <f t="shared" ref="Q365:Q373" si="1124">+P365*$X$1</f>
        <v>607</v>
      </c>
      <c r="R365" s="559">
        <f t="shared" ref="R365:R372" si="1125">F365+65</f>
        <v>597</v>
      </c>
      <c r="S365" s="257">
        <f t="shared" ref="S365:S372" si="1126">+R365*$X$1</f>
        <v>597</v>
      </c>
      <c r="T365" s="93">
        <f t="shared" ref="T365:T372" si="1127">F365+50</f>
        <v>582</v>
      </c>
      <c r="U365" s="235">
        <f t="shared" ref="U365:U373" si="1128">+T365*$X$1</f>
        <v>582</v>
      </c>
      <c r="V365" s="93">
        <f t="shared" ref="V365:V372" si="1129">F365+38</f>
        <v>570</v>
      </c>
      <c r="W365" s="235">
        <f t="shared" ref="W365:W373" si="1130">+V365*$X$1</f>
        <v>570</v>
      </c>
      <c r="X365" s="119"/>
      <c r="Y365" s="119"/>
      <c r="Z365" s="119"/>
      <c r="AA365" s="119"/>
      <c r="AB365" s="353" t="s">
        <v>212</v>
      </c>
    </row>
    <row r="366" spans="1:34" ht="12.6" customHeight="1" x14ac:dyDescent="0.2">
      <c r="A366" s="94"/>
      <c r="B366" s="667" t="s">
        <v>303</v>
      </c>
      <c r="C366" s="737"/>
      <c r="D366" s="737"/>
      <c r="E366" s="737"/>
      <c r="F366" s="334">
        <f>0.4*X2</f>
        <v>532</v>
      </c>
      <c r="G366" s="272">
        <f t="shared" ref="G366:G370" si="1131">+F366*$X$1</f>
        <v>532</v>
      </c>
      <c r="H366" s="576"/>
      <c r="I366" s="576"/>
      <c r="J366" s="576"/>
      <c r="K366" s="283"/>
      <c r="L366" s="576">
        <f t="shared" si="1119"/>
        <v>692</v>
      </c>
      <c r="M366" s="258">
        <f t="shared" si="1120"/>
        <v>692</v>
      </c>
      <c r="N366" s="576">
        <f t="shared" si="1121"/>
        <v>632</v>
      </c>
      <c r="O366" s="258">
        <f t="shared" si="1122"/>
        <v>632</v>
      </c>
      <c r="P366" s="576">
        <f t="shared" si="1123"/>
        <v>607</v>
      </c>
      <c r="Q366" s="258">
        <f t="shared" si="1124"/>
        <v>607</v>
      </c>
      <c r="R366" s="576">
        <f t="shared" si="1125"/>
        <v>597</v>
      </c>
      <c r="S366" s="258">
        <f t="shared" si="1126"/>
        <v>597</v>
      </c>
      <c r="T366" s="92">
        <f t="shared" si="1127"/>
        <v>582</v>
      </c>
      <c r="U366" s="272">
        <f t="shared" si="1128"/>
        <v>582</v>
      </c>
      <c r="V366" s="92">
        <f t="shared" si="1129"/>
        <v>570</v>
      </c>
      <c r="W366" s="272">
        <f t="shared" si="1130"/>
        <v>570</v>
      </c>
      <c r="X366" s="119"/>
      <c r="Y366" s="119"/>
      <c r="Z366" s="119"/>
      <c r="AA366" s="119"/>
      <c r="AB366" s="353" t="s">
        <v>213</v>
      </c>
    </row>
    <row r="367" spans="1:34" ht="12.6" customHeight="1" x14ac:dyDescent="0.2">
      <c r="A367" s="94"/>
      <c r="B367" s="672" t="s">
        <v>785</v>
      </c>
      <c r="C367" s="684"/>
      <c r="D367" s="684"/>
      <c r="E367" s="684"/>
      <c r="F367" s="333">
        <f>0.4*X2</f>
        <v>532</v>
      </c>
      <c r="G367" s="235">
        <f t="shared" ref="G367" si="1132">+F367*$X$1</f>
        <v>532</v>
      </c>
      <c r="H367" s="559"/>
      <c r="I367" s="559"/>
      <c r="J367" s="559"/>
      <c r="K367" s="273"/>
      <c r="L367" s="559">
        <f t="shared" si="1119"/>
        <v>692</v>
      </c>
      <c r="M367" s="257">
        <f t="shared" si="1120"/>
        <v>692</v>
      </c>
      <c r="N367" s="559">
        <f t="shared" si="1121"/>
        <v>632</v>
      </c>
      <c r="O367" s="257">
        <f t="shared" si="1122"/>
        <v>632</v>
      </c>
      <c r="P367" s="559">
        <f t="shared" si="1123"/>
        <v>607</v>
      </c>
      <c r="Q367" s="257">
        <f t="shared" si="1124"/>
        <v>607</v>
      </c>
      <c r="R367" s="559">
        <f t="shared" si="1125"/>
        <v>597</v>
      </c>
      <c r="S367" s="257">
        <f t="shared" si="1126"/>
        <v>597</v>
      </c>
      <c r="T367" s="93">
        <f t="shared" si="1127"/>
        <v>582</v>
      </c>
      <c r="U367" s="235">
        <f t="shared" si="1128"/>
        <v>582</v>
      </c>
      <c r="V367" s="93">
        <f t="shared" si="1129"/>
        <v>570</v>
      </c>
      <c r="W367" s="235">
        <f t="shared" si="1130"/>
        <v>570</v>
      </c>
      <c r="X367" s="119"/>
      <c r="Y367" s="119"/>
      <c r="Z367" s="119"/>
      <c r="AA367" s="119"/>
      <c r="AB367" s="453" t="s">
        <v>784</v>
      </c>
    </row>
    <row r="368" spans="1:34" ht="12.6" customHeight="1" x14ac:dyDescent="0.2">
      <c r="A368" s="94"/>
      <c r="B368" s="776" t="s">
        <v>586</v>
      </c>
      <c r="C368" s="1144"/>
      <c r="D368" s="1144"/>
      <c r="E368" s="1145"/>
      <c r="F368" s="334">
        <f>0.597*X2</f>
        <v>794.01</v>
      </c>
      <c r="G368" s="272">
        <f t="shared" si="1131"/>
        <v>794.01</v>
      </c>
      <c r="H368" s="576"/>
      <c r="I368" s="576"/>
      <c r="J368" s="576"/>
      <c r="K368" s="258"/>
      <c r="L368" s="576">
        <f t="shared" si="1119"/>
        <v>954.01</v>
      </c>
      <c r="M368" s="258">
        <f t="shared" si="1120"/>
        <v>954.01</v>
      </c>
      <c r="N368" s="576">
        <f t="shared" si="1121"/>
        <v>894.01</v>
      </c>
      <c r="O368" s="258">
        <f t="shared" si="1122"/>
        <v>894.01</v>
      </c>
      <c r="P368" s="576">
        <f t="shared" si="1123"/>
        <v>869.01</v>
      </c>
      <c r="Q368" s="258">
        <f t="shared" si="1124"/>
        <v>869.01</v>
      </c>
      <c r="R368" s="576">
        <f t="shared" si="1125"/>
        <v>859.01</v>
      </c>
      <c r="S368" s="258">
        <f t="shared" si="1126"/>
        <v>859.01</v>
      </c>
      <c r="T368" s="92">
        <f t="shared" si="1127"/>
        <v>844.01</v>
      </c>
      <c r="U368" s="272">
        <f t="shared" si="1128"/>
        <v>844.01</v>
      </c>
      <c r="V368" s="92">
        <f t="shared" si="1129"/>
        <v>832.01</v>
      </c>
      <c r="W368" s="272">
        <f t="shared" si="1130"/>
        <v>832.01</v>
      </c>
      <c r="X368" s="677"/>
      <c r="Y368" s="677"/>
      <c r="Z368" s="677"/>
      <c r="AA368" s="676"/>
      <c r="AB368" s="353" t="s">
        <v>590</v>
      </c>
      <c r="AC368" s="62"/>
      <c r="AE368" s="80"/>
    </row>
    <row r="369" spans="1:31" ht="12.6" customHeight="1" x14ac:dyDescent="0.2">
      <c r="A369" s="94"/>
      <c r="B369" s="773" t="s">
        <v>214</v>
      </c>
      <c r="C369" s="1141"/>
      <c r="D369" s="1141"/>
      <c r="E369" s="1142"/>
      <c r="F369" s="333">
        <f>0.67*X2</f>
        <v>891.1</v>
      </c>
      <c r="G369" s="235">
        <f t="shared" si="1118"/>
        <v>891.1</v>
      </c>
      <c r="H369" s="559"/>
      <c r="I369" s="559"/>
      <c r="J369" s="559"/>
      <c r="K369" s="257"/>
      <c r="L369" s="559">
        <f t="shared" si="1119"/>
        <v>1051.0999999999999</v>
      </c>
      <c r="M369" s="257">
        <f t="shared" si="1120"/>
        <v>1051.0999999999999</v>
      </c>
      <c r="N369" s="559">
        <f t="shared" si="1121"/>
        <v>991.1</v>
      </c>
      <c r="O369" s="257">
        <f t="shared" si="1122"/>
        <v>991.1</v>
      </c>
      <c r="P369" s="559">
        <f t="shared" si="1123"/>
        <v>966.1</v>
      </c>
      <c r="Q369" s="257">
        <f t="shared" si="1124"/>
        <v>966.1</v>
      </c>
      <c r="R369" s="559">
        <f t="shared" si="1125"/>
        <v>956.1</v>
      </c>
      <c r="S369" s="257">
        <f t="shared" si="1126"/>
        <v>956.1</v>
      </c>
      <c r="T369" s="93">
        <f t="shared" si="1127"/>
        <v>941.1</v>
      </c>
      <c r="U369" s="235">
        <f t="shared" si="1128"/>
        <v>941.1</v>
      </c>
      <c r="V369" s="93">
        <f t="shared" si="1129"/>
        <v>929.1</v>
      </c>
      <c r="W369" s="235">
        <f t="shared" si="1130"/>
        <v>929.1</v>
      </c>
      <c r="X369" s="677"/>
      <c r="Y369" s="677"/>
      <c r="Z369" s="677"/>
      <c r="AA369" s="676"/>
      <c r="AB369" s="353" t="s">
        <v>215</v>
      </c>
      <c r="AC369" s="62"/>
      <c r="AE369" s="80"/>
    </row>
    <row r="370" spans="1:31" ht="12.6" customHeight="1" x14ac:dyDescent="0.2">
      <c r="A370" s="88"/>
      <c r="B370" s="776" t="s">
        <v>216</v>
      </c>
      <c r="C370" s="1136"/>
      <c r="D370" s="1136"/>
      <c r="E370" s="1137"/>
      <c r="F370" s="334">
        <f>0.6*X2</f>
        <v>798</v>
      </c>
      <c r="G370" s="272">
        <f t="shared" si="1131"/>
        <v>798</v>
      </c>
      <c r="H370" s="576"/>
      <c r="I370" s="576"/>
      <c r="J370" s="576"/>
      <c r="K370" s="258"/>
      <c r="L370" s="576">
        <f t="shared" si="1119"/>
        <v>958</v>
      </c>
      <c r="M370" s="258">
        <f t="shared" si="1120"/>
        <v>958</v>
      </c>
      <c r="N370" s="576">
        <f t="shared" si="1121"/>
        <v>898</v>
      </c>
      <c r="O370" s="258">
        <f t="shared" si="1122"/>
        <v>898</v>
      </c>
      <c r="P370" s="576">
        <f t="shared" si="1123"/>
        <v>873</v>
      </c>
      <c r="Q370" s="258">
        <f t="shared" si="1124"/>
        <v>873</v>
      </c>
      <c r="R370" s="576">
        <f t="shared" si="1125"/>
        <v>863</v>
      </c>
      <c r="S370" s="258">
        <f t="shared" si="1126"/>
        <v>863</v>
      </c>
      <c r="T370" s="92">
        <f t="shared" si="1127"/>
        <v>848</v>
      </c>
      <c r="U370" s="272">
        <f t="shared" si="1128"/>
        <v>848</v>
      </c>
      <c r="V370" s="92">
        <f t="shared" si="1129"/>
        <v>836</v>
      </c>
      <c r="W370" s="272">
        <f t="shared" si="1130"/>
        <v>836</v>
      </c>
      <c r="X370" s="156"/>
      <c r="Y370" s="119"/>
      <c r="Z370" s="119"/>
      <c r="AA370" s="119"/>
      <c r="AB370" s="353">
        <v>2203</v>
      </c>
      <c r="AC370" s="211"/>
    </row>
    <row r="371" spans="1:31" ht="12.6" customHeight="1" x14ac:dyDescent="0.2">
      <c r="A371" s="88"/>
      <c r="B371" s="665" t="s">
        <v>217</v>
      </c>
      <c r="C371" s="795"/>
      <c r="D371" s="795"/>
      <c r="E371" s="795"/>
      <c r="F371" s="333">
        <f>0.708*X2</f>
        <v>941.64</v>
      </c>
      <c r="G371" s="235">
        <f>+F371*$X$1</f>
        <v>941.64</v>
      </c>
      <c r="H371" s="559"/>
      <c r="I371" s="559"/>
      <c r="J371" s="559"/>
      <c r="K371" s="257"/>
      <c r="L371" s="559">
        <f t="shared" si="1119"/>
        <v>1101.6399999999999</v>
      </c>
      <c r="M371" s="257">
        <f t="shared" si="1120"/>
        <v>1101.6399999999999</v>
      </c>
      <c r="N371" s="559">
        <f t="shared" si="1121"/>
        <v>1041.6399999999999</v>
      </c>
      <c r="O371" s="257">
        <f t="shared" si="1122"/>
        <v>1041.6399999999999</v>
      </c>
      <c r="P371" s="559">
        <f t="shared" si="1123"/>
        <v>1016.64</v>
      </c>
      <c r="Q371" s="257">
        <f t="shared" si="1124"/>
        <v>1016.64</v>
      </c>
      <c r="R371" s="559">
        <f t="shared" si="1125"/>
        <v>1006.64</v>
      </c>
      <c r="S371" s="257">
        <f t="shared" si="1126"/>
        <v>1006.64</v>
      </c>
      <c r="T371" s="93">
        <f t="shared" si="1127"/>
        <v>991.64</v>
      </c>
      <c r="U371" s="235">
        <f t="shared" si="1128"/>
        <v>991.64</v>
      </c>
      <c r="V371" s="93">
        <f t="shared" si="1129"/>
        <v>979.64</v>
      </c>
      <c r="W371" s="235">
        <f t="shared" si="1130"/>
        <v>979.64</v>
      </c>
      <c r="X371" s="157"/>
      <c r="Y371" s="122"/>
      <c r="Z371" s="122"/>
      <c r="AA371" s="125"/>
      <c r="AB371" s="353">
        <v>2205</v>
      </c>
      <c r="AC371" s="62"/>
    </row>
    <row r="372" spans="1:31" ht="12.6" customHeight="1" x14ac:dyDescent="0.2">
      <c r="A372" s="88"/>
      <c r="B372" s="667" t="s">
        <v>218</v>
      </c>
      <c r="C372" s="737"/>
      <c r="D372" s="737"/>
      <c r="E372" s="737"/>
      <c r="F372" s="334">
        <f>0.428*X2</f>
        <v>569.24</v>
      </c>
      <c r="G372" s="272">
        <f>+F372*$X$1</f>
        <v>569.24</v>
      </c>
      <c r="H372" s="576"/>
      <c r="I372" s="576"/>
      <c r="J372" s="576"/>
      <c r="K372" s="258"/>
      <c r="L372" s="576">
        <f t="shared" si="1119"/>
        <v>729.24</v>
      </c>
      <c r="M372" s="258">
        <f t="shared" si="1120"/>
        <v>729.24</v>
      </c>
      <c r="N372" s="576">
        <f t="shared" si="1121"/>
        <v>669.24</v>
      </c>
      <c r="O372" s="258">
        <f t="shared" si="1122"/>
        <v>669.24</v>
      </c>
      <c r="P372" s="576">
        <f t="shared" si="1123"/>
        <v>644.24</v>
      </c>
      <c r="Q372" s="258">
        <f t="shared" si="1124"/>
        <v>644.24</v>
      </c>
      <c r="R372" s="576">
        <f t="shared" si="1125"/>
        <v>634.24</v>
      </c>
      <c r="S372" s="258">
        <f t="shared" si="1126"/>
        <v>634.24</v>
      </c>
      <c r="T372" s="92">
        <f t="shared" si="1127"/>
        <v>619.24</v>
      </c>
      <c r="U372" s="272">
        <f t="shared" si="1128"/>
        <v>619.24</v>
      </c>
      <c r="V372" s="92">
        <f t="shared" si="1129"/>
        <v>607.24</v>
      </c>
      <c r="W372" s="272">
        <f t="shared" si="1130"/>
        <v>607.24</v>
      </c>
      <c r="X372" s="122"/>
      <c r="Y372" s="122"/>
      <c r="Z372" s="122"/>
      <c r="AA372" s="125"/>
      <c r="AB372" s="353">
        <v>2207</v>
      </c>
    </row>
    <row r="373" spans="1:31" ht="12.6" customHeight="1" x14ac:dyDescent="0.2">
      <c r="A373" s="88"/>
      <c r="B373" s="1196" t="s">
        <v>219</v>
      </c>
      <c r="C373" s="1197"/>
      <c r="D373" s="1197"/>
      <c r="E373" s="1197"/>
      <c r="F373" s="333">
        <f>4.17*X2</f>
        <v>5546.0999999999995</v>
      </c>
      <c r="G373" s="257">
        <f t="shared" ref="G373" si="1133">+F373*$X$1</f>
        <v>5546.0999999999995</v>
      </c>
      <c r="H373" s="559">
        <f t="shared" ref="H373" si="1134">F373+600</f>
        <v>6146.0999999999995</v>
      </c>
      <c r="I373" s="257">
        <f t="shared" ref="I373" si="1135">+H373*$X$1</f>
        <v>6146.0999999999995</v>
      </c>
      <c r="J373" s="559">
        <f t="shared" ref="J373" si="1136">F373+200</f>
        <v>5746.0999999999995</v>
      </c>
      <c r="K373" s="257">
        <f t="shared" ref="K373" si="1137">+J373*$X$1</f>
        <v>5746.0999999999995</v>
      </c>
      <c r="L373" s="559">
        <f>F373+150</f>
        <v>5696.0999999999995</v>
      </c>
      <c r="M373" s="257">
        <f t="shared" si="1120"/>
        <v>5696.0999999999995</v>
      </c>
      <c r="N373" s="559">
        <f>F373+110</f>
        <v>5656.0999999999995</v>
      </c>
      <c r="O373" s="257">
        <f>+N373*$X$1</f>
        <v>5656.0999999999995</v>
      </c>
      <c r="P373" s="559">
        <f>F373+90</f>
        <v>5636.0999999999995</v>
      </c>
      <c r="Q373" s="257">
        <f t="shared" si="1124"/>
        <v>5636.0999999999995</v>
      </c>
      <c r="R373" s="559">
        <f>F373+70</f>
        <v>5616.0999999999995</v>
      </c>
      <c r="S373" s="257">
        <f>+R373*$X$1</f>
        <v>5616.0999999999995</v>
      </c>
      <c r="T373" s="559">
        <f>F373+56</f>
        <v>5602.0999999999995</v>
      </c>
      <c r="U373" s="257">
        <f t="shared" si="1128"/>
        <v>5602.0999999999995</v>
      </c>
      <c r="V373" s="559">
        <f>F373+49</f>
        <v>5595.0999999999995</v>
      </c>
      <c r="W373" s="257">
        <f t="shared" si="1130"/>
        <v>5595.0999999999995</v>
      </c>
      <c r="X373" s="674"/>
      <c r="Y373" s="677"/>
      <c r="Z373" s="677"/>
      <c r="AA373" s="676"/>
      <c r="AB373" s="353">
        <v>2216</v>
      </c>
      <c r="AC373" s="62"/>
    </row>
    <row r="374" spans="1:31" ht="12.6" customHeight="1" x14ac:dyDescent="0.2">
      <c r="A374" s="94"/>
      <c r="B374" s="709" t="s">
        <v>331</v>
      </c>
      <c r="C374" s="710"/>
      <c r="D374" s="710"/>
      <c r="E374" s="710"/>
      <c r="F374" s="473">
        <v>1350</v>
      </c>
      <c r="G374" s="469">
        <f>+F374*$X$1</f>
        <v>1350</v>
      </c>
      <c r="H374" s="532">
        <f t="shared" ref="H374" si="1138">F374+600</f>
        <v>1950</v>
      </c>
      <c r="I374" s="469">
        <f t="shared" ref="I374" si="1139">+H374*$X$1</f>
        <v>1950</v>
      </c>
      <c r="J374" s="532">
        <f t="shared" ref="J374" si="1140">F374+200</f>
        <v>1550</v>
      </c>
      <c r="K374" s="469">
        <f t="shared" ref="K374" si="1141">+J374*$X$1</f>
        <v>1550</v>
      </c>
      <c r="L374" s="532">
        <f>F374+150</f>
        <v>1500</v>
      </c>
      <c r="M374" s="469">
        <f t="shared" ref="M374" si="1142">+L374*$X$1</f>
        <v>1500</v>
      </c>
      <c r="N374" s="532">
        <f>F374+110</f>
        <v>1460</v>
      </c>
      <c r="O374" s="469">
        <f>+N374*$X$1</f>
        <v>1460</v>
      </c>
      <c r="P374" s="471"/>
      <c r="Q374" s="767" t="s">
        <v>141</v>
      </c>
      <c r="R374" s="768"/>
      <c r="S374" s="768"/>
      <c r="T374" s="768"/>
      <c r="U374" s="768"/>
      <c r="V374" s="768"/>
      <c r="W374" s="769"/>
      <c r="X374" s="674"/>
      <c r="Y374" s="677"/>
      <c r="Z374" s="677"/>
      <c r="AA374" s="676"/>
      <c r="AB374" s="353">
        <v>2222</v>
      </c>
    </row>
    <row r="375" spans="1:31" ht="12.6" customHeight="1" x14ac:dyDescent="0.2">
      <c r="A375" s="17"/>
      <c r="B375" s="773" t="s">
        <v>632</v>
      </c>
      <c r="C375" s="774"/>
      <c r="D375" s="774"/>
      <c r="E375" s="775"/>
      <c r="F375" s="337">
        <f>0.553*X2</f>
        <v>735.49</v>
      </c>
      <c r="G375" s="257">
        <f t="shared" ref="G375" si="1143">+F375*$X$1</f>
        <v>735.49</v>
      </c>
      <c r="H375" s="252"/>
      <c r="I375" s="252"/>
      <c r="J375" s="534"/>
      <c r="K375" s="534"/>
      <c r="L375" s="534">
        <f t="shared" ref="L375:L377" si="1144">F375+160</f>
        <v>895.49</v>
      </c>
      <c r="M375" s="257">
        <f t="shared" ref="M375:M378" si="1145">+L375*$X$1</f>
        <v>895.49</v>
      </c>
      <c r="N375" s="534">
        <f t="shared" ref="N375:N377" si="1146">F375+100</f>
        <v>835.49</v>
      </c>
      <c r="O375" s="257">
        <f t="shared" ref="O375:O378" si="1147">+N375*$X$1</f>
        <v>835.49</v>
      </c>
      <c r="P375" s="534">
        <f t="shared" ref="P375:P377" si="1148">F375+75</f>
        <v>810.49</v>
      </c>
      <c r="Q375" s="257">
        <f t="shared" ref="Q375:Q378" si="1149">+P375*$X$1</f>
        <v>810.49</v>
      </c>
      <c r="R375" s="534">
        <f t="shared" ref="R375:R377" si="1150">F375+65</f>
        <v>800.49</v>
      </c>
      <c r="S375" s="257">
        <f t="shared" ref="S375:S378" si="1151">+R375*$X$1</f>
        <v>800.49</v>
      </c>
      <c r="T375" s="93">
        <f t="shared" ref="T375:T377" si="1152">F375+50</f>
        <v>785.49</v>
      </c>
      <c r="U375" s="235">
        <f t="shared" ref="U375:U378" si="1153">+T375*$X$1</f>
        <v>785.49</v>
      </c>
      <c r="V375" s="93">
        <f t="shared" ref="V375:V377" si="1154">F375+38</f>
        <v>773.49</v>
      </c>
      <c r="W375" s="235">
        <f t="shared" ref="W375:W377" si="1155">+V375*$X$1</f>
        <v>773.49</v>
      </c>
      <c r="X375" s="391"/>
      <c r="Y375" s="390"/>
      <c r="Z375" s="390"/>
      <c r="AA375" s="391"/>
      <c r="AB375" s="353">
        <v>2231</v>
      </c>
      <c r="AC375" s="62"/>
    </row>
    <row r="376" spans="1:31" ht="12.6" customHeight="1" x14ac:dyDescent="0.2">
      <c r="A376" s="17"/>
      <c r="B376" s="776" t="s">
        <v>643</v>
      </c>
      <c r="C376" s="777"/>
      <c r="D376" s="777"/>
      <c r="E376" s="778"/>
      <c r="F376" s="336">
        <f>0.566*X2</f>
        <v>752.78</v>
      </c>
      <c r="G376" s="258">
        <f t="shared" ref="G376" si="1156">+F376*$X$1</f>
        <v>752.78</v>
      </c>
      <c r="H376" s="251"/>
      <c r="I376" s="251"/>
      <c r="J376" s="406"/>
      <c r="K376" s="406"/>
      <c r="L376" s="406">
        <f t="shared" si="1144"/>
        <v>912.78</v>
      </c>
      <c r="M376" s="258">
        <f t="shared" si="1145"/>
        <v>912.78</v>
      </c>
      <c r="N376" s="406">
        <f t="shared" si="1146"/>
        <v>852.78</v>
      </c>
      <c r="O376" s="258">
        <f t="shared" si="1147"/>
        <v>852.78</v>
      </c>
      <c r="P376" s="406">
        <f t="shared" si="1148"/>
        <v>827.78</v>
      </c>
      <c r="Q376" s="258">
        <f t="shared" si="1149"/>
        <v>827.78</v>
      </c>
      <c r="R376" s="406">
        <f t="shared" si="1150"/>
        <v>817.78</v>
      </c>
      <c r="S376" s="258">
        <f t="shared" si="1151"/>
        <v>817.78</v>
      </c>
      <c r="T376" s="92">
        <f t="shared" si="1152"/>
        <v>802.78</v>
      </c>
      <c r="U376" s="272">
        <f t="shared" si="1153"/>
        <v>802.78</v>
      </c>
      <c r="V376" s="92">
        <f t="shared" si="1154"/>
        <v>790.78</v>
      </c>
      <c r="W376" s="272">
        <f t="shared" si="1155"/>
        <v>790.78</v>
      </c>
      <c r="X376" s="396"/>
      <c r="Y376" s="395"/>
      <c r="Z376" s="395"/>
      <c r="AA376" s="396"/>
      <c r="AB376" s="353">
        <v>2232</v>
      </c>
      <c r="AC376" s="62"/>
    </row>
    <row r="377" spans="1:31" ht="12.6" customHeight="1" x14ac:dyDescent="0.2">
      <c r="A377" s="17"/>
      <c r="B377" s="773" t="s">
        <v>713</v>
      </c>
      <c r="C377" s="774"/>
      <c r="D377" s="774"/>
      <c r="E377" s="775"/>
      <c r="F377" s="337">
        <f>0.79*X2</f>
        <v>1050.7</v>
      </c>
      <c r="G377" s="257">
        <f t="shared" ref="G377" si="1157">+F377*$X$1</f>
        <v>1050.7</v>
      </c>
      <c r="H377" s="252"/>
      <c r="I377" s="252"/>
      <c r="J377" s="534"/>
      <c r="K377" s="534"/>
      <c r="L377" s="534">
        <f t="shared" si="1144"/>
        <v>1210.7</v>
      </c>
      <c r="M377" s="257">
        <f t="shared" si="1145"/>
        <v>1210.7</v>
      </c>
      <c r="N377" s="534">
        <f t="shared" si="1146"/>
        <v>1150.7</v>
      </c>
      <c r="O377" s="257">
        <f t="shared" si="1147"/>
        <v>1150.7</v>
      </c>
      <c r="P377" s="534">
        <f t="shared" si="1148"/>
        <v>1125.7</v>
      </c>
      <c r="Q377" s="257">
        <f t="shared" si="1149"/>
        <v>1125.7</v>
      </c>
      <c r="R377" s="534">
        <f t="shared" si="1150"/>
        <v>1115.7</v>
      </c>
      <c r="S377" s="257">
        <f t="shared" si="1151"/>
        <v>1115.7</v>
      </c>
      <c r="T377" s="93">
        <f t="shared" si="1152"/>
        <v>1100.7</v>
      </c>
      <c r="U377" s="235">
        <f t="shared" si="1153"/>
        <v>1100.7</v>
      </c>
      <c r="V377" s="93">
        <f t="shared" si="1154"/>
        <v>1088.7</v>
      </c>
      <c r="W377" s="235">
        <f t="shared" si="1155"/>
        <v>1088.7</v>
      </c>
      <c r="X377" s="396"/>
      <c r="Y377" s="395"/>
      <c r="Z377" s="395"/>
      <c r="AA377" s="396"/>
      <c r="AB377" s="353">
        <v>2233</v>
      </c>
      <c r="AC377" s="62"/>
    </row>
    <row r="378" spans="1:31" ht="12.6" customHeight="1" x14ac:dyDescent="0.2">
      <c r="A378" s="88"/>
      <c r="B378" s="709" t="s">
        <v>714</v>
      </c>
      <c r="C378" s="1143"/>
      <c r="D378" s="1143"/>
      <c r="E378" s="1143"/>
      <c r="F378" s="473">
        <f>0.38*X2</f>
        <v>505.40000000000003</v>
      </c>
      <c r="G378" s="469">
        <f t="shared" ref="G378:G388" si="1158">+F378*$X$1</f>
        <v>505.40000000000003</v>
      </c>
      <c r="H378" s="532"/>
      <c r="I378" s="469"/>
      <c r="J378" s="532"/>
      <c r="K378" s="469"/>
      <c r="L378" s="532">
        <f>F378+240</f>
        <v>745.40000000000009</v>
      </c>
      <c r="M378" s="469">
        <f t="shared" si="1145"/>
        <v>745.40000000000009</v>
      </c>
      <c r="N378" s="532">
        <f>F378+160</f>
        <v>665.40000000000009</v>
      </c>
      <c r="O378" s="469">
        <f t="shared" si="1147"/>
        <v>665.40000000000009</v>
      </c>
      <c r="P378" s="532">
        <f>F378+120</f>
        <v>625.40000000000009</v>
      </c>
      <c r="Q378" s="469">
        <f t="shared" si="1149"/>
        <v>625.40000000000009</v>
      </c>
      <c r="R378" s="532">
        <f>F378+100</f>
        <v>605.40000000000009</v>
      </c>
      <c r="S378" s="469">
        <f t="shared" si="1151"/>
        <v>605.40000000000009</v>
      </c>
      <c r="T378" s="549">
        <f>F378+80</f>
        <v>585.40000000000009</v>
      </c>
      <c r="U378" s="548">
        <f t="shared" si="1153"/>
        <v>585.40000000000009</v>
      </c>
      <c r="V378" s="549"/>
      <c r="W378" s="548"/>
      <c r="X378" s="126"/>
      <c r="Y378" s="122"/>
      <c r="Z378" s="122"/>
      <c r="AA378" s="125"/>
      <c r="AB378" s="353">
        <v>2234</v>
      </c>
    </row>
    <row r="379" spans="1:31" ht="12.6" customHeight="1" x14ac:dyDescent="0.2">
      <c r="A379" s="88"/>
      <c r="B379" s="672" t="s">
        <v>715</v>
      </c>
      <c r="C379" s="725"/>
      <c r="D379" s="725"/>
      <c r="E379" s="725"/>
      <c r="F379" s="333">
        <f>0.49*X2</f>
        <v>651.69999999999993</v>
      </c>
      <c r="G379" s="257">
        <f t="shared" si="1158"/>
        <v>651.69999999999993</v>
      </c>
      <c r="H379" s="252"/>
      <c r="I379" s="305"/>
      <c r="J379" s="534"/>
      <c r="K379" s="257"/>
      <c r="L379" s="534">
        <f>F379+240</f>
        <v>891.69999999999993</v>
      </c>
      <c r="M379" s="257">
        <f t="shared" ref="M379:M385" si="1159">+L379*$X$1</f>
        <v>891.69999999999993</v>
      </c>
      <c r="N379" s="534">
        <f>F379+160</f>
        <v>811.69999999999993</v>
      </c>
      <c r="O379" s="257">
        <f t="shared" ref="O379:O391" si="1160">+N379*$X$1</f>
        <v>811.69999999999993</v>
      </c>
      <c r="P379" s="534">
        <f>F379+120</f>
        <v>771.69999999999993</v>
      </c>
      <c r="Q379" s="257">
        <f t="shared" ref="Q379:Q391" si="1161">+P379*$X$1</f>
        <v>771.69999999999993</v>
      </c>
      <c r="R379" s="534">
        <f>F379+100</f>
        <v>751.69999999999993</v>
      </c>
      <c r="S379" s="257">
        <f t="shared" ref="S379:S391" si="1162">+R379*$X$1</f>
        <v>751.69999999999993</v>
      </c>
      <c r="T379" s="93">
        <f>F379+80</f>
        <v>731.69999999999993</v>
      </c>
      <c r="U379" s="235">
        <f t="shared" ref="U379:U386" si="1163">+T379*$X$1</f>
        <v>731.69999999999993</v>
      </c>
      <c r="V379" s="93">
        <f>F379+63</f>
        <v>714.69999999999993</v>
      </c>
      <c r="W379" s="235">
        <f t="shared" ref="W379:W380" si="1164">+V379*$X$1</f>
        <v>714.69999999999993</v>
      </c>
      <c r="X379" s="126"/>
      <c r="Y379" s="122"/>
      <c r="Z379" s="122"/>
      <c r="AA379" s="125"/>
      <c r="AB379" s="353" t="s">
        <v>220</v>
      </c>
    </row>
    <row r="380" spans="1:31" ht="12.6" customHeight="1" x14ac:dyDescent="0.2">
      <c r="A380" s="17"/>
      <c r="B380" s="776" t="s">
        <v>749</v>
      </c>
      <c r="C380" s="777"/>
      <c r="D380" s="777"/>
      <c r="E380" s="778"/>
      <c r="F380" s="336">
        <f>0.34*X2</f>
        <v>452.20000000000005</v>
      </c>
      <c r="G380" s="258">
        <f t="shared" si="1158"/>
        <v>452.20000000000005</v>
      </c>
      <c r="H380" s="251"/>
      <c r="I380" s="251"/>
      <c r="J380" s="406"/>
      <c r="K380" s="406"/>
      <c r="L380" s="406">
        <f t="shared" ref="L380" si="1165">F380+160</f>
        <v>612.20000000000005</v>
      </c>
      <c r="M380" s="258">
        <f t="shared" ref="M380" si="1166">+L380*$X$1</f>
        <v>612.20000000000005</v>
      </c>
      <c r="N380" s="406">
        <f t="shared" ref="N380" si="1167">F380+100</f>
        <v>552.20000000000005</v>
      </c>
      <c r="O380" s="258">
        <f t="shared" ref="O380" si="1168">+N380*$X$1</f>
        <v>552.20000000000005</v>
      </c>
      <c r="P380" s="406">
        <f t="shared" ref="P380" si="1169">F380+75</f>
        <v>527.20000000000005</v>
      </c>
      <c r="Q380" s="258">
        <f t="shared" ref="Q380" si="1170">+P380*$X$1</f>
        <v>527.20000000000005</v>
      </c>
      <c r="R380" s="406">
        <f t="shared" ref="R380" si="1171">F380+65</f>
        <v>517.20000000000005</v>
      </c>
      <c r="S380" s="258">
        <f t="shared" ref="S380" si="1172">+R380*$X$1</f>
        <v>517.20000000000005</v>
      </c>
      <c r="T380" s="92">
        <f t="shared" ref="T380" si="1173">F380+50</f>
        <v>502.20000000000005</v>
      </c>
      <c r="U380" s="272">
        <f t="shared" ref="U380" si="1174">+T380*$X$1</f>
        <v>502.20000000000005</v>
      </c>
      <c r="V380" s="92">
        <f t="shared" ref="V380" si="1175">F380+38</f>
        <v>490.20000000000005</v>
      </c>
      <c r="W380" s="272">
        <f t="shared" si="1164"/>
        <v>490.20000000000005</v>
      </c>
      <c r="X380" s="410"/>
      <c r="Y380" s="411"/>
      <c r="Z380" s="411"/>
      <c r="AA380" s="410"/>
      <c r="AB380" s="353">
        <v>2235</v>
      </c>
      <c r="AC380" s="62"/>
    </row>
    <row r="381" spans="1:31" ht="12.6" customHeight="1" x14ac:dyDescent="0.2">
      <c r="A381" s="17"/>
      <c r="B381" s="773" t="s">
        <v>782</v>
      </c>
      <c r="C381" s="774"/>
      <c r="D381" s="774"/>
      <c r="E381" s="775"/>
      <c r="F381" s="337">
        <f>0.706*X2</f>
        <v>938.9799999999999</v>
      </c>
      <c r="G381" s="257">
        <f t="shared" ref="G381" si="1176">+F381*$X$1</f>
        <v>938.9799999999999</v>
      </c>
      <c r="H381" s="252"/>
      <c r="I381" s="252"/>
      <c r="J381" s="534"/>
      <c r="K381" s="534"/>
      <c r="L381" s="534">
        <f t="shared" ref="L381:L385" si="1177">F381+160</f>
        <v>1098.98</v>
      </c>
      <c r="M381" s="257">
        <f t="shared" si="1159"/>
        <v>1098.98</v>
      </c>
      <c r="N381" s="534">
        <f t="shared" ref="N381:N386" si="1178">F381+100</f>
        <v>1038.98</v>
      </c>
      <c r="O381" s="257">
        <f t="shared" si="1160"/>
        <v>1038.98</v>
      </c>
      <c r="P381" s="534">
        <f t="shared" ref="P381:P386" si="1179">F381+75</f>
        <v>1013.9799999999999</v>
      </c>
      <c r="Q381" s="257">
        <f t="shared" si="1161"/>
        <v>1013.9799999999999</v>
      </c>
      <c r="R381" s="534">
        <f t="shared" ref="R381:R386" si="1180">F381+65</f>
        <v>1003.9799999999999</v>
      </c>
      <c r="S381" s="257">
        <f t="shared" si="1162"/>
        <v>1003.9799999999999</v>
      </c>
      <c r="T381" s="93">
        <f t="shared" ref="T381:T386" si="1181">F381+50</f>
        <v>988.9799999999999</v>
      </c>
      <c r="U381" s="235">
        <f t="shared" si="1163"/>
        <v>988.9799999999999</v>
      </c>
      <c r="V381" s="93">
        <f t="shared" ref="V381:V386" si="1182">F381+38</f>
        <v>976.9799999999999</v>
      </c>
      <c r="W381" s="235">
        <f t="shared" ref="W381:W386" si="1183">+V381*$X$1</f>
        <v>976.9799999999999</v>
      </c>
      <c r="X381" s="450"/>
      <c r="Y381" s="451"/>
      <c r="Z381" s="451"/>
      <c r="AA381" s="450"/>
      <c r="AB381" s="353">
        <v>2236</v>
      </c>
      <c r="AC381" s="62"/>
    </row>
    <row r="382" spans="1:31" ht="12.6" customHeight="1" x14ac:dyDescent="0.2">
      <c r="A382" s="88"/>
      <c r="B382" s="667" t="s">
        <v>221</v>
      </c>
      <c r="C382" s="668"/>
      <c r="D382" s="668"/>
      <c r="E382" s="668"/>
      <c r="F382" s="334">
        <f>0.393*X2</f>
        <v>522.69000000000005</v>
      </c>
      <c r="G382" s="258">
        <f t="shared" si="1158"/>
        <v>522.69000000000005</v>
      </c>
      <c r="H382" s="251"/>
      <c r="I382" s="306"/>
      <c r="J382" s="406"/>
      <c r="K382" s="258"/>
      <c r="L382" s="406">
        <f t="shared" si="1177"/>
        <v>682.69</v>
      </c>
      <c r="M382" s="258">
        <f t="shared" si="1159"/>
        <v>682.69</v>
      </c>
      <c r="N382" s="406">
        <f t="shared" si="1178"/>
        <v>622.69000000000005</v>
      </c>
      <c r="O382" s="258">
        <f t="shared" si="1160"/>
        <v>622.69000000000005</v>
      </c>
      <c r="P382" s="406">
        <f t="shared" si="1179"/>
        <v>597.69000000000005</v>
      </c>
      <c r="Q382" s="258">
        <f t="shared" si="1161"/>
        <v>597.69000000000005</v>
      </c>
      <c r="R382" s="406">
        <f t="shared" si="1180"/>
        <v>587.69000000000005</v>
      </c>
      <c r="S382" s="258">
        <f t="shared" si="1162"/>
        <v>587.69000000000005</v>
      </c>
      <c r="T382" s="92">
        <f t="shared" si="1181"/>
        <v>572.69000000000005</v>
      </c>
      <c r="U382" s="272">
        <f t="shared" si="1163"/>
        <v>572.69000000000005</v>
      </c>
      <c r="V382" s="92">
        <f t="shared" si="1182"/>
        <v>560.69000000000005</v>
      </c>
      <c r="W382" s="272">
        <f t="shared" si="1183"/>
        <v>560.69000000000005</v>
      </c>
      <c r="X382" s="126"/>
      <c r="Y382" s="122"/>
      <c r="Z382" s="122"/>
      <c r="AA382" s="125"/>
      <c r="AB382" s="353">
        <v>2238</v>
      </c>
    </row>
    <row r="383" spans="1:31" ht="12.6" customHeight="1" x14ac:dyDescent="0.2">
      <c r="A383" s="94"/>
      <c r="B383" s="678" t="s">
        <v>222</v>
      </c>
      <c r="C383" s="679"/>
      <c r="D383" s="679"/>
      <c r="E383" s="680"/>
      <c r="F383" s="333">
        <f>0.392*X2</f>
        <v>521.36</v>
      </c>
      <c r="G383" s="257">
        <f t="shared" si="1158"/>
        <v>521.36</v>
      </c>
      <c r="H383" s="252"/>
      <c r="I383" s="305"/>
      <c r="J383" s="534"/>
      <c r="K383" s="257"/>
      <c r="L383" s="534">
        <f t="shared" si="1177"/>
        <v>681.36</v>
      </c>
      <c r="M383" s="257">
        <f t="shared" si="1159"/>
        <v>681.36</v>
      </c>
      <c r="N383" s="534">
        <f t="shared" si="1178"/>
        <v>621.36</v>
      </c>
      <c r="O383" s="257">
        <f t="shared" si="1160"/>
        <v>621.36</v>
      </c>
      <c r="P383" s="534">
        <f t="shared" si="1179"/>
        <v>596.36</v>
      </c>
      <c r="Q383" s="257">
        <f t="shared" si="1161"/>
        <v>596.36</v>
      </c>
      <c r="R383" s="534">
        <f t="shared" si="1180"/>
        <v>586.36</v>
      </c>
      <c r="S383" s="257">
        <f t="shared" si="1162"/>
        <v>586.36</v>
      </c>
      <c r="T383" s="93">
        <f t="shared" si="1181"/>
        <v>571.36</v>
      </c>
      <c r="U383" s="235">
        <f t="shared" si="1163"/>
        <v>571.36</v>
      </c>
      <c r="V383" s="93">
        <f t="shared" si="1182"/>
        <v>559.36</v>
      </c>
      <c r="W383" s="235">
        <f t="shared" si="1183"/>
        <v>559.36</v>
      </c>
      <c r="X383" s="126"/>
      <c r="Y383" s="122"/>
      <c r="Z383" s="122"/>
      <c r="AA383" s="125"/>
      <c r="AB383" s="353">
        <v>2239</v>
      </c>
    </row>
    <row r="384" spans="1:31" ht="12.6" customHeight="1" x14ac:dyDescent="0.2">
      <c r="A384" s="17"/>
      <c r="B384" s="667" t="s">
        <v>885</v>
      </c>
      <c r="C384" s="668"/>
      <c r="D384" s="668"/>
      <c r="E384" s="668"/>
      <c r="F384" s="334">
        <f>0.44*X2</f>
        <v>585.20000000000005</v>
      </c>
      <c r="G384" s="258">
        <f t="shared" si="1158"/>
        <v>585.20000000000005</v>
      </c>
      <c r="H384" s="251"/>
      <c r="I384" s="306"/>
      <c r="J384" s="406"/>
      <c r="K384" s="258"/>
      <c r="L384" s="406">
        <f t="shared" si="1177"/>
        <v>745.2</v>
      </c>
      <c r="M384" s="258">
        <f t="shared" si="1159"/>
        <v>745.2</v>
      </c>
      <c r="N384" s="406">
        <f t="shared" si="1178"/>
        <v>685.2</v>
      </c>
      <c r="O384" s="258">
        <f t="shared" si="1160"/>
        <v>685.2</v>
      </c>
      <c r="P384" s="406">
        <f t="shared" si="1179"/>
        <v>660.2</v>
      </c>
      <c r="Q384" s="258">
        <f t="shared" si="1161"/>
        <v>660.2</v>
      </c>
      <c r="R384" s="406">
        <f t="shared" si="1180"/>
        <v>650.20000000000005</v>
      </c>
      <c r="S384" s="258">
        <f t="shared" si="1162"/>
        <v>650.20000000000005</v>
      </c>
      <c r="T384" s="92">
        <f t="shared" si="1181"/>
        <v>635.20000000000005</v>
      </c>
      <c r="U384" s="272">
        <f t="shared" si="1163"/>
        <v>635.20000000000005</v>
      </c>
      <c r="V384" s="92">
        <f t="shared" si="1182"/>
        <v>623.20000000000005</v>
      </c>
      <c r="W384" s="272">
        <f t="shared" si="1183"/>
        <v>623.20000000000005</v>
      </c>
      <c r="X384" s="126"/>
      <c r="Y384" s="122"/>
      <c r="Z384" s="122"/>
      <c r="AA384" s="125"/>
      <c r="AB384" s="353">
        <v>2240</v>
      </c>
    </row>
    <row r="385" spans="1:34" ht="12.6" customHeight="1" x14ac:dyDescent="0.2">
      <c r="A385" s="17"/>
      <c r="B385" s="672" t="s">
        <v>814</v>
      </c>
      <c r="C385" s="673"/>
      <c r="D385" s="673"/>
      <c r="E385" s="673"/>
      <c r="F385" s="333">
        <f>0.34*X2</f>
        <v>452.20000000000005</v>
      </c>
      <c r="G385" s="257">
        <f t="shared" ref="G385" si="1184">+F385*$X$1</f>
        <v>452.20000000000005</v>
      </c>
      <c r="H385" s="252"/>
      <c r="I385" s="305"/>
      <c r="J385" s="534"/>
      <c r="K385" s="257"/>
      <c r="L385" s="534">
        <f t="shared" si="1177"/>
        <v>612.20000000000005</v>
      </c>
      <c r="M385" s="257">
        <f t="shared" si="1159"/>
        <v>612.20000000000005</v>
      </c>
      <c r="N385" s="534">
        <f t="shared" si="1178"/>
        <v>552.20000000000005</v>
      </c>
      <c r="O385" s="257">
        <f t="shared" si="1160"/>
        <v>552.20000000000005</v>
      </c>
      <c r="P385" s="534">
        <f t="shared" si="1179"/>
        <v>527.20000000000005</v>
      </c>
      <c r="Q385" s="257">
        <f t="shared" si="1161"/>
        <v>527.20000000000005</v>
      </c>
      <c r="R385" s="534">
        <f t="shared" si="1180"/>
        <v>517.20000000000005</v>
      </c>
      <c r="S385" s="257">
        <f t="shared" si="1162"/>
        <v>517.20000000000005</v>
      </c>
      <c r="T385" s="93">
        <f t="shared" si="1181"/>
        <v>502.20000000000005</v>
      </c>
      <c r="U385" s="235">
        <f t="shared" si="1163"/>
        <v>502.20000000000005</v>
      </c>
      <c r="V385" s="93">
        <f t="shared" si="1182"/>
        <v>490.20000000000005</v>
      </c>
      <c r="W385" s="235">
        <f t="shared" si="1183"/>
        <v>490.20000000000005</v>
      </c>
      <c r="X385" s="126"/>
      <c r="Y385" s="122"/>
      <c r="Z385" s="122"/>
      <c r="AA385" s="125"/>
      <c r="AB385" s="353" t="s">
        <v>824</v>
      </c>
    </row>
    <row r="386" spans="1:34" ht="12.6" customHeight="1" x14ac:dyDescent="0.2">
      <c r="A386" s="17"/>
      <c r="B386" s="667" t="s">
        <v>755</v>
      </c>
      <c r="C386" s="668"/>
      <c r="D386" s="668"/>
      <c r="E386" s="668"/>
      <c r="F386" s="334">
        <f>0.2*X2</f>
        <v>266</v>
      </c>
      <c r="G386" s="258">
        <f t="shared" ref="G386:G387" si="1185">+F386*$X$1</f>
        <v>266</v>
      </c>
      <c r="H386" s="251"/>
      <c r="I386" s="306"/>
      <c r="J386" s="406"/>
      <c r="K386" s="258"/>
      <c r="L386" s="406"/>
      <c r="M386" s="258"/>
      <c r="N386" s="406">
        <f t="shared" si="1178"/>
        <v>366</v>
      </c>
      <c r="O386" s="258">
        <f t="shared" si="1160"/>
        <v>366</v>
      </c>
      <c r="P386" s="406">
        <f t="shared" si="1179"/>
        <v>341</v>
      </c>
      <c r="Q386" s="258">
        <f t="shared" si="1161"/>
        <v>341</v>
      </c>
      <c r="R386" s="406">
        <f t="shared" si="1180"/>
        <v>331</v>
      </c>
      <c r="S386" s="258">
        <f t="shared" si="1162"/>
        <v>331</v>
      </c>
      <c r="T386" s="92">
        <f t="shared" si="1181"/>
        <v>316</v>
      </c>
      <c r="U386" s="272">
        <f t="shared" si="1163"/>
        <v>316</v>
      </c>
      <c r="V386" s="92">
        <f t="shared" si="1182"/>
        <v>304</v>
      </c>
      <c r="W386" s="272">
        <f t="shared" si="1183"/>
        <v>304</v>
      </c>
      <c r="X386" s="126"/>
      <c r="Y386" s="122"/>
      <c r="Z386" s="122"/>
      <c r="AA386" s="125"/>
      <c r="AB386" s="353">
        <v>2241</v>
      </c>
    </row>
    <row r="387" spans="1:34" ht="12.6" customHeight="1" x14ac:dyDescent="0.2">
      <c r="A387" s="17"/>
      <c r="B387" s="672" t="s">
        <v>913</v>
      </c>
      <c r="C387" s="673"/>
      <c r="D387" s="673"/>
      <c r="E387" s="673"/>
      <c r="F387" s="333">
        <f>0.28*X2</f>
        <v>372.40000000000003</v>
      </c>
      <c r="G387" s="257">
        <f t="shared" si="1185"/>
        <v>372.40000000000003</v>
      </c>
      <c r="H387" s="252"/>
      <c r="I387" s="305"/>
      <c r="J387" s="534"/>
      <c r="K387" s="257"/>
      <c r="L387" s="534">
        <f t="shared" ref="L387:L391" si="1186">F387+160</f>
        <v>532.40000000000009</v>
      </c>
      <c r="M387" s="257">
        <f t="shared" ref="M387:M391" si="1187">+L387*$X$1</f>
        <v>532.40000000000009</v>
      </c>
      <c r="N387" s="534">
        <f t="shared" ref="N387:N391" si="1188">F387+100</f>
        <v>472.40000000000003</v>
      </c>
      <c r="O387" s="257">
        <f t="shared" si="1160"/>
        <v>472.40000000000003</v>
      </c>
      <c r="P387" s="534">
        <f t="shared" ref="P387:P391" si="1189">F387+75</f>
        <v>447.40000000000003</v>
      </c>
      <c r="Q387" s="257">
        <f t="shared" si="1161"/>
        <v>447.40000000000003</v>
      </c>
      <c r="R387" s="534">
        <f t="shared" ref="R387:R391" si="1190">F387+65</f>
        <v>437.40000000000003</v>
      </c>
      <c r="S387" s="257">
        <f t="shared" si="1162"/>
        <v>437.40000000000003</v>
      </c>
      <c r="T387" s="93">
        <f t="shared" ref="T387:T391" si="1191">F387+50</f>
        <v>422.40000000000003</v>
      </c>
      <c r="U387" s="235">
        <f t="shared" ref="U387:U391" si="1192">+T387*$X$1</f>
        <v>422.40000000000003</v>
      </c>
      <c r="V387" s="93">
        <f t="shared" ref="V387:V391" si="1193">F387+38</f>
        <v>410.40000000000003</v>
      </c>
      <c r="W387" s="235">
        <f t="shared" ref="W387:W391" si="1194">+V387*$X$1</f>
        <v>410.40000000000003</v>
      </c>
      <c r="X387" s="126"/>
      <c r="Y387" s="122"/>
      <c r="Z387" s="122"/>
      <c r="AA387" s="125"/>
      <c r="AB387" s="353">
        <v>2242</v>
      </c>
    </row>
    <row r="388" spans="1:34" ht="12.6" customHeight="1" x14ac:dyDescent="0.2">
      <c r="A388" s="88"/>
      <c r="B388" s="709" t="s">
        <v>223</v>
      </c>
      <c r="C388" s="710"/>
      <c r="D388" s="710"/>
      <c r="E388" s="710"/>
      <c r="F388" s="473">
        <f>0.25*X2</f>
        <v>332.5</v>
      </c>
      <c r="G388" s="469">
        <f t="shared" si="1158"/>
        <v>332.5</v>
      </c>
      <c r="H388" s="470"/>
      <c r="I388" s="472"/>
      <c r="J388" s="532"/>
      <c r="K388" s="469"/>
      <c r="L388" s="532">
        <f t="shared" si="1186"/>
        <v>492.5</v>
      </c>
      <c r="M388" s="469">
        <f t="shared" si="1187"/>
        <v>492.5</v>
      </c>
      <c r="N388" s="532">
        <f t="shared" si="1188"/>
        <v>432.5</v>
      </c>
      <c r="O388" s="469">
        <f t="shared" si="1160"/>
        <v>432.5</v>
      </c>
      <c r="P388" s="532">
        <f t="shared" si="1189"/>
        <v>407.5</v>
      </c>
      <c r="Q388" s="469">
        <f t="shared" si="1161"/>
        <v>407.5</v>
      </c>
      <c r="R388" s="532">
        <f t="shared" si="1190"/>
        <v>397.5</v>
      </c>
      <c r="S388" s="469">
        <f t="shared" si="1162"/>
        <v>397.5</v>
      </c>
      <c r="T388" s="549">
        <f t="shared" si="1191"/>
        <v>382.5</v>
      </c>
      <c r="U388" s="548">
        <f t="shared" si="1192"/>
        <v>382.5</v>
      </c>
      <c r="V388" s="549">
        <f t="shared" si="1193"/>
        <v>370.5</v>
      </c>
      <c r="W388" s="548">
        <f t="shared" si="1194"/>
        <v>370.5</v>
      </c>
      <c r="X388" s="126"/>
      <c r="Y388" s="122"/>
      <c r="Z388" s="122"/>
      <c r="AA388" s="125"/>
      <c r="AB388" s="353">
        <v>2244</v>
      </c>
    </row>
    <row r="389" spans="1:34" ht="12.6" customHeight="1" x14ac:dyDescent="0.2">
      <c r="A389" s="17"/>
      <c r="B389" s="672" t="s">
        <v>758</v>
      </c>
      <c r="C389" s="673"/>
      <c r="D389" s="673"/>
      <c r="E389" s="673"/>
      <c r="F389" s="333">
        <f>0.28*X2</f>
        <v>372.40000000000003</v>
      </c>
      <c r="G389" s="257">
        <f t="shared" ref="G389:G390" si="1195">+F389*$X$1</f>
        <v>372.40000000000003</v>
      </c>
      <c r="H389" s="252"/>
      <c r="I389" s="305"/>
      <c r="J389" s="534"/>
      <c r="K389" s="257"/>
      <c r="L389" s="534">
        <f t="shared" si="1186"/>
        <v>532.40000000000009</v>
      </c>
      <c r="M389" s="257">
        <f t="shared" si="1187"/>
        <v>532.40000000000009</v>
      </c>
      <c r="N389" s="534">
        <f t="shared" si="1188"/>
        <v>472.40000000000003</v>
      </c>
      <c r="O389" s="257">
        <f t="shared" si="1160"/>
        <v>472.40000000000003</v>
      </c>
      <c r="P389" s="534">
        <f t="shared" si="1189"/>
        <v>447.40000000000003</v>
      </c>
      <c r="Q389" s="257">
        <f t="shared" si="1161"/>
        <v>447.40000000000003</v>
      </c>
      <c r="R389" s="534">
        <f t="shared" si="1190"/>
        <v>437.40000000000003</v>
      </c>
      <c r="S389" s="257">
        <f t="shared" si="1162"/>
        <v>437.40000000000003</v>
      </c>
      <c r="T389" s="93">
        <f t="shared" si="1191"/>
        <v>422.40000000000003</v>
      </c>
      <c r="U389" s="235">
        <f t="shared" si="1192"/>
        <v>422.40000000000003</v>
      </c>
      <c r="V389" s="93">
        <f t="shared" si="1193"/>
        <v>410.40000000000003</v>
      </c>
      <c r="W389" s="235">
        <f t="shared" si="1194"/>
        <v>410.40000000000003</v>
      </c>
      <c r="X389" s="126"/>
      <c r="Y389" s="122"/>
      <c r="Z389" s="122"/>
      <c r="AA389" s="125"/>
      <c r="AB389" s="353">
        <v>2245</v>
      </c>
    </row>
    <row r="390" spans="1:34" ht="12.6" customHeight="1" x14ac:dyDescent="0.2">
      <c r="A390" s="17"/>
      <c r="B390" s="667" t="s">
        <v>757</v>
      </c>
      <c r="C390" s="668"/>
      <c r="D390" s="668"/>
      <c r="E390" s="668"/>
      <c r="F390" s="334">
        <f>0.29*X2</f>
        <v>385.7</v>
      </c>
      <c r="G390" s="258">
        <f t="shared" si="1195"/>
        <v>385.7</v>
      </c>
      <c r="H390" s="251"/>
      <c r="I390" s="306"/>
      <c r="J390" s="406"/>
      <c r="K390" s="258"/>
      <c r="L390" s="406">
        <f t="shared" si="1186"/>
        <v>545.70000000000005</v>
      </c>
      <c r="M390" s="258">
        <f t="shared" si="1187"/>
        <v>545.70000000000005</v>
      </c>
      <c r="N390" s="406">
        <f t="shared" si="1188"/>
        <v>485.7</v>
      </c>
      <c r="O390" s="258">
        <f t="shared" si="1160"/>
        <v>485.7</v>
      </c>
      <c r="P390" s="406">
        <f t="shared" si="1189"/>
        <v>460.7</v>
      </c>
      <c r="Q390" s="258">
        <f t="shared" si="1161"/>
        <v>460.7</v>
      </c>
      <c r="R390" s="406">
        <f t="shared" si="1190"/>
        <v>450.7</v>
      </c>
      <c r="S390" s="258">
        <f t="shared" si="1162"/>
        <v>450.7</v>
      </c>
      <c r="T390" s="92">
        <f t="shared" si="1191"/>
        <v>435.7</v>
      </c>
      <c r="U390" s="272">
        <f t="shared" si="1192"/>
        <v>435.7</v>
      </c>
      <c r="V390" s="92">
        <f t="shared" si="1193"/>
        <v>423.7</v>
      </c>
      <c r="W390" s="272">
        <f t="shared" si="1194"/>
        <v>423.7</v>
      </c>
      <c r="X390" s="126"/>
      <c r="Y390" s="122"/>
      <c r="Z390" s="122"/>
      <c r="AA390" s="125"/>
      <c r="AB390" s="353" t="s">
        <v>756</v>
      </c>
    </row>
    <row r="391" spans="1:34" ht="12.6" customHeight="1" x14ac:dyDescent="0.2">
      <c r="A391" s="88"/>
      <c r="B391" s="672" t="s">
        <v>477</v>
      </c>
      <c r="C391" s="673"/>
      <c r="D391" s="673"/>
      <c r="E391" s="673"/>
      <c r="F391" s="294">
        <v>1340</v>
      </c>
      <c r="G391" s="257">
        <f>+F391*$X$1</f>
        <v>1340</v>
      </c>
      <c r="H391" s="252"/>
      <c r="I391" s="305"/>
      <c r="J391" s="534"/>
      <c r="K391" s="257"/>
      <c r="L391" s="534">
        <f t="shared" si="1186"/>
        <v>1500</v>
      </c>
      <c r="M391" s="257">
        <f t="shared" si="1187"/>
        <v>1500</v>
      </c>
      <c r="N391" s="534">
        <f t="shared" si="1188"/>
        <v>1440</v>
      </c>
      <c r="O391" s="257">
        <f t="shared" si="1160"/>
        <v>1440</v>
      </c>
      <c r="P391" s="534">
        <f t="shared" si="1189"/>
        <v>1415</v>
      </c>
      <c r="Q391" s="257">
        <f t="shared" si="1161"/>
        <v>1415</v>
      </c>
      <c r="R391" s="534">
        <f t="shared" si="1190"/>
        <v>1405</v>
      </c>
      <c r="S391" s="257">
        <f t="shared" si="1162"/>
        <v>1405</v>
      </c>
      <c r="T391" s="93">
        <f t="shared" si="1191"/>
        <v>1390</v>
      </c>
      <c r="U391" s="235">
        <f t="shared" si="1192"/>
        <v>1390</v>
      </c>
      <c r="V391" s="93">
        <f t="shared" si="1193"/>
        <v>1378</v>
      </c>
      <c r="W391" s="235">
        <f t="shared" si="1194"/>
        <v>1378</v>
      </c>
      <c r="X391" s="126"/>
      <c r="Y391" s="122"/>
      <c r="Z391" s="122"/>
      <c r="AA391" s="125"/>
      <c r="AB391" s="353">
        <v>2246</v>
      </c>
    </row>
    <row r="392" spans="1:34" ht="12.6" customHeight="1" x14ac:dyDescent="0.2">
      <c r="A392" s="17"/>
      <c r="B392" s="667" t="s">
        <v>764</v>
      </c>
      <c r="C392" s="668"/>
      <c r="D392" s="668"/>
      <c r="E392" s="668"/>
      <c r="F392" s="530">
        <f>2.7*X2</f>
        <v>3591.0000000000005</v>
      </c>
      <c r="G392" s="258">
        <f t="shared" ref="G392" si="1196">+F392*$X$1</f>
        <v>3591.0000000000005</v>
      </c>
      <c r="H392" s="251"/>
      <c r="I392" s="306"/>
      <c r="J392" s="406">
        <f>F392+210</f>
        <v>3801.0000000000005</v>
      </c>
      <c r="K392" s="258">
        <f t="shared" ref="K392" si="1197">+J392*$X$1</f>
        <v>3801.0000000000005</v>
      </c>
      <c r="L392" s="406">
        <f t="shared" ref="L392:L395" si="1198">F392+160</f>
        <v>3751.0000000000005</v>
      </c>
      <c r="M392" s="258">
        <f t="shared" ref="M392:M395" si="1199">+L392*$X$1</f>
        <v>3751.0000000000005</v>
      </c>
      <c r="N392" s="406">
        <f t="shared" ref="N392:N395" si="1200">F392+100</f>
        <v>3691.0000000000005</v>
      </c>
      <c r="O392" s="258">
        <f t="shared" ref="O392:O395" si="1201">+N392*$X$1</f>
        <v>3691.0000000000005</v>
      </c>
      <c r="P392" s="406">
        <f t="shared" ref="P392:P395" si="1202">F392+75</f>
        <v>3666.0000000000005</v>
      </c>
      <c r="Q392" s="258">
        <f t="shared" ref="Q392:Q395" si="1203">+P392*$X$1</f>
        <v>3666.0000000000005</v>
      </c>
      <c r="R392" s="406">
        <f t="shared" ref="R392:R395" si="1204">F392+65</f>
        <v>3656.0000000000005</v>
      </c>
      <c r="S392" s="258">
        <f t="shared" ref="S392:S395" si="1205">+R392*$X$1</f>
        <v>3656.0000000000005</v>
      </c>
      <c r="T392" s="92">
        <f t="shared" ref="T392:T395" si="1206">F392+50</f>
        <v>3641.0000000000005</v>
      </c>
      <c r="U392" s="272">
        <f t="shared" ref="U392:U395" si="1207">+T392*$X$1</f>
        <v>3641.0000000000005</v>
      </c>
      <c r="V392" s="92">
        <f t="shared" ref="V392:V395" si="1208">F392+38</f>
        <v>3629.0000000000005</v>
      </c>
      <c r="W392" s="272">
        <f t="shared" ref="W392:W395" si="1209">+V392*$X$1</f>
        <v>3629.0000000000005</v>
      </c>
      <c r="X392" s="126"/>
      <c r="Y392" s="122"/>
      <c r="Z392" s="122"/>
      <c r="AA392" s="125"/>
      <c r="AB392" s="353">
        <v>2247</v>
      </c>
    </row>
    <row r="393" spans="1:34" ht="12.6" customHeight="1" x14ac:dyDescent="0.2">
      <c r="A393" s="17"/>
      <c r="B393" s="678" t="s">
        <v>432</v>
      </c>
      <c r="C393" s="787"/>
      <c r="D393" s="787"/>
      <c r="E393" s="788"/>
      <c r="F393" s="337">
        <f>0.39*X2</f>
        <v>518.70000000000005</v>
      </c>
      <c r="G393" s="257">
        <f t="shared" ref="G393:G395" si="1210">+F393*$X$1</f>
        <v>518.70000000000005</v>
      </c>
      <c r="H393" s="252"/>
      <c r="I393" s="305"/>
      <c r="J393" s="534"/>
      <c r="K393" s="257"/>
      <c r="L393" s="534">
        <f t="shared" si="1198"/>
        <v>678.7</v>
      </c>
      <c r="M393" s="257">
        <f t="shared" si="1199"/>
        <v>678.7</v>
      </c>
      <c r="N393" s="534">
        <f t="shared" si="1200"/>
        <v>618.70000000000005</v>
      </c>
      <c r="O393" s="257">
        <f t="shared" si="1201"/>
        <v>618.70000000000005</v>
      </c>
      <c r="P393" s="534">
        <f t="shared" si="1202"/>
        <v>593.70000000000005</v>
      </c>
      <c r="Q393" s="257">
        <f t="shared" si="1203"/>
        <v>593.70000000000005</v>
      </c>
      <c r="R393" s="534">
        <f t="shared" si="1204"/>
        <v>583.70000000000005</v>
      </c>
      <c r="S393" s="257">
        <f t="shared" si="1205"/>
        <v>583.70000000000005</v>
      </c>
      <c r="T393" s="93">
        <f t="shared" si="1206"/>
        <v>568.70000000000005</v>
      </c>
      <c r="U393" s="235">
        <f t="shared" si="1207"/>
        <v>568.70000000000005</v>
      </c>
      <c r="V393" s="93">
        <f t="shared" si="1208"/>
        <v>556.70000000000005</v>
      </c>
      <c r="W393" s="235">
        <f t="shared" si="1209"/>
        <v>556.70000000000005</v>
      </c>
      <c r="X393" s="119"/>
      <c r="Y393" s="119"/>
      <c r="Z393" s="119"/>
      <c r="AA393" s="119"/>
      <c r="AB393" s="367">
        <v>2251</v>
      </c>
    </row>
    <row r="394" spans="1:34" ht="12.6" customHeight="1" x14ac:dyDescent="0.2">
      <c r="A394" s="17"/>
      <c r="B394" s="687" t="s">
        <v>625</v>
      </c>
      <c r="C394" s="800"/>
      <c r="D394" s="800"/>
      <c r="E394" s="801"/>
      <c r="F394" s="336">
        <f>0.39*X2</f>
        <v>518.70000000000005</v>
      </c>
      <c r="G394" s="258">
        <f t="shared" si="1210"/>
        <v>518.70000000000005</v>
      </c>
      <c r="H394" s="251"/>
      <c r="I394" s="306"/>
      <c r="J394" s="406"/>
      <c r="K394" s="258"/>
      <c r="L394" s="406">
        <f t="shared" si="1198"/>
        <v>678.7</v>
      </c>
      <c r="M394" s="258">
        <f t="shared" si="1199"/>
        <v>678.7</v>
      </c>
      <c r="N394" s="406">
        <f t="shared" si="1200"/>
        <v>618.70000000000005</v>
      </c>
      <c r="O394" s="258">
        <f t="shared" si="1201"/>
        <v>618.70000000000005</v>
      </c>
      <c r="P394" s="406">
        <f t="shared" si="1202"/>
        <v>593.70000000000005</v>
      </c>
      <c r="Q394" s="258">
        <f t="shared" si="1203"/>
        <v>593.70000000000005</v>
      </c>
      <c r="R394" s="406">
        <f t="shared" si="1204"/>
        <v>583.70000000000005</v>
      </c>
      <c r="S394" s="258">
        <f t="shared" si="1205"/>
        <v>583.70000000000005</v>
      </c>
      <c r="T394" s="92">
        <f t="shared" si="1206"/>
        <v>568.70000000000005</v>
      </c>
      <c r="U394" s="272">
        <f t="shared" si="1207"/>
        <v>568.70000000000005</v>
      </c>
      <c r="V394" s="92">
        <f t="shared" si="1208"/>
        <v>556.70000000000005</v>
      </c>
      <c r="W394" s="272">
        <f t="shared" si="1209"/>
        <v>556.70000000000005</v>
      </c>
      <c r="X394" s="119"/>
      <c r="Y394" s="119"/>
      <c r="Z394" s="119"/>
      <c r="AA394" s="119"/>
      <c r="AB394" s="353">
        <v>2252</v>
      </c>
    </row>
    <row r="395" spans="1:34" ht="12.6" customHeight="1" x14ac:dyDescent="0.2">
      <c r="A395" s="94"/>
      <c r="B395" s="678" t="s">
        <v>224</v>
      </c>
      <c r="C395" s="1003"/>
      <c r="D395" s="1003"/>
      <c r="E395" s="1004"/>
      <c r="F395" s="333">
        <f>0.32*X2</f>
        <v>425.6</v>
      </c>
      <c r="G395" s="257">
        <f t="shared" si="1210"/>
        <v>425.6</v>
      </c>
      <c r="H395" s="252"/>
      <c r="I395" s="305"/>
      <c r="J395" s="534"/>
      <c r="K395" s="257"/>
      <c r="L395" s="534">
        <f t="shared" si="1198"/>
        <v>585.6</v>
      </c>
      <c r="M395" s="257">
        <f t="shared" si="1199"/>
        <v>585.6</v>
      </c>
      <c r="N395" s="534">
        <f t="shared" si="1200"/>
        <v>525.6</v>
      </c>
      <c r="O395" s="257">
        <f t="shared" si="1201"/>
        <v>525.6</v>
      </c>
      <c r="P395" s="534">
        <f t="shared" si="1202"/>
        <v>500.6</v>
      </c>
      <c r="Q395" s="257">
        <f t="shared" si="1203"/>
        <v>500.6</v>
      </c>
      <c r="R395" s="534">
        <f t="shared" si="1204"/>
        <v>490.6</v>
      </c>
      <c r="S395" s="257">
        <f t="shared" si="1205"/>
        <v>490.6</v>
      </c>
      <c r="T395" s="93">
        <f t="shared" si="1206"/>
        <v>475.6</v>
      </c>
      <c r="U395" s="235">
        <f t="shared" si="1207"/>
        <v>475.6</v>
      </c>
      <c r="V395" s="93">
        <f t="shared" si="1208"/>
        <v>463.6</v>
      </c>
      <c r="W395" s="235">
        <f t="shared" si="1209"/>
        <v>463.6</v>
      </c>
      <c r="X395" s="156"/>
      <c r="Y395" s="119"/>
      <c r="Z395" s="119"/>
      <c r="AA395" s="135"/>
      <c r="AB395" s="353">
        <v>2254</v>
      </c>
      <c r="AC395" s="62"/>
    </row>
    <row r="396" spans="1:34" s="4" customFormat="1" ht="12.6" customHeight="1" x14ac:dyDescent="0.2">
      <c r="A396" s="18"/>
      <c r="B396" s="16"/>
      <c r="C396" s="12"/>
      <c r="D396" s="12"/>
      <c r="E396" s="12"/>
      <c r="F396" s="55"/>
      <c r="G396" s="14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</row>
    <row r="397" spans="1:34" s="4" customFormat="1" ht="12.6" customHeight="1" x14ac:dyDescent="0.2">
      <c r="A397" s="18"/>
      <c r="B397" s="16"/>
      <c r="C397" s="12"/>
      <c r="D397" s="12"/>
      <c r="E397" s="12"/>
      <c r="F397" s="55"/>
      <c r="G397" s="14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</row>
    <row r="398" spans="1:34" s="4" customFormat="1" ht="12.6" customHeight="1" x14ac:dyDescent="0.2">
      <c r="A398" s="18"/>
      <c r="B398" s="16"/>
      <c r="C398" s="12"/>
      <c r="D398" s="12"/>
      <c r="E398" s="12"/>
      <c r="F398" s="55"/>
      <c r="G398" s="14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</row>
    <row r="399" spans="1:34" ht="15.75" customHeight="1" x14ac:dyDescent="0.2">
      <c r="A399" s="17"/>
      <c r="B399" s="796" t="s">
        <v>11</v>
      </c>
      <c r="C399" s="765" t="s">
        <v>12</v>
      </c>
      <c r="D399" s="766"/>
      <c r="E399" s="766"/>
      <c r="F399" s="649" t="s">
        <v>13</v>
      </c>
      <c r="G399" s="649" t="s">
        <v>13</v>
      </c>
      <c r="H399" s="651" t="s">
        <v>742</v>
      </c>
      <c r="I399" s="651"/>
      <c r="J399" s="652"/>
      <c r="K399" s="652"/>
      <c r="L399" s="652"/>
      <c r="M399" s="652"/>
      <c r="N399" s="652"/>
      <c r="O399" s="652"/>
      <c r="P399" s="652"/>
      <c r="Q399" s="652"/>
      <c r="R399" s="652"/>
      <c r="S399" s="652"/>
      <c r="T399" s="652"/>
      <c r="U399" s="652"/>
      <c r="V399" s="652"/>
      <c r="W399" s="652"/>
      <c r="X399" s="786" t="s">
        <v>14</v>
      </c>
      <c r="Y399" s="786"/>
      <c r="Z399" s="786"/>
      <c r="AA399" s="786"/>
      <c r="AB399" s="638" t="s">
        <v>15</v>
      </c>
      <c r="AE399" s="61"/>
      <c r="AF399" s="640" t="s">
        <v>3</v>
      </c>
      <c r="AG399" s="641"/>
      <c r="AH399" s="641"/>
    </row>
    <row r="400" spans="1:34" ht="12" customHeight="1" x14ac:dyDescent="0.2">
      <c r="A400" s="17"/>
      <c r="B400" s="796"/>
      <c r="C400" s="766"/>
      <c r="D400" s="766"/>
      <c r="E400" s="766"/>
      <c r="F400" s="650"/>
      <c r="G400" s="650"/>
      <c r="H400" s="421"/>
      <c r="I400" s="413" t="s">
        <v>267</v>
      </c>
      <c r="J400" s="415"/>
      <c r="K400" s="413" t="s">
        <v>17</v>
      </c>
      <c r="L400" s="416"/>
      <c r="M400" s="416" t="s">
        <v>18</v>
      </c>
      <c r="N400" s="416"/>
      <c r="O400" s="413" t="s">
        <v>19</v>
      </c>
      <c r="P400" s="416"/>
      <c r="Q400" s="416" t="s">
        <v>268</v>
      </c>
      <c r="R400" s="416"/>
      <c r="S400" s="416" t="s">
        <v>20</v>
      </c>
      <c r="T400" s="416"/>
      <c r="U400" s="416" t="s">
        <v>21</v>
      </c>
      <c r="V400" s="416"/>
      <c r="W400" s="416" t="s">
        <v>22</v>
      </c>
      <c r="X400" s="786"/>
      <c r="Y400" s="786"/>
      <c r="Z400" s="786"/>
      <c r="AA400" s="786"/>
      <c r="AB400" s="639"/>
    </row>
    <row r="401" spans="1:29" ht="12.6" customHeight="1" x14ac:dyDescent="0.2">
      <c r="A401" s="94"/>
      <c r="B401" s="678" t="s">
        <v>444</v>
      </c>
      <c r="C401" s="1003"/>
      <c r="D401" s="1003"/>
      <c r="E401" s="1004"/>
      <c r="F401" s="333">
        <f>0.32*X2</f>
        <v>425.6</v>
      </c>
      <c r="G401" s="257">
        <f>+F401*$X$1</f>
        <v>425.6</v>
      </c>
      <c r="H401" s="252"/>
      <c r="I401" s="305"/>
      <c r="J401" s="559"/>
      <c r="K401" s="257"/>
      <c r="L401" s="559">
        <f>F401+160</f>
        <v>585.6</v>
      </c>
      <c r="M401" s="257">
        <f>+L401*$X$1</f>
        <v>585.6</v>
      </c>
      <c r="N401" s="559">
        <f>F401+100</f>
        <v>525.6</v>
      </c>
      <c r="O401" s="257">
        <f>+N401*$X$1</f>
        <v>525.6</v>
      </c>
      <c r="P401" s="559">
        <f>F401+75</f>
        <v>500.6</v>
      </c>
      <c r="Q401" s="257">
        <f>+P401*$X$1</f>
        <v>500.6</v>
      </c>
      <c r="R401" s="559">
        <f>F401+65</f>
        <v>490.6</v>
      </c>
      <c r="S401" s="257">
        <f>+R401*$X$1</f>
        <v>490.6</v>
      </c>
      <c r="T401" s="93">
        <f>F401+50</f>
        <v>475.6</v>
      </c>
      <c r="U401" s="235">
        <f>+T401*$X$1</f>
        <v>475.6</v>
      </c>
      <c r="V401" s="93">
        <f>F401+38</f>
        <v>463.6</v>
      </c>
      <c r="W401" s="235">
        <f>+V401*$X$1</f>
        <v>463.6</v>
      </c>
      <c r="X401" s="156"/>
      <c r="Y401" s="119"/>
      <c r="Z401" s="119"/>
      <c r="AA401" s="135"/>
      <c r="AB401" s="353" t="s">
        <v>469</v>
      </c>
      <c r="AC401" s="62"/>
    </row>
    <row r="402" spans="1:29" ht="12.6" customHeight="1" x14ac:dyDescent="0.2">
      <c r="A402" s="94"/>
      <c r="B402" s="642" t="s">
        <v>998</v>
      </c>
      <c r="C402" s="643"/>
      <c r="D402" s="643"/>
      <c r="E402" s="644"/>
      <c r="F402" s="334">
        <f>0.32*X2</f>
        <v>425.6</v>
      </c>
      <c r="G402" s="258">
        <f t="shared" ref="G402" si="1211">+F402*$X$1</f>
        <v>425.6</v>
      </c>
      <c r="H402" s="251"/>
      <c r="I402" s="306"/>
      <c r="J402" s="576"/>
      <c r="K402" s="258"/>
      <c r="L402" s="576">
        <f t="shared" ref="L402" si="1212">F402+160</f>
        <v>585.6</v>
      </c>
      <c r="M402" s="258">
        <f t="shared" ref="M402" si="1213">+L402*$X$1</f>
        <v>585.6</v>
      </c>
      <c r="N402" s="576">
        <f t="shared" ref="N402" si="1214">F402+100</f>
        <v>525.6</v>
      </c>
      <c r="O402" s="258">
        <f t="shared" ref="O402" si="1215">+N402*$X$1</f>
        <v>525.6</v>
      </c>
      <c r="P402" s="576">
        <f t="shared" ref="P402" si="1216">F402+75</f>
        <v>500.6</v>
      </c>
      <c r="Q402" s="258">
        <f t="shared" ref="Q402" si="1217">+P402*$X$1</f>
        <v>500.6</v>
      </c>
      <c r="R402" s="576">
        <f t="shared" ref="R402" si="1218">F402+65</f>
        <v>490.6</v>
      </c>
      <c r="S402" s="258">
        <f t="shared" ref="S402" si="1219">+R402*$X$1</f>
        <v>490.6</v>
      </c>
      <c r="T402" s="92">
        <f t="shared" ref="T402" si="1220">F402+50</f>
        <v>475.6</v>
      </c>
      <c r="U402" s="272">
        <f t="shared" ref="U402" si="1221">+T402*$X$1</f>
        <v>475.6</v>
      </c>
      <c r="V402" s="92">
        <f t="shared" ref="V402" si="1222">F402+38</f>
        <v>463.6</v>
      </c>
      <c r="W402" s="272">
        <f t="shared" ref="W402" si="1223">+V402*$X$1</f>
        <v>463.6</v>
      </c>
      <c r="X402" s="156"/>
      <c r="Y402" s="119"/>
      <c r="Z402" s="119"/>
      <c r="AA402" s="135"/>
      <c r="AB402" s="453" t="s">
        <v>997</v>
      </c>
      <c r="AC402" s="62"/>
    </row>
    <row r="403" spans="1:29" ht="12.6" customHeight="1" x14ac:dyDescent="0.2">
      <c r="A403" s="94"/>
      <c r="B403" s="781" t="s">
        <v>225</v>
      </c>
      <c r="C403" s="1163"/>
      <c r="D403" s="1163"/>
      <c r="E403" s="1164"/>
      <c r="F403" s="469">
        <v>430</v>
      </c>
      <c r="G403" s="469">
        <f>+F403*$X$1</f>
        <v>430</v>
      </c>
      <c r="H403" s="470"/>
      <c r="I403" s="472"/>
      <c r="J403" s="532"/>
      <c r="K403" s="469"/>
      <c r="L403" s="532">
        <f>F403+160</f>
        <v>590</v>
      </c>
      <c r="M403" s="469">
        <f>+L403*$X$1</f>
        <v>590</v>
      </c>
      <c r="N403" s="532">
        <f>F403+100</f>
        <v>530</v>
      </c>
      <c r="O403" s="469">
        <f>+N403*$X$1</f>
        <v>530</v>
      </c>
      <c r="P403" s="532">
        <f>F403+75</f>
        <v>505</v>
      </c>
      <c r="Q403" s="469">
        <f>+P403*$X$1</f>
        <v>505</v>
      </c>
      <c r="R403" s="532">
        <f>F403+65</f>
        <v>495</v>
      </c>
      <c r="S403" s="469">
        <f>+R403*$X$1</f>
        <v>495</v>
      </c>
      <c r="T403" s="549">
        <f>F403+50</f>
        <v>480</v>
      </c>
      <c r="U403" s="548">
        <f>+T403*$X$1</f>
        <v>480</v>
      </c>
      <c r="V403" s="549">
        <f>F403+38</f>
        <v>468</v>
      </c>
      <c r="W403" s="548">
        <f>+V403*$X$1</f>
        <v>468</v>
      </c>
      <c r="X403" s="156"/>
      <c r="Y403" s="119"/>
      <c r="Z403" s="119"/>
      <c r="AA403" s="119"/>
      <c r="AB403" s="353">
        <v>2255</v>
      </c>
      <c r="AC403" s="62"/>
    </row>
    <row r="404" spans="1:29" ht="12.6" customHeight="1" x14ac:dyDescent="0.2">
      <c r="A404" s="88"/>
      <c r="B404" s="723" t="s">
        <v>808</v>
      </c>
      <c r="C404" s="686"/>
      <c r="D404" s="686"/>
      <c r="E404" s="686"/>
      <c r="F404" s="334">
        <f>1.745*X2</f>
        <v>2320.8500000000004</v>
      </c>
      <c r="G404" s="258">
        <f>+F404*$X$1</f>
        <v>2320.8500000000004</v>
      </c>
      <c r="H404" s="251"/>
      <c r="I404" s="306"/>
      <c r="J404" s="406"/>
      <c r="K404" s="258"/>
      <c r="L404" s="406">
        <f>F404+160</f>
        <v>2480.8500000000004</v>
      </c>
      <c r="M404" s="258">
        <f>+L404*$X$1</f>
        <v>2480.8500000000004</v>
      </c>
      <c r="N404" s="406">
        <f>F404+100</f>
        <v>2420.8500000000004</v>
      </c>
      <c r="O404" s="258">
        <f>+N404*$X$1</f>
        <v>2420.8500000000004</v>
      </c>
      <c r="P404" s="406">
        <f>F404+75</f>
        <v>2395.8500000000004</v>
      </c>
      <c r="Q404" s="258">
        <f>+P404*$X$1</f>
        <v>2395.8500000000004</v>
      </c>
      <c r="R404" s="406">
        <f>F404+65</f>
        <v>2385.8500000000004</v>
      </c>
      <c r="S404" s="258">
        <f>+R404*$X$1</f>
        <v>2385.8500000000004</v>
      </c>
      <c r="T404" s="92">
        <f>F404+50</f>
        <v>2370.8500000000004</v>
      </c>
      <c r="U404" s="272">
        <f>+T404*$X$1</f>
        <v>2370.8500000000004</v>
      </c>
      <c r="V404" s="92">
        <f>F404+38</f>
        <v>2358.8500000000004</v>
      </c>
      <c r="W404" s="272">
        <f>+V404*$X$1</f>
        <v>2358.8500000000004</v>
      </c>
      <c r="X404" s="126"/>
      <c r="Y404" s="122"/>
      <c r="Z404" s="122"/>
      <c r="AA404" s="125"/>
      <c r="AB404" s="353">
        <v>2258</v>
      </c>
    </row>
    <row r="405" spans="1:29" ht="12.6" customHeight="1" x14ac:dyDescent="0.2">
      <c r="A405" s="17"/>
      <c r="B405" s="665" t="s">
        <v>607</v>
      </c>
      <c r="C405" s="1146"/>
      <c r="D405" s="1146"/>
      <c r="E405" s="1146"/>
      <c r="F405" s="333">
        <f>0.51*X2</f>
        <v>678.30000000000007</v>
      </c>
      <c r="G405" s="257">
        <f>+F405*$X$1</f>
        <v>678.30000000000007</v>
      </c>
      <c r="H405" s="534"/>
      <c r="I405" s="257"/>
      <c r="J405" s="534"/>
      <c r="K405" s="257"/>
      <c r="L405" s="534">
        <f>F405+160</f>
        <v>838.30000000000007</v>
      </c>
      <c r="M405" s="257">
        <f>+L405*$X$1</f>
        <v>838.30000000000007</v>
      </c>
      <c r="N405" s="534">
        <f>F405+100</f>
        <v>778.30000000000007</v>
      </c>
      <c r="O405" s="257">
        <f>+N405*$X$1</f>
        <v>778.30000000000007</v>
      </c>
      <c r="P405" s="534">
        <f>F405+75</f>
        <v>753.30000000000007</v>
      </c>
      <c r="Q405" s="257">
        <f>+P405*$X$1</f>
        <v>753.30000000000007</v>
      </c>
      <c r="R405" s="534">
        <f>F405+65</f>
        <v>743.30000000000007</v>
      </c>
      <c r="S405" s="257">
        <f>+R405*$X$1</f>
        <v>743.30000000000007</v>
      </c>
      <c r="T405" s="93">
        <f>F405+50</f>
        <v>728.30000000000007</v>
      </c>
      <c r="U405" s="235">
        <f>+T405*$X$1</f>
        <v>728.30000000000007</v>
      </c>
      <c r="V405" s="93">
        <f>F405+38</f>
        <v>716.30000000000007</v>
      </c>
      <c r="W405" s="235">
        <f>+V405*$X$1</f>
        <v>716.30000000000007</v>
      </c>
      <c r="X405" s="677"/>
      <c r="Y405" s="675"/>
      <c r="Z405" s="675"/>
      <c r="AA405" s="676"/>
      <c r="AB405" s="353">
        <v>2260</v>
      </c>
      <c r="AC405" s="62"/>
    </row>
    <row r="406" spans="1:29" ht="12.6" customHeight="1" x14ac:dyDescent="0.2">
      <c r="A406" s="17"/>
      <c r="B406" s="713" t="s">
        <v>596</v>
      </c>
      <c r="C406" s="772"/>
      <c r="D406" s="772"/>
      <c r="E406" s="772"/>
      <c r="F406" s="334">
        <f>0.54*X2</f>
        <v>718.2</v>
      </c>
      <c r="G406" s="258">
        <f t="shared" ref="G406:G407" si="1224">+F406*$X$1</f>
        <v>718.2</v>
      </c>
      <c r="H406" s="406"/>
      <c r="I406" s="258"/>
      <c r="J406" s="406"/>
      <c r="K406" s="258"/>
      <c r="L406" s="406">
        <f>F406+160</f>
        <v>878.2</v>
      </c>
      <c r="M406" s="258">
        <f>+L406*$X$1</f>
        <v>878.2</v>
      </c>
      <c r="N406" s="406">
        <f>F406+100</f>
        <v>818.2</v>
      </c>
      <c r="O406" s="258">
        <f>+N406*$X$1</f>
        <v>818.2</v>
      </c>
      <c r="P406" s="406">
        <f>F406+75</f>
        <v>793.2</v>
      </c>
      <c r="Q406" s="258">
        <f>+P406*$X$1</f>
        <v>793.2</v>
      </c>
      <c r="R406" s="406">
        <f>F406+65</f>
        <v>783.2</v>
      </c>
      <c r="S406" s="258">
        <f>+R406*$X$1</f>
        <v>783.2</v>
      </c>
      <c r="T406" s="92">
        <f>F406+50</f>
        <v>768.2</v>
      </c>
      <c r="U406" s="272">
        <f>+T406*$X$1</f>
        <v>768.2</v>
      </c>
      <c r="V406" s="92">
        <f>F406+38</f>
        <v>756.2</v>
      </c>
      <c r="W406" s="272">
        <f>+V406*$X$1</f>
        <v>756.2</v>
      </c>
      <c r="X406" s="677"/>
      <c r="Y406" s="675"/>
      <c r="Z406" s="675"/>
      <c r="AA406" s="676"/>
      <c r="AB406" s="353">
        <v>2261</v>
      </c>
      <c r="AC406" s="62"/>
    </row>
    <row r="407" spans="1:29" ht="12.6" customHeight="1" x14ac:dyDescent="0.2">
      <c r="A407" s="17"/>
      <c r="B407" s="665" t="s">
        <v>609</v>
      </c>
      <c r="C407" s="1146"/>
      <c r="D407" s="1146"/>
      <c r="E407" s="1146"/>
      <c r="F407" s="333">
        <f>0.45*X2</f>
        <v>598.5</v>
      </c>
      <c r="G407" s="257">
        <f t="shared" si="1224"/>
        <v>598.5</v>
      </c>
      <c r="H407" s="534"/>
      <c r="I407" s="257"/>
      <c r="J407" s="534"/>
      <c r="K407" s="257"/>
      <c r="L407" s="534">
        <f>F407+160</f>
        <v>758.5</v>
      </c>
      <c r="M407" s="257">
        <f>+L407*$X$1</f>
        <v>758.5</v>
      </c>
      <c r="N407" s="534">
        <f>F407+100</f>
        <v>698.5</v>
      </c>
      <c r="O407" s="257">
        <f>+N407*$X$1</f>
        <v>698.5</v>
      </c>
      <c r="P407" s="534">
        <f>F407+75</f>
        <v>673.5</v>
      </c>
      <c r="Q407" s="257">
        <f>+P407*$X$1</f>
        <v>673.5</v>
      </c>
      <c r="R407" s="534">
        <f>F407+65</f>
        <v>663.5</v>
      </c>
      <c r="S407" s="257">
        <f>+R407*$X$1</f>
        <v>663.5</v>
      </c>
      <c r="T407" s="93">
        <f>F407+50</f>
        <v>648.5</v>
      </c>
      <c r="U407" s="235">
        <f>+T407*$X$1</f>
        <v>648.5</v>
      </c>
      <c r="V407" s="93">
        <f>F407+38</f>
        <v>636.5</v>
      </c>
      <c r="W407" s="235">
        <f>+V407*$X$1</f>
        <v>636.5</v>
      </c>
      <c r="X407" s="677"/>
      <c r="Y407" s="675"/>
      <c r="Z407" s="675"/>
      <c r="AA407" s="676"/>
      <c r="AB407" s="353">
        <v>2262</v>
      </c>
      <c r="AC407" s="62"/>
    </row>
    <row r="408" spans="1:29" ht="12.6" customHeight="1" x14ac:dyDescent="0.2">
      <c r="A408" s="17"/>
      <c r="B408" s="713" t="s">
        <v>608</v>
      </c>
      <c r="C408" s="772"/>
      <c r="D408" s="772"/>
      <c r="E408" s="772"/>
      <c r="F408" s="334">
        <f>0.69*X2</f>
        <v>917.69999999999993</v>
      </c>
      <c r="G408" s="258">
        <f t="shared" ref="G408" si="1225">+F408*$X$1</f>
        <v>917.69999999999993</v>
      </c>
      <c r="H408" s="406"/>
      <c r="I408" s="258"/>
      <c r="J408" s="406"/>
      <c r="K408" s="258"/>
      <c r="L408" s="406">
        <f t="shared" ref="L408" si="1226">F408+160</f>
        <v>1077.6999999999998</v>
      </c>
      <c r="M408" s="258">
        <f t="shared" ref="M408:M410" si="1227">+L408*$X$1</f>
        <v>1077.6999999999998</v>
      </c>
      <c r="N408" s="406">
        <f t="shared" ref="N408" si="1228">F408+100</f>
        <v>1017.6999999999999</v>
      </c>
      <c r="O408" s="258">
        <f t="shared" ref="O408" si="1229">+N408*$X$1</f>
        <v>1017.6999999999999</v>
      </c>
      <c r="P408" s="406">
        <f t="shared" ref="P408" si="1230">F408+75</f>
        <v>992.69999999999993</v>
      </c>
      <c r="Q408" s="258">
        <f t="shared" ref="Q408" si="1231">+P408*$X$1</f>
        <v>992.69999999999993</v>
      </c>
      <c r="R408" s="406">
        <f t="shared" ref="R408" si="1232">F408+65</f>
        <v>982.69999999999993</v>
      </c>
      <c r="S408" s="258">
        <f t="shared" ref="S408" si="1233">+R408*$X$1</f>
        <v>982.69999999999993</v>
      </c>
      <c r="T408" s="92">
        <f t="shared" ref="T408" si="1234">F408+50</f>
        <v>967.69999999999993</v>
      </c>
      <c r="U408" s="272">
        <f t="shared" ref="U408" si="1235">+T408*$X$1</f>
        <v>967.69999999999993</v>
      </c>
      <c r="V408" s="92">
        <f t="shared" ref="V408" si="1236">F408+38</f>
        <v>955.69999999999993</v>
      </c>
      <c r="W408" s="272">
        <f t="shared" ref="W408" si="1237">+V408*$X$1</f>
        <v>955.69999999999993</v>
      </c>
      <c r="X408" s="677"/>
      <c r="Y408" s="675"/>
      <c r="Z408" s="675"/>
      <c r="AA408" s="676"/>
      <c r="AB408" s="353">
        <v>2266</v>
      </c>
      <c r="AC408" s="62"/>
    </row>
    <row r="409" spans="1:29" ht="12.6" customHeight="1" x14ac:dyDescent="0.2">
      <c r="A409" s="17"/>
      <c r="B409" s="784" t="s">
        <v>226</v>
      </c>
      <c r="C409" s="785"/>
      <c r="D409" s="785"/>
      <c r="E409" s="785"/>
      <c r="F409" s="465">
        <f>1.85*X2</f>
        <v>2460.5</v>
      </c>
      <c r="G409" s="257">
        <f t="shared" ref="G409:G410" si="1238">+F409*$X$1</f>
        <v>2460.5</v>
      </c>
      <c r="H409" s="534">
        <f>F409+650</f>
        <v>3110.5</v>
      </c>
      <c r="I409" s="257">
        <f t="shared" ref="I409" si="1239">+H409*$X$1</f>
        <v>3110.5</v>
      </c>
      <c r="J409" s="534">
        <f>F409+230</f>
        <v>2690.5</v>
      </c>
      <c r="K409" s="257">
        <f t="shared" ref="K409" si="1240">+J409*$X$1</f>
        <v>2690.5</v>
      </c>
      <c r="L409" s="534">
        <f>F409+190</f>
        <v>2650.5</v>
      </c>
      <c r="M409" s="257">
        <f t="shared" si="1227"/>
        <v>2650.5</v>
      </c>
      <c r="N409" s="534"/>
      <c r="O409" s="257"/>
      <c r="P409" s="534"/>
      <c r="Q409" s="257"/>
      <c r="R409" s="534"/>
      <c r="S409" s="257"/>
      <c r="T409" s="534"/>
      <c r="U409" s="257"/>
      <c r="V409" s="534"/>
      <c r="W409" s="257"/>
      <c r="X409" s="677"/>
      <c r="Y409" s="675"/>
      <c r="Z409" s="675"/>
      <c r="AA409" s="676"/>
      <c r="AB409" s="353">
        <v>2268</v>
      </c>
      <c r="AC409" s="62"/>
    </row>
    <row r="410" spans="1:29" ht="12.6" customHeight="1" x14ac:dyDescent="0.2">
      <c r="A410" s="88"/>
      <c r="B410" s="723" t="s">
        <v>912</v>
      </c>
      <c r="C410" s="686"/>
      <c r="D410" s="686"/>
      <c r="E410" s="686"/>
      <c r="F410" s="334">
        <f>0.399*X2</f>
        <v>530.67000000000007</v>
      </c>
      <c r="G410" s="258">
        <f t="shared" si="1238"/>
        <v>530.67000000000007</v>
      </c>
      <c r="H410" s="251"/>
      <c r="I410" s="306"/>
      <c r="J410" s="406"/>
      <c r="K410" s="258"/>
      <c r="L410" s="406">
        <f t="shared" ref="L410" si="1241">F410+160</f>
        <v>690.67000000000007</v>
      </c>
      <c r="M410" s="258">
        <f t="shared" si="1227"/>
        <v>690.67000000000007</v>
      </c>
      <c r="N410" s="406">
        <f t="shared" ref="N410" si="1242">F410+100</f>
        <v>630.67000000000007</v>
      </c>
      <c r="O410" s="258">
        <f t="shared" ref="O410" si="1243">+N410*$X$1</f>
        <v>630.67000000000007</v>
      </c>
      <c r="P410" s="406">
        <f t="shared" ref="P410" si="1244">F410+75</f>
        <v>605.67000000000007</v>
      </c>
      <c r="Q410" s="258">
        <f t="shared" ref="Q410" si="1245">+P410*$X$1</f>
        <v>605.67000000000007</v>
      </c>
      <c r="R410" s="406">
        <f t="shared" ref="R410" si="1246">F410+65</f>
        <v>595.67000000000007</v>
      </c>
      <c r="S410" s="258">
        <f t="shared" ref="S410" si="1247">+R410*$X$1</f>
        <v>595.67000000000007</v>
      </c>
      <c r="T410" s="92">
        <f t="shared" ref="T410" si="1248">F410+50</f>
        <v>580.67000000000007</v>
      </c>
      <c r="U410" s="272">
        <f t="shared" ref="U410" si="1249">+T410*$X$1</f>
        <v>580.67000000000007</v>
      </c>
      <c r="V410" s="92">
        <f t="shared" ref="V410" si="1250">F410+38</f>
        <v>568.67000000000007</v>
      </c>
      <c r="W410" s="272">
        <f t="shared" ref="W410" si="1251">+V410*$X$1</f>
        <v>568.67000000000007</v>
      </c>
      <c r="X410" s="126"/>
      <c r="Y410" s="122"/>
      <c r="Z410" s="122"/>
      <c r="AA410" s="125"/>
      <c r="AB410" s="353">
        <v>2269</v>
      </c>
    </row>
    <row r="411" spans="1:29" ht="12.6" customHeight="1" x14ac:dyDescent="0.2">
      <c r="A411" s="17"/>
      <c r="B411" s="1200" t="s">
        <v>227</v>
      </c>
      <c r="C411" s="1201"/>
      <c r="D411" s="1201"/>
      <c r="E411" s="1201"/>
      <c r="F411" s="473">
        <f>0.27*X2</f>
        <v>359.1</v>
      </c>
      <c r="G411" s="469">
        <f>+F411*$X$1</f>
        <v>359.1</v>
      </c>
      <c r="H411" s="470"/>
      <c r="I411" s="470"/>
      <c r="J411" s="556"/>
      <c r="K411" s="556"/>
      <c r="L411" s="556">
        <f t="shared" ref="L411" si="1252">F411+160</f>
        <v>519.1</v>
      </c>
      <c r="M411" s="469">
        <f t="shared" ref="M411" si="1253">+L411*$X$1</f>
        <v>519.1</v>
      </c>
      <c r="N411" s="556">
        <f t="shared" ref="N411" si="1254">F411+100</f>
        <v>459.1</v>
      </c>
      <c r="O411" s="469">
        <f t="shared" ref="O411" si="1255">+N411*$X$1</f>
        <v>459.1</v>
      </c>
      <c r="P411" s="556">
        <f t="shared" ref="P411" si="1256">F411+75</f>
        <v>434.1</v>
      </c>
      <c r="Q411" s="469">
        <f t="shared" ref="Q411" si="1257">+P411*$X$1</f>
        <v>434.1</v>
      </c>
      <c r="R411" s="556">
        <f t="shared" ref="R411" si="1258">F411+65</f>
        <v>424.1</v>
      </c>
      <c r="S411" s="469">
        <f t="shared" ref="S411" si="1259">+R411*$X$1</f>
        <v>424.1</v>
      </c>
      <c r="T411" s="549">
        <f t="shared" ref="T411" si="1260">F411+50</f>
        <v>409.1</v>
      </c>
      <c r="U411" s="548">
        <f t="shared" ref="U411" si="1261">+T411*$X$1</f>
        <v>409.1</v>
      </c>
      <c r="V411" s="549">
        <f t="shared" ref="V411" si="1262">F411+38</f>
        <v>397.1</v>
      </c>
      <c r="W411" s="548">
        <f t="shared" ref="W411" si="1263">+V411*$X$1</f>
        <v>397.1</v>
      </c>
      <c r="X411" s="162"/>
      <c r="Y411" s="164"/>
      <c r="Z411" s="164"/>
      <c r="AA411" s="162"/>
      <c r="AB411" s="353">
        <v>2270</v>
      </c>
      <c r="AC411" s="62"/>
    </row>
    <row r="412" spans="1:29" ht="12.6" customHeight="1" x14ac:dyDescent="0.2">
      <c r="A412" s="17"/>
      <c r="B412" s="713" t="s">
        <v>848</v>
      </c>
      <c r="C412" s="1195"/>
      <c r="D412" s="1195"/>
      <c r="E412" s="1195"/>
      <c r="F412" s="334">
        <f>0.44*X2</f>
        <v>585.20000000000005</v>
      </c>
      <c r="G412" s="258">
        <f>+F412*$X$1</f>
        <v>585.20000000000005</v>
      </c>
      <c r="H412" s="251"/>
      <c r="I412" s="251"/>
      <c r="J412" s="406"/>
      <c r="K412" s="406"/>
      <c r="L412" s="406">
        <f>F412+160</f>
        <v>745.2</v>
      </c>
      <c r="M412" s="258">
        <f>+L412*$X$1</f>
        <v>745.2</v>
      </c>
      <c r="N412" s="406">
        <f>F412+100</f>
        <v>685.2</v>
      </c>
      <c r="O412" s="258">
        <f>+N412*$X$1</f>
        <v>685.2</v>
      </c>
      <c r="P412" s="406">
        <f>F412+75</f>
        <v>660.2</v>
      </c>
      <c r="Q412" s="258">
        <f>+P412*$X$1</f>
        <v>660.2</v>
      </c>
      <c r="R412" s="406">
        <f>F412+65</f>
        <v>650.20000000000005</v>
      </c>
      <c r="S412" s="258">
        <f>+R412*$X$1</f>
        <v>650.20000000000005</v>
      </c>
      <c r="T412" s="92">
        <f>F412+50</f>
        <v>635.20000000000005</v>
      </c>
      <c r="U412" s="272">
        <f>+T412*$X$1</f>
        <v>635.20000000000005</v>
      </c>
      <c r="V412" s="92">
        <f>F412+38</f>
        <v>623.20000000000005</v>
      </c>
      <c r="W412" s="272">
        <f>+V412*$X$1</f>
        <v>623.20000000000005</v>
      </c>
      <c r="X412" s="494"/>
      <c r="Y412" s="492"/>
      <c r="Z412" s="492"/>
      <c r="AA412" s="494"/>
      <c r="AB412" s="353">
        <v>2271</v>
      </c>
      <c r="AC412" s="62"/>
    </row>
    <row r="413" spans="1:29" ht="12.6" customHeight="1" x14ac:dyDescent="0.2">
      <c r="A413" s="17"/>
      <c r="B413" s="665" t="s">
        <v>849</v>
      </c>
      <c r="C413" s="795"/>
      <c r="D413" s="795"/>
      <c r="E413" s="795"/>
      <c r="F413" s="333">
        <f>0.59*X2</f>
        <v>784.69999999999993</v>
      </c>
      <c r="G413" s="257">
        <f>+F413*$X$1</f>
        <v>784.69999999999993</v>
      </c>
      <c r="H413" s="252"/>
      <c r="I413" s="252"/>
      <c r="J413" s="555"/>
      <c r="K413" s="555"/>
      <c r="L413" s="555">
        <f>F413+160</f>
        <v>944.69999999999993</v>
      </c>
      <c r="M413" s="257">
        <f>+L413*$X$1</f>
        <v>944.69999999999993</v>
      </c>
      <c r="N413" s="555">
        <f>F413+100</f>
        <v>884.69999999999993</v>
      </c>
      <c r="O413" s="257">
        <f>+N413*$X$1</f>
        <v>884.69999999999993</v>
      </c>
      <c r="P413" s="555">
        <f>F413+75</f>
        <v>859.69999999999993</v>
      </c>
      <c r="Q413" s="257">
        <f>+P413*$X$1</f>
        <v>859.69999999999993</v>
      </c>
      <c r="R413" s="555">
        <f>F413+65</f>
        <v>849.69999999999993</v>
      </c>
      <c r="S413" s="257">
        <f>+R413*$X$1</f>
        <v>849.69999999999993</v>
      </c>
      <c r="T413" s="93">
        <f>F413+50</f>
        <v>834.69999999999993</v>
      </c>
      <c r="U413" s="235">
        <f>+T413*$X$1</f>
        <v>834.69999999999993</v>
      </c>
      <c r="V413" s="93">
        <f>F413+38</f>
        <v>822.69999999999993</v>
      </c>
      <c r="W413" s="235">
        <f>+V413*$X$1</f>
        <v>822.69999999999993</v>
      </c>
      <c r="X413" s="494"/>
      <c r="Y413" s="492"/>
      <c r="Z413" s="492"/>
      <c r="AA413" s="494"/>
      <c r="AB413" s="353">
        <v>2272</v>
      </c>
      <c r="AC413" s="62"/>
    </row>
    <row r="414" spans="1:29" ht="12.6" customHeight="1" x14ac:dyDescent="0.2">
      <c r="A414" s="17"/>
      <c r="B414" s="713" t="s">
        <v>228</v>
      </c>
      <c r="C414" s="771"/>
      <c r="D414" s="771"/>
      <c r="E414" s="771"/>
      <c r="F414" s="334">
        <f>0.51*X2</f>
        <v>678.30000000000007</v>
      </c>
      <c r="G414" s="258">
        <f>+F414*$X$1</f>
        <v>678.30000000000007</v>
      </c>
      <c r="H414" s="251"/>
      <c r="I414" s="251"/>
      <c r="J414" s="406"/>
      <c r="K414" s="406"/>
      <c r="L414" s="406">
        <f>F414+160</f>
        <v>838.30000000000007</v>
      </c>
      <c r="M414" s="258">
        <f>+L414*$X$1</f>
        <v>838.30000000000007</v>
      </c>
      <c r="N414" s="406">
        <f>F414+100</f>
        <v>778.30000000000007</v>
      </c>
      <c r="O414" s="258">
        <f>+N414*$X$1</f>
        <v>778.30000000000007</v>
      </c>
      <c r="P414" s="406">
        <f>F414+75</f>
        <v>753.30000000000007</v>
      </c>
      <c r="Q414" s="258">
        <f>+P414*$X$1</f>
        <v>753.30000000000007</v>
      </c>
      <c r="R414" s="406">
        <f>F414+65</f>
        <v>743.30000000000007</v>
      </c>
      <c r="S414" s="258">
        <f>+R414*$X$1</f>
        <v>743.30000000000007</v>
      </c>
      <c r="T414" s="92">
        <f>F414+50</f>
        <v>728.30000000000007</v>
      </c>
      <c r="U414" s="272">
        <f>+T414*$X$1</f>
        <v>728.30000000000007</v>
      </c>
      <c r="V414" s="92">
        <f>F414+38</f>
        <v>716.30000000000007</v>
      </c>
      <c r="W414" s="272">
        <f>+V414*$X$1</f>
        <v>716.30000000000007</v>
      </c>
      <c r="X414" s="162"/>
      <c r="Y414" s="164"/>
      <c r="Z414" s="164"/>
      <c r="AA414" s="162"/>
      <c r="AB414" s="353">
        <v>2275</v>
      </c>
      <c r="AC414" s="62"/>
    </row>
    <row r="415" spans="1:29" ht="12.6" customHeight="1" x14ac:dyDescent="0.2">
      <c r="A415" s="17"/>
      <c r="B415" s="665" t="s">
        <v>940</v>
      </c>
      <c r="C415" s="666"/>
      <c r="D415" s="666"/>
      <c r="E415" s="666"/>
      <c r="F415" s="333">
        <f>0.57*X2</f>
        <v>758.09999999999991</v>
      </c>
      <c r="G415" s="257">
        <f t="shared" ref="G415" si="1264">+F415*$X$1</f>
        <v>758.09999999999991</v>
      </c>
      <c r="H415" s="252"/>
      <c r="I415" s="252"/>
      <c r="J415" s="555"/>
      <c r="K415" s="555"/>
      <c r="L415" s="555">
        <f>F415+160</f>
        <v>918.09999999999991</v>
      </c>
      <c r="M415" s="257">
        <f>+L415*$X$1</f>
        <v>918.09999999999991</v>
      </c>
      <c r="N415" s="555">
        <f>F415+100</f>
        <v>858.09999999999991</v>
      </c>
      <c r="O415" s="257">
        <f>+N415*$X$1</f>
        <v>858.09999999999991</v>
      </c>
      <c r="P415" s="555">
        <f>F415+75</f>
        <v>833.09999999999991</v>
      </c>
      <c r="Q415" s="257">
        <f>+P415*$X$1</f>
        <v>833.09999999999991</v>
      </c>
      <c r="R415" s="555">
        <f>F415+65</f>
        <v>823.09999999999991</v>
      </c>
      <c r="S415" s="257">
        <f>+R415*$X$1</f>
        <v>823.09999999999991</v>
      </c>
      <c r="T415" s="93">
        <f>F415+50</f>
        <v>808.09999999999991</v>
      </c>
      <c r="U415" s="235">
        <f>+T415*$X$1</f>
        <v>808.09999999999991</v>
      </c>
      <c r="V415" s="93">
        <f>F415+38</f>
        <v>796.09999999999991</v>
      </c>
      <c r="W415" s="235">
        <f>+V415*$X$1</f>
        <v>796.09999999999991</v>
      </c>
      <c r="X415" s="209"/>
      <c r="Y415" s="210"/>
      <c r="Z415" s="210"/>
      <c r="AA415" s="209"/>
      <c r="AB415" s="353">
        <v>2279</v>
      </c>
      <c r="AC415" s="62"/>
    </row>
    <row r="416" spans="1:29" ht="12.6" customHeight="1" x14ac:dyDescent="0.2">
      <c r="A416" s="17"/>
      <c r="B416" s="685" t="s">
        <v>941</v>
      </c>
      <c r="C416" s="753"/>
      <c r="D416" s="753"/>
      <c r="E416" s="753"/>
      <c r="F416" s="334">
        <f>0.57*X2</f>
        <v>758.09999999999991</v>
      </c>
      <c r="G416" s="258">
        <f t="shared" ref="G416" si="1265">+F416*$X$1</f>
        <v>758.09999999999991</v>
      </c>
      <c r="H416" s="251"/>
      <c r="I416" s="251"/>
      <c r="J416" s="562"/>
      <c r="K416" s="562"/>
      <c r="L416" s="562">
        <f t="shared" ref="L416" si="1266">F416+160</f>
        <v>918.09999999999991</v>
      </c>
      <c r="M416" s="258">
        <f t="shared" ref="M416" si="1267">+L416*$X$1</f>
        <v>918.09999999999991</v>
      </c>
      <c r="N416" s="562">
        <f t="shared" ref="N416" si="1268">F416+100</f>
        <v>858.09999999999991</v>
      </c>
      <c r="O416" s="258">
        <f t="shared" ref="O416" si="1269">+N416*$X$1</f>
        <v>858.09999999999991</v>
      </c>
      <c r="P416" s="562">
        <f t="shared" ref="P416" si="1270">F416+75</f>
        <v>833.09999999999991</v>
      </c>
      <c r="Q416" s="258">
        <f t="shared" ref="Q416" si="1271">+P416*$X$1</f>
        <v>833.09999999999991</v>
      </c>
      <c r="R416" s="562">
        <f t="shared" ref="R416" si="1272">F416+65</f>
        <v>823.09999999999991</v>
      </c>
      <c r="S416" s="258">
        <f t="shared" ref="S416" si="1273">+R416*$X$1</f>
        <v>823.09999999999991</v>
      </c>
      <c r="T416" s="92">
        <f t="shared" ref="T416" si="1274">F416+50</f>
        <v>808.09999999999991</v>
      </c>
      <c r="U416" s="272">
        <f t="shared" ref="U416" si="1275">+T416*$X$1</f>
        <v>808.09999999999991</v>
      </c>
      <c r="V416" s="92">
        <f t="shared" ref="V416" si="1276">F416+38</f>
        <v>796.09999999999991</v>
      </c>
      <c r="W416" s="272">
        <f t="shared" ref="W416" si="1277">+V416*$X$1</f>
        <v>796.09999999999991</v>
      </c>
      <c r="X416" s="560"/>
      <c r="Y416" s="561"/>
      <c r="Z416" s="561"/>
      <c r="AA416" s="560"/>
      <c r="AB416" s="353" t="s">
        <v>934</v>
      </c>
      <c r="AC416" s="62"/>
    </row>
    <row r="417" spans="1:29" ht="12.6" customHeight="1" x14ac:dyDescent="0.2">
      <c r="A417" s="17"/>
      <c r="B417" s="665" t="s">
        <v>229</v>
      </c>
      <c r="C417" s="666"/>
      <c r="D417" s="666"/>
      <c r="E417" s="666"/>
      <c r="F417" s="333">
        <f>0.429*X2</f>
        <v>570.56999999999994</v>
      </c>
      <c r="G417" s="257">
        <f>+F417*$X$1</f>
        <v>570.56999999999994</v>
      </c>
      <c r="H417" s="252"/>
      <c r="I417" s="252"/>
      <c r="J417" s="558"/>
      <c r="K417" s="558"/>
      <c r="L417" s="558">
        <f>F417+160</f>
        <v>730.56999999999994</v>
      </c>
      <c r="M417" s="257">
        <f>+L417*$X$1</f>
        <v>730.56999999999994</v>
      </c>
      <c r="N417" s="558">
        <f>F417+100</f>
        <v>670.56999999999994</v>
      </c>
      <c r="O417" s="257">
        <f>+N417*$X$1</f>
        <v>670.56999999999994</v>
      </c>
      <c r="P417" s="558">
        <f>F417+75</f>
        <v>645.56999999999994</v>
      </c>
      <c r="Q417" s="257">
        <f>+P417*$X$1</f>
        <v>645.56999999999994</v>
      </c>
      <c r="R417" s="558">
        <f>F417+65</f>
        <v>635.56999999999994</v>
      </c>
      <c r="S417" s="257">
        <f>+R417*$X$1</f>
        <v>635.56999999999994</v>
      </c>
      <c r="T417" s="93">
        <f>F417+50</f>
        <v>620.56999999999994</v>
      </c>
      <c r="U417" s="235">
        <f>+T417*$X$1</f>
        <v>620.56999999999994</v>
      </c>
      <c r="V417" s="93">
        <f>F417+38</f>
        <v>608.56999999999994</v>
      </c>
      <c r="W417" s="235">
        <f>+V417*$X$1</f>
        <v>608.56999999999994</v>
      </c>
      <c r="X417" s="162"/>
      <c r="Y417" s="164"/>
      <c r="Z417" s="164"/>
      <c r="AA417" s="162"/>
      <c r="AB417" s="353">
        <v>2280</v>
      </c>
      <c r="AC417" s="62"/>
    </row>
    <row r="418" spans="1:29" ht="12.6" customHeight="1" x14ac:dyDescent="0.2">
      <c r="A418" s="17"/>
      <c r="B418" s="713" t="s">
        <v>438</v>
      </c>
      <c r="C418" s="771"/>
      <c r="D418" s="771"/>
      <c r="E418" s="771"/>
      <c r="F418" s="334">
        <f>0.37*X2</f>
        <v>492.09999999999997</v>
      </c>
      <c r="G418" s="258">
        <f t="shared" ref="G418" si="1278">+F418*$X$1</f>
        <v>492.09999999999997</v>
      </c>
      <c r="H418" s="251"/>
      <c r="I418" s="251"/>
      <c r="J418" s="406"/>
      <c r="K418" s="406"/>
      <c r="L418" s="406">
        <f>F418+160</f>
        <v>652.09999999999991</v>
      </c>
      <c r="M418" s="258">
        <f>+L418*$X$1</f>
        <v>652.09999999999991</v>
      </c>
      <c r="N418" s="406">
        <f>F418+100</f>
        <v>592.09999999999991</v>
      </c>
      <c r="O418" s="258">
        <f>+N418*$X$1</f>
        <v>592.09999999999991</v>
      </c>
      <c r="P418" s="406">
        <f>F418+75</f>
        <v>567.09999999999991</v>
      </c>
      <c r="Q418" s="258">
        <f>+P418*$X$1</f>
        <v>567.09999999999991</v>
      </c>
      <c r="R418" s="406">
        <f>F418+65</f>
        <v>557.09999999999991</v>
      </c>
      <c r="S418" s="258">
        <f>+R418*$X$1</f>
        <v>557.09999999999991</v>
      </c>
      <c r="T418" s="92">
        <f>F418+50</f>
        <v>542.09999999999991</v>
      </c>
      <c r="U418" s="272">
        <f>+T418*$X$1</f>
        <v>542.09999999999991</v>
      </c>
      <c r="V418" s="92">
        <f>F418+38</f>
        <v>530.09999999999991</v>
      </c>
      <c r="W418" s="272">
        <f>+V418*$X$1</f>
        <v>530.09999999999991</v>
      </c>
      <c r="X418" s="162"/>
      <c r="Y418" s="164"/>
      <c r="Z418" s="164"/>
      <c r="AA418" s="162"/>
      <c r="AB418" s="353">
        <v>2281</v>
      </c>
      <c r="AC418" s="62"/>
    </row>
    <row r="419" spans="1:29" ht="12.6" customHeight="1" x14ac:dyDescent="0.2">
      <c r="A419" s="17"/>
      <c r="B419" s="678" t="s">
        <v>798</v>
      </c>
      <c r="C419" s="787"/>
      <c r="D419" s="787"/>
      <c r="E419" s="788"/>
      <c r="F419" s="337">
        <f>0.51*X2</f>
        <v>678.30000000000007</v>
      </c>
      <c r="G419" s="257">
        <f t="shared" ref="G419" si="1279">+F419*$X$1</f>
        <v>678.30000000000007</v>
      </c>
      <c r="H419" s="252"/>
      <c r="I419" s="305"/>
      <c r="J419" s="534"/>
      <c r="K419" s="257"/>
      <c r="L419" s="534">
        <f>F419+160</f>
        <v>838.30000000000007</v>
      </c>
      <c r="M419" s="257">
        <f>+L419*$X$1</f>
        <v>838.30000000000007</v>
      </c>
      <c r="N419" s="534">
        <f>F419+100</f>
        <v>778.30000000000007</v>
      </c>
      <c r="O419" s="257">
        <f>+N419*$X$1</f>
        <v>778.30000000000007</v>
      </c>
      <c r="P419" s="534">
        <f>F419+75</f>
        <v>753.30000000000007</v>
      </c>
      <c r="Q419" s="257">
        <f>+P419*$X$1</f>
        <v>753.30000000000007</v>
      </c>
      <c r="R419" s="534">
        <f>F419+65</f>
        <v>743.30000000000007</v>
      </c>
      <c r="S419" s="257">
        <f>+R419*$X$1</f>
        <v>743.30000000000007</v>
      </c>
      <c r="T419" s="93">
        <f>F419+50</f>
        <v>728.30000000000007</v>
      </c>
      <c r="U419" s="235">
        <f>+T419*$X$1</f>
        <v>728.30000000000007</v>
      </c>
      <c r="V419" s="93">
        <f>F419+38</f>
        <v>716.30000000000007</v>
      </c>
      <c r="W419" s="235">
        <f>+V419*$X$1</f>
        <v>716.30000000000007</v>
      </c>
      <c r="X419" s="119"/>
      <c r="Y419" s="119"/>
      <c r="Z419" s="119"/>
      <c r="AA419" s="119"/>
      <c r="AB419" s="353">
        <v>2282</v>
      </c>
    </row>
    <row r="420" spans="1:29" ht="12.6" customHeight="1" x14ac:dyDescent="0.2">
      <c r="A420" s="17"/>
      <c r="B420" s="781" t="s">
        <v>797</v>
      </c>
      <c r="C420" s="782"/>
      <c r="D420" s="782"/>
      <c r="E420" s="783"/>
      <c r="F420" s="477">
        <f>0.475*X2</f>
        <v>631.75</v>
      </c>
      <c r="G420" s="469">
        <f>+F420*$X$1</f>
        <v>631.75</v>
      </c>
      <c r="H420" s="470"/>
      <c r="I420" s="472"/>
      <c r="J420" s="598"/>
      <c r="K420" s="469"/>
      <c r="L420" s="598">
        <f t="shared" ref="L420" si="1280">F420+160</f>
        <v>791.75</v>
      </c>
      <c r="M420" s="469">
        <f t="shared" ref="M420" si="1281">+L420*$X$1</f>
        <v>791.75</v>
      </c>
      <c r="N420" s="598">
        <f t="shared" ref="N420" si="1282">F420+100</f>
        <v>731.75</v>
      </c>
      <c r="O420" s="469">
        <f t="shared" ref="O420" si="1283">+N420*$X$1</f>
        <v>731.75</v>
      </c>
      <c r="P420" s="598">
        <f t="shared" ref="P420" si="1284">F420+75</f>
        <v>706.75</v>
      </c>
      <c r="Q420" s="469">
        <f t="shared" ref="Q420" si="1285">+P420*$X$1</f>
        <v>706.75</v>
      </c>
      <c r="R420" s="598">
        <f t="shared" ref="R420" si="1286">F420+65</f>
        <v>696.75</v>
      </c>
      <c r="S420" s="469">
        <f t="shared" ref="S420" si="1287">+R420*$X$1</f>
        <v>696.75</v>
      </c>
      <c r="T420" s="549">
        <f t="shared" ref="T420" si="1288">F420+50</f>
        <v>681.75</v>
      </c>
      <c r="U420" s="548">
        <f t="shared" ref="U420" si="1289">+T420*$X$1</f>
        <v>681.75</v>
      </c>
      <c r="V420" s="549">
        <f t="shared" ref="V420" si="1290">F420+38</f>
        <v>669.75</v>
      </c>
      <c r="W420" s="548">
        <f t="shared" ref="W420" si="1291">+V420*$X$1</f>
        <v>669.75</v>
      </c>
      <c r="X420" s="119"/>
      <c r="Y420" s="119"/>
      <c r="Z420" s="119"/>
      <c r="AA420" s="119"/>
      <c r="AB420" s="353">
        <v>2283</v>
      </c>
    </row>
    <row r="421" spans="1:29" ht="12.6" customHeight="1" x14ac:dyDescent="0.2">
      <c r="A421" s="17"/>
      <c r="B421" s="665" t="s">
        <v>308</v>
      </c>
      <c r="C421" s="666"/>
      <c r="D421" s="666"/>
      <c r="E421" s="666"/>
      <c r="F421" s="333">
        <f>0.569*X2</f>
        <v>756.77</v>
      </c>
      <c r="G421" s="257">
        <f>+F421*$X$1</f>
        <v>756.77</v>
      </c>
      <c r="H421" s="252"/>
      <c r="I421" s="252"/>
      <c r="J421" s="534"/>
      <c r="K421" s="534"/>
      <c r="L421" s="534">
        <f t="shared" ref="L421:L432" si="1292">F421+160</f>
        <v>916.77</v>
      </c>
      <c r="M421" s="257">
        <f t="shared" ref="M421:M437" si="1293">+L421*$X$1</f>
        <v>916.77</v>
      </c>
      <c r="N421" s="534">
        <f t="shared" ref="N421:N432" si="1294">F421+100</f>
        <v>856.77</v>
      </c>
      <c r="O421" s="257">
        <f t="shared" ref="O421:O432" si="1295">+N421*$X$1</f>
        <v>856.77</v>
      </c>
      <c r="P421" s="534">
        <f t="shared" ref="P421:P432" si="1296">F421+75</f>
        <v>831.77</v>
      </c>
      <c r="Q421" s="257">
        <f t="shared" ref="Q421:Q437" si="1297">+P421*$X$1</f>
        <v>831.77</v>
      </c>
      <c r="R421" s="534">
        <f t="shared" ref="R421:R432" si="1298">F421+65</f>
        <v>821.77</v>
      </c>
      <c r="S421" s="257">
        <f t="shared" ref="S421:S432" si="1299">+R421*$X$1</f>
        <v>821.77</v>
      </c>
      <c r="T421" s="93">
        <f t="shared" ref="T421:T432" si="1300">F421+50</f>
        <v>806.77</v>
      </c>
      <c r="U421" s="235">
        <f t="shared" ref="U421:U437" si="1301">+T421*$X$1</f>
        <v>806.77</v>
      </c>
      <c r="V421" s="93">
        <f t="shared" ref="V421:V432" si="1302">F421+38</f>
        <v>794.77</v>
      </c>
      <c r="W421" s="235">
        <f t="shared" ref="W421:W437" si="1303">+V421*$X$1</f>
        <v>794.77</v>
      </c>
      <c r="X421" s="173"/>
      <c r="Y421" s="172"/>
      <c r="Z421" s="172"/>
      <c r="AA421" s="173"/>
      <c r="AB421" s="353">
        <v>2285</v>
      </c>
      <c r="AC421" s="62"/>
    </row>
    <row r="422" spans="1:29" ht="12.6" customHeight="1" x14ac:dyDescent="0.2">
      <c r="A422" s="17"/>
      <c r="B422" s="713" t="s">
        <v>309</v>
      </c>
      <c r="C422" s="771"/>
      <c r="D422" s="771"/>
      <c r="E422" s="771"/>
      <c r="F422" s="334">
        <f>0.31*X2</f>
        <v>412.3</v>
      </c>
      <c r="G422" s="258">
        <f>+F422*$X$1</f>
        <v>412.3</v>
      </c>
      <c r="H422" s="251"/>
      <c r="I422" s="251"/>
      <c r="J422" s="406"/>
      <c r="K422" s="406"/>
      <c r="L422" s="406">
        <f t="shared" si="1292"/>
        <v>572.29999999999995</v>
      </c>
      <c r="M422" s="258">
        <f t="shared" si="1293"/>
        <v>572.29999999999995</v>
      </c>
      <c r="N422" s="406">
        <f t="shared" si="1294"/>
        <v>512.29999999999995</v>
      </c>
      <c r="O422" s="258">
        <f t="shared" si="1295"/>
        <v>512.29999999999995</v>
      </c>
      <c r="P422" s="406">
        <f t="shared" si="1296"/>
        <v>487.3</v>
      </c>
      <c r="Q422" s="258">
        <f t="shared" si="1297"/>
        <v>487.3</v>
      </c>
      <c r="R422" s="406">
        <f t="shared" si="1298"/>
        <v>477.3</v>
      </c>
      <c r="S422" s="258">
        <f t="shared" si="1299"/>
        <v>477.3</v>
      </c>
      <c r="T422" s="92">
        <f t="shared" si="1300"/>
        <v>462.3</v>
      </c>
      <c r="U422" s="272">
        <f t="shared" si="1301"/>
        <v>462.3</v>
      </c>
      <c r="V422" s="92">
        <f t="shared" si="1302"/>
        <v>450.3</v>
      </c>
      <c r="W422" s="272">
        <f t="shared" si="1303"/>
        <v>450.3</v>
      </c>
      <c r="X422" s="174"/>
      <c r="Y422" s="175"/>
      <c r="Z422" s="175"/>
      <c r="AA422" s="174"/>
      <c r="AB422" s="353">
        <v>2286</v>
      </c>
      <c r="AC422" s="62"/>
    </row>
    <row r="423" spans="1:29" ht="12.6" customHeight="1" x14ac:dyDescent="0.2">
      <c r="A423" s="17"/>
      <c r="B423" s="1198" t="s">
        <v>343</v>
      </c>
      <c r="C423" s="1199"/>
      <c r="D423" s="1199"/>
      <c r="E423" s="1199"/>
      <c r="F423" s="337">
        <f>0.46*X2</f>
        <v>611.80000000000007</v>
      </c>
      <c r="G423" s="273">
        <f t="shared" ref="G423:G425" si="1304">+F423*$X$1</f>
        <v>611.80000000000007</v>
      </c>
      <c r="H423" s="422"/>
      <c r="I423" s="422"/>
      <c r="J423" s="93"/>
      <c r="K423" s="93"/>
      <c r="L423" s="534">
        <f t="shared" si="1292"/>
        <v>771.80000000000007</v>
      </c>
      <c r="M423" s="257">
        <f t="shared" si="1293"/>
        <v>771.80000000000007</v>
      </c>
      <c r="N423" s="534">
        <f t="shared" si="1294"/>
        <v>711.80000000000007</v>
      </c>
      <c r="O423" s="257">
        <f t="shared" si="1295"/>
        <v>711.80000000000007</v>
      </c>
      <c r="P423" s="534">
        <f t="shared" si="1296"/>
        <v>686.80000000000007</v>
      </c>
      <c r="Q423" s="257">
        <f t="shared" si="1297"/>
        <v>686.80000000000007</v>
      </c>
      <c r="R423" s="534">
        <f t="shared" si="1298"/>
        <v>676.80000000000007</v>
      </c>
      <c r="S423" s="257">
        <f t="shared" si="1299"/>
        <v>676.80000000000007</v>
      </c>
      <c r="T423" s="93">
        <f t="shared" si="1300"/>
        <v>661.80000000000007</v>
      </c>
      <c r="U423" s="235">
        <f t="shared" si="1301"/>
        <v>661.80000000000007</v>
      </c>
      <c r="V423" s="93">
        <f t="shared" si="1302"/>
        <v>649.80000000000007</v>
      </c>
      <c r="W423" s="235">
        <f t="shared" si="1303"/>
        <v>649.80000000000007</v>
      </c>
      <c r="X423" s="204"/>
      <c r="Y423" s="203"/>
      <c r="Z423" s="203"/>
      <c r="AA423" s="204"/>
      <c r="AB423" s="353">
        <v>2287</v>
      </c>
      <c r="AC423" s="62"/>
    </row>
    <row r="424" spans="1:29" ht="12.6" customHeight="1" x14ac:dyDescent="0.2">
      <c r="A424" s="17"/>
      <c r="B424" s="1192" t="s">
        <v>352</v>
      </c>
      <c r="C424" s="1193"/>
      <c r="D424" s="1193"/>
      <c r="E424" s="1194"/>
      <c r="F424" s="334">
        <f>0.92*X2</f>
        <v>1223.6000000000001</v>
      </c>
      <c r="G424" s="258">
        <f t="shared" si="1304"/>
        <v>1223.6000000000001</v>
      </c>
      <c r="H424" s="251"/>
      <c r="I424" s="251"/>
      <c r="J424" s="406"/>
      <c r="K424" s="406"/>
      <c r="L424" s="406">
        <f t="shared" si="1292"/>
        <v>1383.6000000000001</v>
      </c>
      <c r="M424" s="258">
        <f t="shared" si="1293"/>
        <v>1383.6000000000001</v>
      </c>
      <c r="N424" s="406">
        <f t="shared" si="1294"/>
        <v>1323.6000000000001</v>
      </c>
      <c r="O424" s="258">
        <f t="shared" si="1295"/>
        <v>1323.6000000000001</v>
      </c>
      <c r="P424" s="406">
        <f t="shared" si="1296"/>
        <v>1298.6000000000001</v>
      </c>
      <c r="Q424" s="258">
        <f t="shared" si="1297"/>
        <v>1298.6000000000001</v>
      </c>
      <c r="R424" s="406">
        <f t="shared" si="1298"/>
        <v>1288.6000000000001</v>
      </c>
      <c r="S424" s="258">
        <f t="shared" si="1299"/>
        <v>1288.6000000000001</v>
      </c>
      <c r="T424" s="92">
        <f t="shared" si="1300"/>
        <v>1273.6000000000001</v>
      </c>
      <c r="U424" s="272">
        <f t="shared" si="1301"/>
        <v>1273.6000000000001</v>
      </c>
      <c r="V424" s="92">
        <f t="shared" si="1302"/>
        <v>1261.6000000000001</v>
      </c>
      <c r="W424" s="272">
        <f t="shared" si="1303"/>
        <v>1261.6000000000001</v>
      </c>
      <c r="X424" s="205"/>
      <c r="Y424" s="206"/>
      <c r="Z424" s="206"/>
      <c r="AA424" s="205"/>
      <c r="AB424" s="353">
        <v>2289</v>
      </c>
      <c r="AC424" s="62"/>
    </row>
    <row r="425" spans="1:29" ht="12.6" customHeight="1" x14ac:dyDescent="0.2">
      <c r="A425" s="17"/>
      <c r="B425" s="773" t="s">
        <v>631</v>
      </c>
      <c r="C425" s="774"/>
      <c r="D425" s="774"/>
      <c r="E425" s="775"/>
      <c r="F425" s="337">
        <f>0.725*X2</f>
        <v>964.25</v>
      </c>
      <c r="G425" s="257">
        <f t="shared" si="1304"/>
        <v>964.25</v>
      </c>
      <c r="H425" s="252"/>
      <c r="I425" s="252"/>
      <c r="J425" s="534"/>
      <c r="K425" s="534"/>
      <c r="L425" s="534">
        <f t="shared" si="1292"/>
        <v>1124.25</v>
      </c>
      <c r="M425" s="257">
        <f t="shared" si="1293"/>
        <v>1124.25</v>
      </c>
      <c r="N425" s="534">
        <f t="shared" si="1294"/>
        <v>1064.25</v>
      </c>
      <c r="O425" s="257">
        <f t="shared" si="1295"/>
        <v>1064.25</v>
      </c>
      <c r="P425" s="534">
        <f t="shared" si="1296"/>
        <v>1039.25</v>
      </c>
      <c r="Q425" s="257">
        <f t="shared" si="1297"/>
        <v>1039.25</v>
      </c>
      <c r="R425" s="534">
        <f t="shared" si="1298"/>
        <v>1029.25</v>
      </c>
      <c r="S425" s="257">
        <f t="shared" si="1299"/>
        <v>1029.25</v>
      </c>
      <c r="T425" s="93">
        <f t="shared" si="1300"/>
        <v>1014.25</v>
      </c>
      <c r="U425" s="235">
        <f t="shared" si="1301"/>
        <v>1014.25</v>
      </c>
      <c r="V425" s="93">
        <f t="shared" si="1302"/>
        <v>1002.25</v>
      </c>
      <c r="W425" s="235">
        <f t="shared" si="1303"/>
        <v>1002.25</v>
      </c>
      <c r="X425" s="388"/>
      <c r="Y425" s="389"/>
      <c r="Z425" s="389"/>
      <c r="AA425" s="388"/>
      <c r="AB425" s="353">
        <v>2290</v>
      </c>
      <c r="AC425" s="62"/>
    </row>
    <row r="426" spans="1:29" ht="12.6" customHeight="1" x14ac:dyDescent="0.2">
      <c r="A426" s="17"/>
      <c r="B426" s="776" t="s">
        <v>437</v>
      </c>
      <c r="C426" s="777"/>
      <c r="D426" s="777"/>
      <c r="E426" s="778"/>
      <c r="F426" s="336">
        <f>0.41*X2</f>
        <v>545.29999999999995</v>
      </c>
      <c r="G426" s="258">
        <f t="shared" ref="G426" si="1305">+F426*$X$1</f>
        <v>545.29999999999995</v>
      </c>
      <c r="H426" s="251"/>
      <c r="I426" s="251"/>
      <c r="J426" s="406"/>
      <c r="K426" s="406"/>
      <c r="L426" s="406">
        <f t="shared" si="1292"/>
        <v>705.3</v>
      </c>
      <c r="M426" s="258">
        <f t="shared" si="1293"/>
        <v>705.3</v>
      </c>
      <c r="N426" s="406">
        <f t="shared" si="1294"/>
        <v>645.29999999999995</v>
      </c>
      <c r="O426" s="258">
        <f t="shared" si="1295"/>
        <v>645.29999999999995</v>
      </c>
      <c r="P426" s="406">
        <f t="shared" si="1296"/>
        <v>620.29999999999995</v>
      </c>
      <c r="Q426" s="258">
        <f t="shared" si="1297"/>
        <v>620.29999999999995</v>
      </c>
      <c r="R426" s="406">
        <f t="shared" si="1298"/>
        <v>610.29999999999995</v>
      </c>
      <c r="S426" s="258">
        <f t="shared" si="1299"/>
        <v>610.29999999999995</v>
      </c>
      <c r="T426" s="92">
        <f t="shared" si="1300"/>
        <v>595.29999999999995</v>
      </c>
      <c r="U426" s="272">
        <f t="shared" si="1301"/>
        <v>595.29999999999995</v>
      </c>
      <c r="V426" s="92">
        <f t="shared" si="1302"/>
        <v>583.29999999999995</v>
      </c>
      <c r="W426" s="272">
        <f t="shared" si="1303"/>
        <v>583.29999999999995</v>
      </c>
      <c r="X426" s="228"/>
      <c r="Y426" s="232"/>
      <c r="Z426" s="232"/>
      <c r="AA426" s="228"/>
      <c r="AB426" s="353">
        <v>2291</v>
      </c>
      <c r="AC426" s="62"/>
    </row>
    <row r="427" spans="1:29" ht="12.6" customHeight="1" x14ac:dyDescent="0.2">
      <c r="A427" s="17"/>
      <c r="B427" s="797" t="s">
        <v>565</v>
      </c>
      <c r="C427" s="798"/>
      <c r="D427" s="798"/>
      <c r="E427" s="799"/>
      <c r="F427" s="477">
        <f>0.22*X2</f>
        <v>292.60000000000002</v>
      </c>
      <c r="G427" s="469">
        <f t="shared" ref="G427" si="1306">+F427*$X$1</f>
        <v>292.60000000000002</v>
      </c>
      <c r="H427" s="470"/>
      <c r="I427" s="470"/>
      <c r="J427" s="556"/>
      <c r="K427" s="556"/>
      <c r="L427" s="556"/>
      <c r="M427" s="469"/>
      <c r="N427" s="556">
        <f t="shared" si="1294"/>
        <v>392.6</v>
      </c>
      <c r="O427" s="469">
        <f t="shared" si="1295"/>
        <v>392.6</v>
      </c>
      <c r="P427" s="556">
        <f t="shared" si="1296"/>
        <v>367.6</v>
      </c>
      <c r="Q427" s="469">
        <f t="shared" si="1297"/>
        <v>367.6</v>
      </c>
      <c r="R427" s="556">
        <f t="shared" si="1298"/>
        <v>357.6</v>
      </c>
      <c r="S427" s="469">
        <f t="shared" si="1299"/>
        <v>357.6</v>
      </c>
      <c r="T427" s="549">
        <f t="shared" si="1300"/>
        <v>342.6</v>
      </c>
      <c r="U427" s="548">
        <f t="shared" si="1301"/>
        <v>342.6</v>
      </c>
      <c r="V427" s="549">
        <f t="shared" si="1302"/>
        <v>330.6</v>
      </c>
      <c r="W427" s="548">
        <f t="shared" si="1303"/>
        <v>330.6</v>
      </c>
      <c r="X427" s="233"/>
      <c r="Y427" s="234"/>
      <c r="Z427" s="234"/>
      <c r="AA427" s="233"/>
      <c r="AB427" s="353">
        <v>2292</v>
      </c>
      <c r="AC427" s="62"/>
    </row>
    <row r="428" spans="1:29" ht="12.6" customHeight="1" x14ac:dyDescent="0.2">
      <c r="A428" s="17"/>
      <c r="B428" s="776" t="s">
        <v>455</v>
      </c>
      <c r="C428" s="777"/>
      <c r="D428" s="777"/>
      <c r="E428" s="778"/>
      <c r="F428" s="336">
        <f>0.882*X2</f>
        <v>1173.06</v>
      </c>
      <c r="G428" s="258">
        <f t="shared" ref="G428" si="1307">+F428*$X$1</f>
        <v>1173.06</v>
      </c>
      <c r="H428" s="251"/>
      <c r="I428" s="251"/>
      <c r="J428" s="406"/>
      <c r="K428" s="406"/>
      <c r="L428" s="406">
        <f t="shared" si="1292"/>
        <v>1333.06</v>
      </c>
      <c r="M428" s="258">
        <f t="shared" si="1293"/>
        <v>1333.06</v>
      </c>
      <c r="N428" s="406">
        <f t="shared" si="1294"/>
        <v>1273.06</v>
      </c>
      <c r="O428" s="258">
        <f t="shared" si="1295"/>
        <v>1273.06</v>
      </c>
      <c r="P428" s="406">
        <f t="shared" si="1296"/>
        <v>1248.06</v>
      </c>
      <c r="Q428" s="258">
        <f t="shared" si="1297"/>
        <v>1248.06</v>
      </c>
      <c r="R428" s="406">
        <f t="shared" si="1298"/>
        <v>1238.06</v>
      </c>
      <c r="S428" s="258">
        <f t="shared" si="1299"/>
        <v>1238.06</v>
      </c>
      <c r="T428" s="92">
        <f t="shared" si="1300"/>
        <v>1223.06</v>
      </c>
      <c r="U428" s="272">
        <f t="shared" si="1301"/>
        <v>1223.06</v>
      </c>
      <c r="V428" s="92">
        <f t="shared" si="1302"/>
        <v>1211.06</v>
      </c>
      <c r="W428" s="272">
        <f t="shared" si="1303"/>
        <v>1211.06</v>
      </c>
      <c r="X428" s="236"/>
      <c r="Y428" s="237"/>
      <c r="Z428" s="237"/>
      <c r="AA428" s="236"/>
      <c r="AB428" s="353">
        <v>2293</v>
      </c>
      <c r="AC428" s="62"/>
    </row>
    <row r="429" spans="1:29" ht="12.6" customHeight="1" x14ac:dyDescent="0.2">
      <c r="A429" s="17"/>
      <c r="B429" s="773" t="s">
        <v>512</v>
      </c>
      <c r="C429" s="774"/>
      <c r="D429" s="774"/>
      <c r="E429" s="775"/>
      <c r="F429" s="452">
        <v>380</v>
      </c>
      <c r="G429" s="257">
        <f t="shared" ref="G429" si="1308">+F429*$X$1</f>
        <v>380</v>
      </c>
      <c r="H429" s="252"/>
      <c r="I429" s="252"/>
      <c r="J429" s="534"/>
      <c r="K429" s="534"/>
      <c r="L429" s="534">
        <f t="shared" si="1292"/>
        <v>540</v>
      </c>
      <c r="M429" s="257">
        <f t="shared" si="1293"/>
        <v>540</v>
      </c>
      <c r="N429" s="534">
        <f t="shared" si="1294"/>
        <v>480</v>
      </c>
      <c r="O429" s="257">
        <f t="shared" si="1295"/>
        <v>480</v>
      </c>
      <c r="P429" s="534">
        <f t="shared" si="1296"/>
        <v>455</v>
      </c>
      <c r="Q429" s="257">
        <f t="shared" si="1297"/>
        <v>455</v>
      </c>
      <c r="R429" s="534">
        <f t="shared" si="1298"/>
        <v>445</v>
      </c>
      <c r="S429" s="257">
        <f t="shared" si="1299"/>
        <v>445</v>
      </c>
      <c r="T429" s="93">
        <f t="shared" si="1300"/>
        <v>430</v>
      </c>
      <c r="U429" s="235">
        <f t="shared" si="1301"/>
        <v>430</v>
      </c>
      <c r="V429" s="93">
        <f t="shared" si="1302"/>
        <v>418</v>
      </c>
      <c r="W429" s="235">
        <f t="shared" si="1303"/>
        <v>418</v>
      </c>
      <c r="X429" s="291"/>
      <c r="Y429" s="292"/>
      <c r="Z429" s="292"/>
      <c r="AA429" s="291"/>
      <c r="AB429" s="353">
        <v>2294</v>
      </c>
      <c r="AC429" s="62"/>
    </row>
    <row r="430" spans="1:29" ht="12.6" customHeight="1" x14ac:dyDescent="0.2">
      <c r="A430" s="17"/>
      <c r="B430" s="776" t="s">
        <v>396</v>
      </c>
      <c r="C430" s="777"/>
      <c r="D430" s="777"/>
      <c r="E430" s="778"/>
      <c r="F430" s="336">
        <f>0.5*X2</f>
        <v>665</v>
      </c>
      <c r="G430" s="258">
        <f t="shared" ref="G430" si="1309">+F430*$X$1</f>
        <v>665</v>
      </c>
      <c r="H430" s="251"/>
      <c r="I430" s="251"/>
      <c r="J430" s="406"/>
      <c r="K430" s="406"/>
      <c r="L430" s="406">
        <f t="shared" si="1292"/>
        <v>825</v>
      </c>
      <c r="M430" s="258">
        <f t="shared" si="1293"/>
        <v>825</v>
      </c>
      <c r="N430" s="406">
        <f t="shared" si="1294"/>
        <v>765</v>
      </c>
      <c r="O430" s="258">
        <f t="shared" si="1295"/>
        <v>765</v>
      </c>
      <c r="P430" s="406">
        <f t="shared" si="1296"/>
        <v>740</v>
      </c>
      <c r="Q430" s="258">
        <f t="shared" si="1297"/>
        <v>740</v>
      </c>
      <c r="R430" s="406">
        <f t="shared" si="1298"/>
        <v>730</v>
      </c>
      <c r="S430" s="258">
        <f t="shared" si="1299"/>
        <v>730</v>
      </c>
      <c r="T430" s="92">
        <f t="shared" si="1300"/>
        <v>715</v>
      </c>
      <c r="U430" s="272">
        <f t="shared" si="1301"/>
        <v>715</v>
      </c>
      <c r="V430" s="92">
        <f t="shared" si="1302"/>
        <v>703</v>
      </c>
      <c r="W430" s="272">
        <f t="shared" si="1303"/>
        <v>703</v>
      </c>
      <c r="X430" s="207"/>
      <c r="Y430" s="208"/>
      <c r="Z430" s="208"/>
      <c r="AA430" s="207"/>
      <c r="AB430" s="353">
        <v>2295</v>
      </c>
      <c r="AC430" s="62"/>
    </row>
    <row r="431" spans="1:29" ht="12.6" customHeight="1" x14ac:dyDescent="0.2">
      <c r="A431" s="17"/>
      <c r="B431" s="797" t="s">
        <v>354</v>
      </c>
      <c r="C431" s="798"/>
      <c r="D431" s="798"/>
      <c r="E431" s="799"/>
      <c r="F431" s="477">
        <f>0.37*X2</f>
        <v>492.09999999999997</v>
      </c>
      <c r="G431" s="469">
        <f t="shared" ref="G431" si="1310">+F431*$X$1</f>
        <v>492.09999999999997</v>
      </c>
      <c r="H431" s="470"/>
      <c r="I431" s="470"/>
      <c r="J431" s="532"/>
      <c r="K431" s="532"/>
      <c r="L431" s="532">
        <f t="shared" si="1292"/>
        <v>652.09999999999991</v>
      </c>
      <c r="M431" s="469">
        <f t="shared" si="1293"/>
        <v>652.09999999999991</v>
      </c>
      <c r="N431" s="532">
        <f t="shared" si="1294"/>
        <v>592.09999999999991</v>
      </c>
      <c r="O431" s="469">
        <f t="shared" si="1295"/>
        <v>592.09999999999991</v>
      </c>
      <c r="P431" s="532">
        <f t="shared" si="1296"/>
        <v>567.09999999999991</v>
      </c>
      <c r="Q431" s="469">
        <f t="shared" si="1297"/>
        <v>567.09999999999991</v>
      </c>
      <c r="R431" s="532">
        <f t="shared" si="1298"/>
        <v>557.09999999999991</v>
      </c>
      <c r="S431" s="469">
        <f t="shared" si="1299"/>
        <v>557.09999999999991</v>
      </c>
      <c r="T431" s="549">
        <f t="shared" si="1300"/>
        <v>542.09999999999991</v>
      </c>
      <c r="U431" s="548">
        <f t="shared" si="1301"/>
        <v>542.09999999999991</v>
      </c>
      <c r="V431" s="549">
        <f t="shared" si="1302"/>
        <v>530.09999999999991</v>
      </c>
      <c r="W431" s="548">
        <f t="shared" si="1303"/>
        <v>530.09999999999991</v>
      </c>
      <c r="X431" s="207"/>
      <c r="Y431" s="208"/>
      <c r="Z431" s="208"/>
      <c r="AA431" s="207"/>
      <c r="AB431" s="353">
        <v>2296</v>
      </c>
      <c r="AC431" s="62"/>
    </row>
    <row r="432" spans="1:29" ht="12.6" customHeight="1" x14ac:dyDescent="0.2">
      <c r="A432" s="17"/>
      <c r="B432" s="776" t="s">
        <v>494</v>
      </c>
      <c r="C432" s="777"/>
      <c r="D432" s="777"/>
      <c r="E432" s="778"/>
      <c r="F432" s="336">
        <f>0.565*X2</f>
        <v>751.44999999999993</v>
      </c>
      <c r="G432" s="258">
        <f t="shared" ref="G432" si="1311">+F432*$X$1</f>
        <v>751.44999999999993</v>
      </c>
      <c r="H432" s="251"/>
      <c r="I432" s="251"/>
      <c r="J432" s="406"/>
      <c r="K432" s="258"/>
      <c r="L432" s="406">
        <f t="shared" si="1292"/>
        <v>911.44999999999993</v>
      </c>
      <c r="M432" s="258">
        <f t="shared" si="1293"/>
        <v>911.44999999999993</v>
      </c>
      <c r="N432" s="406">
        <f t="shared" si="1294"/>
        <v>851.44999999999993</v>
      </c>
      <c r="O432" s="258">
        <f t="shared" si="1295"/>
        <v>851.44999999999993</v>
      </c>
      <c r="P432" s="406">
        <f t="shared" si="1296"/>
        <v>826.44999999999993</v>
      </c>
      <c r="Q432" s="258">
        <f t="shared" si="1297"/>
        <v>826.44999999999993</v>
      </c>
      <c r="R432" s="406">
        <f t="shared" si="1298"/>
        <v>816.44999999999993</v>
      </c>
      <c r="S432" s="258">
        <f t="shared" si="1299"/>
        <v>816.44999999999993</v>
      </c>
      <c r="T432" s="92">
        <f t="shared" si="1300"/>
        <v>801.44999999999993</v>
      </c>
      <c r="U432" s="272">
        <f t="shared" si="1301"/>
        <v>801.44999999999993</v>
      </c>
      <c r="V432" s="92">
        <f t="shared" si="1302"/>
        <v>789.44999999999993</v>
      </c>
      <c r="W432" s="272">
        <f t="shared" si="1303"/>
        <v>789.44999999999993</v>
      </c>
      <c r="X432" s="280"/>
      <c r="Y432" s="281"/>
      <c r="Z432" s="281"/>
      <c r="AA432" s="280"/>
      <c r="AB432" s="353">
        <v>2299</v>
      </c>
      <c r="AC432" s="62"/>
    </row>
    <row r="433" spans="1:29" ht="12.6" customHeight="1" x14ac:dyDescent="0.2">
      <c r="A433" s="17"/>
      <c r="B433" s="678" t="s">
        <v>807</v>
      </c>
      <c r="C433" s="679"/>
      <c r="D433" s="679"/>
      <c r="E433" s="680"/>
      <c r="F433" s="333">
        <f>1.863*X2</f>
        <v>2477.79</v>
      </c>
      <c r="G433" s="257">
        <f>+F433*$X$1</f>
        <v>2477.79</v>
      </c>
      <c r="H433" s="534">
        <f t="shared" ref="H433:H436" si="1312">F433+600</f>
        <v>3077.79</v>
      </c>
      <c r="I433" s="257">
        <f t="shared" ref="I433:I437" si="1313">+H433*$X$1</f>
        <v>3077.79</v>
      </c>
      <c r="J433" s="534">
        <f t="shared" ref="J433:J436" si="1314">F433+200</f>
        <v>2677.79</v>
      </c>
      <c r="K433" s="257">
        <f t="shared" ref="K433:K437" si="1315">+J433*$X$1</f>
        <v>2677.79</v>
      </c>
      <c r="L433" s="534">
        <f>F433+150</f>
        <v>2627.79</v>
      </c>
      <c r="M433" s="257">
        <f t="shared" si="1293"/>
        <v>2627.79</v>
      </c>
      <c r="N433" s="534">
        <f>F433+110</f>
        <v>2587.79</v>
      </c>
      <c r="O433" s="257">
        <f>+N433*$X$1</f>
        <v>2587.79</v>
      </c>
      <c r="P433" s="534">
        <f>F433+90</f>
        <v>2567.79</v>
      </c>
      <c r="Q433" s="257">
        <f t="shared" si="1297"/>
        <v>2567.79</v>
      </c>
      <c r="R433" s="534">
        <f>F433+70</f>
        <v>2547.79</v>
      </c>
      <c r="S433" s="257">
        <f>+R433*$X$1</f>
        <v>2547.79</v>
      </c>
      <c r="T433" s="534">
        <f>F433+56</f>
        <v>2533.79</v>
      </c>
      <c r="U433" s="257">
        <f t="shared" si="1301"/>
        <v>2533.79</v>
      </c>
      <c r="V433" s="534">
        <f>F433+49</f>
        <v>2526.79</v>
      </c>
      <c r="W433" s="257">
        <f t="shared" si="1303"/>
        <v>2526.79</v>
      </c>
      <c r="X433" s="674"/>
      <c r="Y433" s="675"/>
      <c r="Z433" s="675"/>
      <c r="AA433" s="676"/>
      <c r="AB433" s="353">
        <v>2310</v>
      </c>
      <c r="AC433" s="62"/>
    </row>
    <row r="434" spans="1:29" ht="12.6" customHeight="1" x14ac:dyDescent="0.2">
      <c r="A434" s="17"/>
      <c r="B434" s="713" t="s">
        <v>386</v>
      </c>
      <c r="C434" s="772"/>
      <c r="D434" s="772"/>
      <c r="E434" s="772"/>
      <c r="F434" s="334">
        <f>1.2*X2</f>
        <v>1596</v>
      </c>
      <c r="G434" s="258">
        <f>+F434*$X$1</f>
        <v>1596</v>
      </c>
      <c r="H434" s="406">
        <f t="shared" si="1312"/>
        <v>2196</v>
      </c>
      <c r="I434" s="258">
        <f t="shared" si="1313"/>
        <v>2196</v>
      </c>
      <c r="J434" s="406">
        <f t="shared" si="1314"/>
        <v>1796</v>
      </c>
      <c r="K434" s="258">
        <f t="shared" si="1315"/>
        <v>1796</v>
      </c>
      <c r="L434" s="406">
        <f>F434+150</f>
        <v>1746</v>
      </c>
      <c r="M434" s="258">
        <f t="shared" si="1293"/>
        <v>1746</v>
      </c>
      <c r="N434" s="406">
        <f>F434+110</f>
        <v>1706</v>
      </c>
      <c r="O434" s="258">
        <f>+N434*$X$1</f>
        <v>1706</v>
      </c>
      <c r="P434" s="406">
        <f>F434+90</f>
        <v>1686</v>
      </c>
      <c r="Q434" s="258">
        <f t="shared" si="1297"/>
        <v>1686</v>
      </c>
      <c r="R434" s="406">
        <f>F434+70</f>
        <v>1666</v>
      </c>
      <c r="S434" s="258">
        <f>+R434*$X$1</f>
        <v>1666</v>
      </c>
      <c r="T434" s="406">
        <f>F434+56</f>
        <v>1652</v>
      </c>
      <c r="U434" s="258">
        <f t="shared" si="1301"/>
        <v>1652</v>
      </c>
      <c r="V434" s="406">
        <f>F434+49</f>
        <v>1645</v>
      </c>
      <c r="W434" s="258">
        <f t="shared" si="1303"/>
        <v>1645</v>
      </c>
      <c r="X434" s="674"/>
      <c r="Y434" s="675"/>
      <c r="Z434" s="675"/>
      <c r="AA434" s="676"/>
      <c r="AB434" s="353">
        <v>2322</v>
      </c>
      <c r="AC434" s="62"/>
    </row>
    <row r="435" spans="1:29" ht="12.6" customHeight="1" x14ac:dyDescent="0.2">
      <c r="A435" s="17"/>
      <c r="B435" s="685" t="s">
        <v>837</v>
      </c>
      <c r="C435" s="802"/>
      <c r="D435" s="802"/>
      <c r="E435" s="802"/>
      <c r="F435" s="333">
        <f>1.2*X2</f>
        <v>1596</v>
      </c>
      <c r="G435" s="257">
        <f>+F435*$X$1</f>
        <v>1596</v>
      </c>
      <c r="H435" s="534">
        <f t="shared" si="1312"/>
        <v>2196</v>
      </c>
      <c r="I435" s="257">
        <f t="shared" si="1313"/>
        <v>2196</v>
      </c>
      <c r="J435" s="534">
        <f t="shared" si="1314"/>
        <v>1796</v>
      </c>
      <c r="K435" s="257">
        <f t="shared" si="1315"/>
        <v>1796</v>
      </c>
      <c r="L435" s="534">
        <f>F435+150</f>
        <v>1746</v>
      </c>
      <c r="M435" s="257">
        <f t="shared" si="1293"/>
        <v>1746</v>
      </c>
      <c r="N435" s="534">
        <f>F435+110</f>
        <v>1706</v>
      </c>
      <c r="O435" s="257">
        <f>+N435*$X$1</f>
        <v>1706</v>
      </c>
      <c r="P435" s="534">
        <f>F435+90</f>
        <v>1686</v>
      </c>
      <c r="Q435" s="257">
        <f t="shared" si="1297"/>
        <v>1686</v>
      </c>
      <c r="R435" s="534">
        <f>F435+70</f>
        <v>1666</v>
      </c>
      <c r="S435" s="257">
        <f>+R435*$X$1</f>
        <v>1666</v>
      </c>
      <c r="T435" s="534">
        <f>F435+56</f>
        <v>1652</v>
      </c>
      <c r="U435" s="257">
        <f t="shared" si="1301"/>
        <v>1652</v>
      </c>
      <c r="V435" s="534">
        <f>F435+49</f>
        <v>1645</v>
      </c>
      <c r="W435" s="257">
        <f t="shared" si="1303"/>
        <v>1645</v>
      </c>
      <c r="X435" s="674"/>
      <c r="Y435" s="675"/>
      <c r="Z435" s="675"/>
      <c r="AA435" s="676"/>
      <c r="AB435" s="353" t="s">
        <v>859</v>
      </c>
      <c r="AC435" s="62"/>
    </row>
    <row r="436" spans="1:29" ht="12.6" customHeight="1" x14ac:dyDescent="0.2">
      <c r="A436" s="17"/>
      <c r="B436" s="713" t="s">
        <v>765</v>
      </c>
      <c r="C436" s="772"/>
      <c r="D436" s="772"/>
      <c r="E436" s="772"/>
      <c r="F436" s="334">
        <f>1.4*X2</f>
        <v>1861.9999999999998</v>
      </c>
      <c r="G436" s="258">
        <f>+F436*$X$1</f>
        <v>1861.9999999999998</v>
      </c>
      <c r="H436" s="406">
        <f t="shared" si="1312"/>
        <v>2462</v>
      </c>
      <c r="I436" s="258">
        <f t="shared" si="1313"/>
        <v>2462</v>
      </c>
      <c r="J436" s="406">
        <f t="shared" si="1314"/>
        <v>2062</v>
      </c>
      <c r="K436" s="258">
        <f t="shared" si="1315"/>
        <v>2062</v>
      </c>
      <c r="L436" s="406">
        <f>F436+150</f>
        <v>2011.9999999999998</v>
      </c>
      <c r="M436" s="258">
        <f t="shared" si="1293"/>
        <v>2011.9999999999998</v>
      </c>
      <c r="N436" s="406">
        <f>F436+110</f>
        <v>1971.9999999999998</v>
      </c>
      <c r="O436" s="258">
        <f>+N436*$X$1</f>
        <v>1971.9999999999998</v>
      </c>
      <c r="P436" s="406">
        <f>F436+90</f>
        <v>1951.9999999999998</v>
      </c>
      <c r="Q436" s="258">
        <f t="shared" si="1297"/>
        <v>1951.9999999999998</v>
      </c>
      <c r="R436" s="406">
        <f>F436+70</f>
        <v>1931.9999999999998</v>
      </c>
      <c r="S436" s="258">
        <f>+R436*$X$1</f>
        <v>1931.9999999999998</v>
      </c>
      <c r="T436" s="406">
        <f>F436+56</f>
        <v>1917.9999999999998</v>
      </c>
      <c r="U436" s="258">
        <f t="shared" si="1301"/>
        <v>1917.9999999999998</v>
      </c>
      <c r="V436" s="406">
        <f>F436+49</f>
        <v>1910.9999999999998</v>
      </c>
      <c r="W436" s="258">
        <f t="shared" si="1303"/>
        <v>1910.9999999999998</v>
      </c>
      <c r="X436" s="674"/>
      <c r="Y436" s="675"/>
      <c r="Z436" s="675"/>
      <c r="AA436" s="676"/>
      <c r="AB436" s="353">
        <v>2327</v>
      </c>
      <c r="AC436" s="62"/>
    </row>
    <row r="437" spans="1:29" ht="12.6" customHeight="1" x14ac:dyDescent="0.2">
      <c r="A437" s="17"/>
      <c r="B437" s="678" t="s">
        <v>230</v>
      </c>
      <c r="C437" s="1003"/>
      <c r="D437" s="1003"/>
      <c r="E437" s="1004"/>
      <c r="F437" s="333">
        <f>3.407*X2</f>
        <v>4531.3100000000004</v>
      </c>
      <c r="G437" s="257">
        <f>+F437*$X$1</f>
        <v>4531.3100000000004</v>
      </c>
      <c r="H437" s="534">
        <f>F437+650</f>
        <v>5181.3100000000004</v>
      </c>
      <c r="I437" s="257">
        <f t="shared" si="1313"/>
        <v>5181.3100000000004</v>
      </c>
      <c r="J437" s="534">
        <f>F437+230</f>
        <v>4761.3100000000004</v>
      </c>
      <c r="K437" s="257">
        <f t="shared" si="1315"/>
        <v>4761.3100000000004</v>
      </c>
      <c r="L437" s="534">
        <f>F437+190</f>
        <v>4721.3100000000004</v>
      </c>
      <c r="M437" s="257">
        <f t="shared" si="1293"/>
        <v>4721.3100000000004</v>
      </c>
      <c r="N437" s="534">
        <f>F437+150</f>
        <v>4681.3100000000004</v>
      </c>
      <c r="O437" s="257">
        <f t="shared" ref="O437" si="1316">+N437*$X$1</f>
        <v>4681.3100000000004</v>
      </c>
      <c r="P437" s="534">
        <f>F437+130</f>
        <v>4661.3100000000004</v>
      </c>
      <c r="Q437" s="257">
        <f t="shared" si="1297"/>
        <v>4661.3100000000004</v>
      </c>
      <c r="R437" s="534">
        <f>F437+110</f>
        <v>4641.3100000000004</v>
      </c>
      <c r="S437" s="257">
        <f t="shared" ref="S437" si="1317">+R437*$X$1</f>
        <v>4641.3100000000004</v>
      </c>
      <c r="T437" s="534">
        <f>F437+90</f>
        <v>4621.3100000000004</v>
      </c>
      <c r="U437" s="257">
        <f t="shared" si="1301"/>
        <v>4621.3100000000004</v>
      </c>
      <c r="V437" s="534">
        <f>F437+70</f>
        <v>4601.3100000000004</v>
      </c>
      <c r="W437" s="257">
        <f t="shared" si="1303"/>
        <v>4601.3100000000004</v>
      </c>
      <c r="X437" s="674"/>
      <c r="Y437" s="675"/>
      <c r="Z437" s="675"/>
      <c r="AA437" s="676"/>
      <c r="AB437" s="353">
        <v>2330</v>
      </c>
      <c r="AC437" s="62"/>
    </row>
    <row r="438" spans="1:29" ht="12.6" customHeight="1" x14ac:dyDescent="0.2">
      <c r="A438" s="94"/>
      <c r="B438" s="642" t="s">
        <v>826</v>
      </c>
      <c r="C438" s="662"/>
      <c r="D438" s="662"/>
      <c r="E438" s="663"/>
      <c r="F438" s="334">
        <f>1.3*X2</f>
        <v>1729</v>
      </c>
      <c r="G438" s="258">
        <f t="shared" ref="G438" si="1318">+F438*$X$1</f>
        <v>1729</v>
      </c>
      <c r="H438" s="406">
        <f>F438+650</f>
        <v>2379</v>
      </c>
      <c r="I438" s="258">
        <f t="shared" ref="I438" si="1319">+H438*$X$1</f>
        <v>2379</v>
      </c>
      <c r="J438" s="406">
        <f>F438+230</f>
        <v>1959</v>
      </c>
      <c r="K438" s="258">
        <f t="shared" ref="K438" si="1320">+J438*$X$1</f>
        <v>1959</v>
      </c>
      <c r="L438" s="406">
        <f>F438+190</f>
        <v>1919</v>
      </c>
      <c r="M438" s="258">
        <f t="shared" ref="M438" si="1321">+L438*$X$1</f>
        <v>1919</v>
      </c>
      <c r="N438" s="406">
        <f>F438+150</f>
        <v>1879</v>
      </c>
      <c r="O438" s="258">
        <f t="shared" ref="O438" si="1322">+N438*$X$1</f>
        <v>1879</v>
      </c>
      <c r="P438" s="406">
        <f>F438+130</f>
        <v>1859</v>
      </c>
      <c r="Q438" s="258">
        <f t="shared" ref="Q438" si="1323">+P438*$X$1</f>
        <v>1859</v>
      </c>
      <c r="R438" s="406">
        <f>F438+110</f>
        <v>1839</v>
      </c>
      <c r="S438" s="258">
        <f t="shared" ref="S438" si="1324">+R438*$X$1</f>
        <v>1839</v>
      </c>
      <c r="T438" s="406">
        <f>F438+90</f>
        <v>1819</v>
      </c>
      <c r="U438" s="258">
        <f t="shared" ref="U438" si="1325">+T438*$X$1</f>
        <v>1819</v>
      </c>
      <c r="V438" s="406">
        <f>F438+70</f>
        <v>1799</v>
      </c>
      <c r="W438" s="258">
        <f t="shared" ref="W438" si="1326">+V438*$X$1</f>
        <v>1799</v>
      </c>
      <c r="X438" s="674"/>
      <c r="Y438" s="675"/>
      <c r="Z438" s="675"/>
      <c r="AA438" s="676"/>
      <c r="AB438" s="353">
        <v>2331</v>
      </c>
      <c r="AC438" s="62"/>
    </row>
    <row r="439" spans="1:29" ht="12.6" customHeight="1" x14ac:dyDescent="0.2">
      <c r="A439" s="94"/>
      <c r="B439" s="642" t="s">
        <v>820</v>
      </c>
      <c r="C439" s="662"/>
      <c r="D439" s="662"/>
      <c r="E439" s="663"/>
      <c r="F439" s="502">
        <f>4.3*X2</f>
        <v>5719</v>
      </c>
      <c r="G439" s="257">
        <f t="shared" ref="G439" si="1327">+F439*$X$1</f>
        <v>5719</v>
      </c>
      <c r="H439" s="534">
        <f>F439+800</f>
        <v>6519</v>
      </c>
      <c r="I439" s="257">
        <f t="shared" ref="I439:I441" si="1328">+H439*$X$1</f>
        <v>6519</v>
      </c>
      <c r="J439" s="534">
        <f>F439+350</f>
        <v>6069</v>
      </c>
      <c r="K439" s="257">
        <f t="shared" ref="K439:K441" si="1329">+J439*$X$1</f>
        <v>6069</v>
      </c>
      <c r="L439" s="534">
        <f>F439+290</f>
        <v>6009</v>
      </c>
      <c r="M439" s="257">
        <f t="shared" ref="M439:M441" si="1330">+L439*$X$1</f>
        <v>6009</v>
      </c>
      <c r="N439" s="534">
        <f>F439+230</f>
        <v>5949</v>
      </c>
      <c r="O439" s="257">
        <f t="shared" ref="O439:O441" si="1331">+N439*$X$1</f>
        <v>5949</v>
      </c>
      <c r="P439" s="534">
        <f>F439+200</f>
        <v>5919</v>
      </c>
      <c r="Q439" s="257">
        <f t="shared" ref="Q439:Q441" si="1332">+P439*$X$1</f>
        <v>5919</v>
      </c>
      <c r="R439" s="534">
        <f>F439+170</f>
        <v>5889</v>
      </c>
      <c r="S439" s="257">
        <f t="shared" ref="S439:S441" si="1333">+R439*$X$1</f>
        <v>5889</v>
      </c>
      <c r="T439" s="534">
        <f>F439+140</f>
        <v>5859</v>
      </c>
      <c r="U439" s="257">
        <f t="shared" ref="U439:U441" si="1334">+T439*$X$1</f>
        <v>5859</v>
      </c>
      <c r="V439" s="534">
        <f>F439+105</f>
        <v>5824</v>
      </c>
      <c r="W439" s="257">
        <f t="shared" ref="W439:W441" si="1335">+V439*$X$1</f>
        <v>5824</v>
      </c>
      <c r="X439" s="674"/>
      <c r="Y439" s="675"/>
      <c r="Z439" s="675"/>
      <c r="AA439" s="676"/>
      <c r="AB439" s="353">
        <v>2332</v>
      </c>
      <c r="AC439" s="62"/>
    </row>
    <row r="440" spans="1:29" ht="12.6" customHeight="1" x14ac:dyDescent="0.2">
      <c r="A440" s="94"/>
      <c r="B440" s="687" t="s">
        <v>355</v>
      </c>
      <c r="C440" s="688"/>
      <c r="D440" s="688"/>
      <c r="E440" s="689"/>
      <c r="F440" s="334">
        <f>1.05*X2</f>
        <v>1396.5</v>
      </c>
      <c r="G440" s="258">
        <f t="shared" ref="G440" si="1336">+F440*$X$1</f>
        <v>1396.5</v>
      </c>
      <c r="H440" s="406">
        <f>F440+650</f>
        <v>2046.5</v>
      </c>
      <c r="I440" s="258">
        <f t="shared" si="1328"/>
        <v>2046.5</v>
      </c>
      <c r="J440" s="406">
        <f>F440+230</f>
        <v>1626.5</v>
      </c>
      <c r="K440" s="258">
        <f t="shared" si="1329"/>
        <v>1626.5</v>
      </c>
      <c r="L440" s="406">
        <f>F440+190</f>
        <v>1586.5</v>
      </c>
      <c r="M440" s="258">
        <f t="shared" si="1330"/>
        <v>1586.5</v>
      </c>
      <c r="N440" s="406">
        <f>F440+150</f>
        <v>1546.5</v>
      </c>
      <c r="O440" s="258">
        <f t="shared" si="1331"/>
        <v>1546.5</v>
      </c>
      <c r="P440" s="406">
        <f>F440+130</f>
        <v>1526.5</v>
      </c>
      <c r="Q440" s="258">
        <f t="shared" si="1332"/>
        <v>1526.5</v>
      </c>
      <c r="R440" s="406">
        <f>F440+110</f>
        <v>1506.5</v>
      </c>
      <c r="S440" s="258">
        <f t="shared" si="1333"/>
        <v>1506.5</v>
      </c>
      <c r="T440" s="406">
        <f>F440+90</f>
        <v>1486.5</v>
      </c>
      <c r="U440" s="258">
        <f t="shared" si="1334"/>
        <v>1486.5</v>
      </c>
      <c r="V440" s="406">
        <f>F440+70</f>
        <v>1466.5</v>
      </c>
      <c r="W440" s="258">
        <f t="shared" si="1335"/>
        <v>1466.5</v>
      </c>
      <c r="X440" s="674"/>
      <c r="Y440" s="675"/>
      <c r="Z440" s="675"/>
      <c r="AA440" s="676"/>
      <c r="AB440" s="353">
        <v>2334</v>
      </c>
      <c r="AC440" s="62"/>
    </row>
    <row r="441" spans="1:29" ht="12.6" customHeight="1" x14ac:dyDescent="0.2">
      <c r="A441" s="94"/>
      <c r="B441" s="757" t="s">
        <v>231</v>
      </c>
      <c r="C441" s="758"/>
      <c r="D441" s="758"/>
      <c r="E441" s="759"/>
      <c r="F441" s="337">
        <f>1.18*X2</f>
        <v>1569.3999999999999</v>
      </c>
      <c r="G441" s="273">
        <f t="shared" ref="G441" si="1337">+F441*$X$1</f>
        <v>1569.3999999999999</v>
      </c>
      <c r="H441" s="534">
        <f>F441+650</f>
        <v>2219.3999999999996</v>
      </c>
      <c r="I441" s="257">
        <f t="shared" si="1328"/>
        <v>2219.3999999999996</v>
      </c>
      <c r="J441" s="534">
        <f>F441+230</f>
        <v>1799.3999999999999</v>
      </c>
      <c r="K441" s="257">
        <f t="shared" si="1329"/>
        <v>1799.3999999999999</v>
      </c>
      <c r="L441" s="534">
        <f>F441+190</f>
        <v>1759.3999999999999</v>
      </c>
      <c r="M441" s="257">
        <f t="shared" si="1330"/>
        <v>1759.3999999999999</v>
      </c>
      <c r="N441" s="534">
        <f>F441+150</f>
        <v>1719.3999999999999</v>
      </c>
      <c r="O441" s="257">
        <f t="shared" si="1331"/>
        <v>1719.3999999999999</v>
      </c>
      <c r="P441" s="534">
        <f>F441+130</f>
        <v>1699.3999999999999</v>
      </c>
      <c r="Q441" s="257">
        <f t="shared" si="1332"/>
        <v>1699.3999999999999</v>
      </c>
      <c r="R441" s="534">
        <f>F441+110</f>
        <v>1679.3999999999999</v>
      </c>
      <c r="S441" s="257">
        <f t="shared" si="1333"/>
        <v>1679.3999999999999</v>
      </c>
      <c r="T441" s="534">
        <f>F441+90</f>
        <v>1659.3999999999999</v>
      </c>
      <c r="U441" s="257">
        <f t="shared" si="1334"/>
        <v>1659.3999999999999</v>
      </c>
      <c r="V441" s="534">
        <f>F441+70</f>
        <v>1639.3999999999999</v>
      </c>
      <c r="W441" s="257">
        <f t="shared" si="1335"/>
        <v>1639.3999999999999</v>
      </c>
      <c r="X441" s="674"/>
      <c r="Y441" s="675"/>
      <c r="Z441" s="675"/>
      <c r="AA441" s="676"/>
      <c r="AB441" s="367">
        <v>2336</v>
      </c>
      <c r="AC441" s="62"/>
    </row>
    <row r="442" spans="1:29" ht="12.6" customHeight="1" x14ac:dyDescent="0.2">
      <c r="A442" s="17"/>
      <c r="B442" s="687" t="s">
        <v>232</v>
      </c>
      <c r="C442" s="688"/>
      <c r="D442" s="688"/>
      <c r="E442" s="689"/>
      <c r="F442" s="334">
        <f>1.355*X2</f>
        <v>1802.1499999999999</v>
      </c>
      <c r="G442" s="258">
        <f>+F442*$X$1</f>
        <v>1802.1499999999999</v>
      </c>
      <c r="H442" s="406">
        <f t="shared" ref="H442" si="1338">F442+600</f>
        <v>2402.1499999999996</v>
      </c>
      <c r="I442" s="258">
        <f t="shared" ref="I442" si="1339">+H442*$X$1</f>
        <v>2402.1499999999996</v>
      </c>
      <c r="J442" s="406">
        <f t="shared" ref="J442" si="1340">F442+200</f>
        <v>2002.1499999999999</v>
      </c>
      <c r="K442" s="258">
        <f t="shared" ref="K442" si="1341">+J442*$X$1</f>
        <v>2002.1499999999999</v>
      </c>
      <c r="L442" s="406">
        <f>F442+150</f>
        <v>1952.1499999999999</v>
      </c>
      <c r="M442" s="258">
        <f t="shared" ref="M442" si="1342">+L442*$X$1</f>
        <v>1952.1499999999999</v>
      </c>
      <c r="N442" s="406">
        <f>F442+110</f>
        <v>1912.1499999999999</v>
      </c>
      <c r="O442" s="258">
        <f t="shared" ref="O442:O454" si="1343">+N442*$X$1</f>
        <v>1912.1499999999999</v>
      </c>
      <c r="P442" s="406">
        <f>F442+90</f>
        <v>1892.1499999999999</v>
      </c>
      <c r="Q442" s="258">
        <f t="shared" ref="Q442" si="1344">+P442*$X$1</f>
        <v>1892.1499999999999</v>
      </c>
      <c r="R442" s="406">
        <f>F442+70</f>
        <v>1872.1499999999999</v>
      </c>
      <c r="S442" s="258">
        <f t="shared" ref="S442:S454" si="1345">+R442*$X$1</f>
        <v>1872.1499999999999</v>
      </c>
      <c r="T442" s="406">
        <f>F442+56</f>
        <v>1858.1499999999999</v>
      </c>
      <c r="U442" s="258">
        <f t="shared" ref="U442" si="1346">+T442*$X$1</f>
        <v>1858.1499999999999</v>
      </c>
      <c r="V442" s="406">
        <f>F442+49</f>
        <v>1851.1499999999999</v>
      </c>
      <c r="W442" s="258">
        <f t="shared" ref="W442" si="1347">+V442*$X$1</f>
        <v>1851.1499999999999</v>
      </c>
      <c r="X442" s="674"/>
      <c r="Y442" s="675"/>
      <c r="Z442" s="675"/>
      <c r="AA442" s="676"/>
      <c r="AB442" s="353">
        <v>2337</v>
      </c>
      <c r="AC442" s="62"/>
    </row>
    <row r="443" spans="1:29" ht="12.6" customHeight="1" x14ac:dyDescent="0.2">
      <c r="A443" s="17"/>
      <c r="B443" s="1165" t="s">
        <v>233</v>
      </c>
      <c r="C443" s="1166"/>
      <c r="D443" s="1166"/>
      <c r="E443" s="1167"/>
      <c r="F443" s="502">
        <f>1.83*X2</f>
        <v>2433.9</v>
      </c>
      <c r="G443" s="618">
        <f t="shared" ref="G443" si="1348">+F443*$X$1</f>
        <v>2433.9</v>
      </c>
      <c r="H443" s="534">
        <f t="shared" ref="H443:H444" si="1349">F443+600</f>
        <v>3033.9</v>
      </c>
      <c r="I443" s="257">
        <f t="shared" ref="I443:I444" si="1350">+H443*$X$1</f>
        <v>3033.9</v>
      </c>
      <c r="J443" s="534">
        <f t="shared" ref="J443:J444" si="1351">F443+200</f>
        <v>2633.9</v>
      </c>
      <c r="K443" s="257">
        <f t="shared" ref="K443:K444" si="1352">+J443*$X$1</f>
        <v>2633.9</v>
      </c>
      <c r="L443" s="534">
        <f>F443+150</f>
        <v>2583.9</v>
      </c>
      <c r="M443" s="257">
        <f t="shared" ref="M443:M444" si="1353">+L443*$X$1</f>
        <v>2583.9</v>
      </c>
      <c r="N443" s="534">
        <f>F443+110</f>
        <v>2543.9</v>
      </c>
      <c r="O443" s="257">
        <f t="shared" si="1343"/>
        <v>2543.9</v>
      </c>
      <c r="P443" s="534">
        <f>F443+90</f>
        <v>2523.9</v>
      </c>
      <c r="Q443" s="257">
        <f t="shared" ref="Q443:Q444" si="1354">+P443*$X$1</f>
        <v>2523.9</v>
      </c>
      <c r="R443" s="534">
        <f>F443+70</f>
        <v>2503.9</v>
      </c>
      <c r="S443" s="257">
        <f t="shared" si="1345"/>
        <v>2503.9</v>
      </c>
      <c r="T443" s="534">
        <f>F443+56</f>
        <v>2489.9</v>
      </c>
      <c r="U443" s="257">
        <f t="shared" ref="U443:U444" si="1355">+T443*$X$1</f>
        <v>2489.9</v>
      </c>
      <c r="V443" s="534">
        <f>F443+49</f>
        <v>2482.9</v>
      </c>
      <c r="W443" s="257">
        <f t="shared" ref="W443:W444" si="1356">+V443*$X$1</f>
        <v>2482.9</v>
      </c>
      <c r="X443" s="674"/>
      <c r="Y443" s="675"/>
      <c r="Z443" s="675"/>
      <c r="AA443" s="676"/>
      <c r="AB443" s="353">
        <v>2338</v>
      </c>
      <c r="AC443" s="62"/>
    </row>
    <row r="444" spans="1:29" ht="12.6" customHeight="1" x14ac:dyDescent="0.2">
      <c r="A444" s="17"/>
      <c r="B444" s="687" t="s">
        <v>298</v>
      </c>
      <c r="C444" s="688"/>
      <c r="D444" s="688"/>
      <c r="E444" s="689"/>
      <c r="F444" s="503">
        <f>1.05*X2</f>
        <v>1396.5</v>
      </c>
      <c r="G444" s="258">
        <f>+F444*$X$1</f>
        <v>1396.5</v>
      </c>
      <c r="H444" s="406">
        <f t="shared" si="1349"/>
        <v>1996.5</v>
      </c>
      <c r="I444" s="258">
        <f t="shared" si="1350"/>
        <v>1996.5</v>
      </c>
      <c r="J444" s="406">
        <f t="shared" si="1351"/>
        <v>1596.5</v>
      </c>
      <c r="K444" s="258">
        <f t="shared" si="1352"/>
        <v>1596.5</v>
      </c>
      <c r="L444" s="406">
        <f>F444+150</f>
        <v>1546.5</v>
      </c>
      <c r="M444" s="258">
        <f t="shared" si="1353"/>
        <v>1546.5</v>
      </c>
      <c r="N444" s="406">
        <f>F444+110</f>
        <v>1506.5</v>
      </c>
      <c r="O444" s="258">
        <f t="shared" si="1343"/>
        <v>1506.5</v>
      </c>
      <c r="P444" s="406">
        <f>F444+90</f>
        <v>1486.5</v>
      </c>
      <c r="Q444" s="258">
        <f t="shared" si="1354"/>
        <v>1486.5</v>
      </c>
      <c r="R444" s="406">
        <f>F444+70</f>
        <v>1466.5</v>
      </c>
      <c r="S444" s="258">
        <f t="shared" si="1345"/>
        <v>1466.5</v>
      </c>
      <c r="T444" s="406">
        <f>F444+56</f>
        <v>1452.5</v>
      </c>
      <c r="U444" s="258">
        <f t="shared" si="1355"/>
        <v>1452.5</v>
      </c>
      <c r="V444" s="406">
        <f>F444+49</f>
        <v>1445.5</v>
      </c>
      <c r="W444" s="258">
        <f t="shared" si="1356"/>
        <v>1445.5</v>
      </c>
      <c r="X444" s="161"/>
      <c r="Y444" s="164"/>
      <c r="Z444" s="164"/>
      <c r="AA444" s="163"/>
      <c r="AB444" s="353">
        <v>2340</v>
      </c>
      <c r="AC444" s="62"/>
    </row>
    <row r="445" spans="1:29" ht="12.6" customHeight="1" x14ac:dyDescent="0.2">
      <c r="A445" s="17"/>
      <c r="B445" s="781" t="s">
        <v>847</v>
      </c>
      <c r="C445" s="1163"/>
      <c r="D445" s="1163"/>
      <c r="E445" s="1164"/>
      <c r="F445" s="473">
        <f>6*X2</f>
        <v>7980</v>
      </c>
      <c r="G445" s="469">
        <f t="shared" ref="G445" si="1357">+F445*$X$1</f>
        <v>7980</v>
      </c>
      <c r="H445" s="598">
        <f>F445+800</f>
        <v>8780</v>
      </c>
      <c r="I445" s="469">
        <f t="shared" ref="I445" si="1358">+H445*$X$1</f>
        <v>8780</v>
      </c>
      <c r="J445" s="598">
        <f>F445+300</f>
        <v>8280</v>
      </c>
      <c r="K445" s="469">
        <f t="shared" ref="K445" si="1359">+J445*$X$1</f>
        <v>8280</v>
      </c>
      <c r="L445" s="598">
        <f>F445+230</f>
        <v>8210</v>
      </c>
      <c r="M445" s="469">
        <f t="shared" ref="M445" si="1360">+L445*$X$1</f>
        <v>8210</v>
      </c>
      <c r="N445" s="598">
        <f>F445+170</f>
        <v>8150</v>
      </c>
      <c r="O445" s="469">
        <f t="shared" si="1343"/>
        <v>8150</v>
      </c>
      <c r="P445" s="598">
        <f>F445+140</f>
        <v>8120</v>
      </c>
      <c r="Q445" s="469">
        <f t="shared" ref="Q445" si="1361">+P445*$X$1</f>
        <v>8120</v>
      </c>
      <c r="R445" s="598">
        <f>F445+110</f>
        <v>8090</v>
      </c>
      <c r="S445" s="469">
        <f t="shared" si="1345"/>
        <v>8090</v>
      </c>
      <c r="T445" s="598">
        <f>F445+90</f>
        <v>8070</v>
      </c>
      <c r="U445" s="469">
        <f t="shared" ref="U445" si="1362">+T445*$X$1</f>
        <v>8070</v>
      </c>
      <c r="V445" s="598">
        <f>F445+78</f>
        <v>8058</v>
      </c>
      <c r="W445" s="469">
        <f t="shared" ref="W445" si="1363">+V445*$X$1</f>
        <v>8058</v>
      </c>
      <c r="X445" s="491"/>
      <c r="Y445" s="492"/>
      <c r="Z445" s="492"/>
      <c r="AA445" s="493"/>
      <c r="AB445" s="353">
        <v>2341</v>
      </c>
      <c r="AC445" s="62"/>
    </row>
    <row r="446" spans="1:29" ht="12.6" customHeight="1" x14ac:dyDescent="0.2">
      <c r="A446" s="17"/>
      <c r="B446" s="687" t="s">
        <v>641</v>
      </c>
      <c r="C446" s="688"/>
      <c r="D446" s="688"/>
      <c r="E446" s="689"/>
      <c r="F446" s="334">
        <f>11.92*X2</f>
        <v>15853.6</v>
      </c>
      <c r="G446" s="258">
        <f t="shared" ref="G446" si="1364">+F446*$X$1</f>
        <v>15853.6</v>
      </c>
      <c r="H446" s="406">
        <f t="shared" ref="H446:H454" si="1365">F446+600</f>
        <v>16453.599999999999</v>
      </c>
      <c r="I446" s="258">
        <f t="shared" ref="I446:I455" si="1366">+H446*$X$1</f>
        <v>16453.599999999999</v>
      </c>
      <c r="J446" s="406">
        <f t="shared" ref="J446:J454" si="1367">F446+200</f>
        <v>16053.6</v>
      </c>
      <c r="K446" s="258">
        <f t="shared" ref="K446:K455" si="1368">+J446*$X$1</f>
        <v>16053.6</v>
      </c>
      <c r="L446" s="406">
        <f t="shared" ref="L446:L454" si="1369">F446+150</f>
        <v>16003.6</v>
      </c>
      <c r="M446" s="258">
        <f t="shared" ref="M446:M455" si="1370">+L446*$X$1</f>
        <v>16003.6</v>
      </c>
      <c r="N446" s="406">
        <f t="shared" ref="N446:N454" si="1371">F446+110</f>
        <v>15963.6</v>
      </c>
      <c r="O446" s="258">
        <f t="shared" si="1343"/>
        <v>15963.6</v>
      </c>
      <c r="P446" s="406">
        <f t="shared" ref="P446:P454" si="1372">F446+90</f>
        <v>15943.6</v>
      </c>
      <c r="Q446" s="258">
        <f t="shared" ref="Q446:Q455" si="1373">+P446*$X$1</f>
        <v>15943.6</v>
      </c>
      <c r="R446" s="406">
        <f t="shared" ref="R446:R454" si="1374">F446+70</f>
        <v>15923.6</v>
      </c>
      <c r="S446" s="258">
        <f t="shared" si="1345"/>
        <v>15923.6</v>
      </c>
      <c r="T446" s="406">
        <f t="shared" ref="T446:T454" si="1375">F446+56</f>
        <v>15909.6</v>
      </c>
      <c r="U446" s="258">
        <f t="shared" ref="U446:U455" si="1376">+T446*$X$1</f>
        <v>15909.6</v>
      </c>
      <c r="V446" s="406">
        <f t="shared" ref="V446:V454" si="1377">F446+49</f>
        <v>15902.6</v>
      </c>
      <c r="W446" s="258">
        <f t="shared" ref="W446:W455" si="1378">+V446*$X$1</f>
        <v>15902.6</v>
      </c>
      <c r="X446" s="392"/>
      <c r="Y446" s="393"/>
      <c r="Z446" s="393"/>
      <c r="AA446" s="394"/>
      <c r="AB446" s="353">
        <v>2342</v>
      </c>
      <c r="AC446" s="62"/>
    </row>
    <row r="447" spans="1:29" ht="12.6" customHeight="1" x14ac:dyDescent="0.2">
      <c r="A447" s="17"/>
      <c r="B447" s="1165" t="s">
        <v>640</v>
      </c>
      <c r="C447" s="1166"/>
      <c r="D447" s="1166"/>
      <c r="E447" s="1167"/>
      <c r="F447" s="502">
        <f>14.05*X2</f>
        <v>18686.5</v>
      </c>
      <c r="G447" s="618">
        <f t="shared" ref="G447" si="1379">+F447*$X$1</f>
        <v>18686.5</v>
      </c>
      <c r="H447" s="534">
        <f t="shared" si="1365"/>
        <v>19286.5</v>
      </c>
      <c r="I447" s="257">
        <f t="shared" si="1366"/>
        <v>19286.5</v>
      </c>
      <c r="J447" s="534">
        <f t="shared" si="1367"/>
        <v>18886.5</v>
      </c>
      <c r="K447" s="257">
        <f t="shared" si="1368"/>
        <v>18886.5</v>
      </c>
      <c r="L447" s="534">
        <f t="shared" si="1369"/>
        <v>18836.5</v>
      </c>
      <c r="M447" s="257">
        <f t="shared" si="1370"/>
        <v>18836.5</v>
      </c>
      <c r="N447" s="534">
        <f t="shared" si="1371"/>
        <v>18796.5</v>
      </c>
      <c r="O447" s="257">
        <f t="shared" si="1343"/>
        <v>18796.5</v>
      </c>
      <c r="P447" s="534">
        <f t="shared" si="1372"/>
        <v>18776.5</v>
      </c>
      <c r="Q447" s="257">
        <f t="shared" si="1373"/>
        <v>18776.5</v>
      </c>
      <c r="R447" s="534">
        <f t="shared" si="1374"/>
        <v>18756.5</v>
      </c>
      <c r="S447" s="257">
        <f t="shared" si="1345"/>
        <v>18756.5</v>
      </c>
      <c r="T447" s="534">
        <f t="shared" si="1375"/>
        <v>18742.5</v>
      </c>
      <c r="U447" s="257">
        <f t="shared" si="1376"/>
        <v>18742.5</v>
      </c>
      <c r="V447" s="534">
        <f t="shared" si="1377"/>
        <v>18735.5</v>
      </c>
      <c r="W447" s="257">
        <f t="shared" si="1378"/>
        <v>18735.5</v>
      </c>
      <c r="X447" s="392"/>
      <c r="Y447" s="393"/>
      <c r="Z447" s="393"/>
      <c r="AA447" s="394"/>
      <c r="AB447" s="353">
        <v>2343</v>
      </c>
      <c r="AC447" s="62"/>
    </row>
    <row r="448" spans="1:29" ht="12.6" customHeight="1" x14ac:dyDescent="0.2">
      <c r="A448" s="17"/>
      <c r="B448" s="687" t="s">
        <v>777</v>
      </c>
      <c r="C448" s="688"/>
      <c r="D448" s="688"/>
      <c r="E448" s="689"/>
      <c r="F448" s="334">
        <f>9.4*X2</f>
        <v>12502</v>
      </c>
      <c r="G448" s="258">
        <f>+F448*$X$1</f>
        <v>12502</v>
      </c>
      <c r="H448" s="406">
        <f t="shared" si="1365"/>
        <v>13102</v>
      </c>
      <c r="I448" s="258">
        <f t="shared" si="1366"/>
        <v>13102</v>
      </c>
      <c r="J448" s="406">
        <f t="shared" si="1367"/>
        <v>12702</v>
      </c>
      <c r="K448" s="258">
        <f t="shared" si="1368"/>
        <v>12702</v>
      </c>
      <c r="L448" s="406">
        <f t="shared" si="1369"/>
        <v>12652</v>
      </c>
      <c r="M448" s="258">
        <f t="shared" si="1370"/>
        <v>12652</v>
      </c>
      <c r="N448" s="406">
        <f t="shared" si="1371"/>
        <v>12612</v>
      </c>
      <c r="O448" s="258">
        <f t="shared" si="1343"/>
        <v>12612</v>
      </c>
      <c r="P448" s="406">
        <f t="shared" si="1372"/>
        <v>12592</v>
      </c>
      <c r="Q448" s="258">
        <f t="shared" si="1373"/>
        <v>12592</v>
      </c>
      <c r="R448" s="406">
        <f t="shared" si="1374"/>
        <v>12572</v>
      </c>
      <c r="S448" s="258">
        <f t="shared" si="1345"/>
        <v>12572</v>
      </c>
      <c r="T448" s="406">
        <f t="shared" si="1375"/>
        <v>12558</v>
      </c>
      <c r="U448" s="258">
        <f t="shared" si="1376"/>
        <v>12558</v>
      </c>
      <c r="V448" s="406">
        <f t="shared" si="1377"/>
        <v>12551</v>
      </c>
      <c r="W448" s="258">
        <f t="shared" si="1378"/>
        <v>12551</v>
      </c>
      <c r="X448" s="445"/>
      <c r="Y448" s="446"/>
      <c r="Z448" s="446"/>
      <c r="AA448" s="447"/>
      <c r="AB448" s="353" t="s">
        <v>778</v>
      </c>
      <c r="AC448" s="62"/>
    </row>
    <row r="449" spans="1:29" ht="12.6" customHeight="1" x14ac:dyDescent="0.2">
      <c r="A449" s="17"/>
      <c r="B449" s="678" t="s">
        <v>642</v>
      </c>
      <c r="C449" s="679"/>
      <c r="D449" s="679"/>
      <c r="E449" s="680"/>
      <c r="F449" s="333">
        <f>12.76*X2</f>
        <v>16970.8</v>
      </c>
      <c r="G449" s="257">
        <f t="shared" ref="G449" si="1380">+F449*$X$1</f>
        <v>16970.8</v>
      </c>
      <c r="H449" s="559">
        <f t="shared" si="1365"/>
        <v>17570.8</v>
      </c>
      <c r="I449" s="257">
        <f t="shared" si="1366"/>
        <v>17570.8</v>
      </c>
      <c r="J449" s="559">
        <f t="shared" si="1367"/>
        <v>17170.8</v>
      </c>
      <c r="K449" s="257">
        <f t="shared" si="1368"/>
        <v>17170.8</v>
      </c>
      <c r="L449" s="559">
        <f t="shared" si="1369"/>
        <v>17120.8</v>
      </c>
      <c r="M449" s="257">
        <f t="shared" si="1370"/>
        <v>17120.8</v>
      </c>
      <c r="N449" s="559">
        <f t="shared" si="1371"/>
        <v>17080.8</v>
      </c>
      <c r="O449" s="257">
        <f t="shared" si="1343"/>
        <v>17080.8</v>
      </c>
      <c r="P449" s="559">
        <f t="shared" si="1372"/>
        <v>17060.8</v>
      </c>
      <c r="Q449" s="257">
        <f t="shared" si="1373"/>
        <v>17060.8</v>
      </c>
      <c r="R449" s="559">
        <f t="shared" si="1374"/>
        <v>17040.8</v>
      </c>
      <c r="S449" s="257">
        <f t="shared" si="1345"/>
        <v>17040.8</v>
      </c>
      <c r="T449" s="559">
        <f t="shared" si="1375"/>
        <v>17026.8</v>
      </c>
      <c r="U449" s="257">
        <f t="shared" si="1376"/>
        <v>17026.8</v>
      </c>
      <c r="V449" s="559">
        <f t="shared" si="1377"/>
        <v>17019.8</v>
      </c>
      <c r="W449" s="257">
        <f t="shared" si="1378"/>
        <v>17019.8</v>
      </c>
      <c r="X449" s="392"/>
      <c r="Y449" s="393"/>
      <c r="Z449" s="393"/>
      <c r="AA449" s="394"/>
      <c r="AB449" s="353" t="s">
        <v>700</v>
      </c>
      <c r="AC449" s="62"/>
    </row>
    <row r="450" spans="1:29" ht="12.6" customHeight="1" x14ac:dyDescent="0.2">
      <c r="A450" s="17"/>
      <c r="B450" s="687" t="s">
        <v>543</v>
      </c>
      <c r="C450" s="688"/>
      <c r="D450" s="688"/>
      <c r="E450" s="689"/>
      <c r="F450" s="334">
        <f>2.6*X2</f>
        <v>3458</v>
      </c>
      <c r="G450" s="258">
        <f t="shared" ref="G450" si="1381">+F450*$X$1</f>
        <v>3458</v>
      </c>
      <c r="H450" s="576"/>
      <c r="I450" s="258"/>
      <c r="J450" s="576">
        <f t="shared" si="1367"/>
        <v>3658</v>
      </c>
      <c r="K450" s="258">
        <f t="shared" si="1368"/>
        <v>3658</v>
      </c>
      <c r="L450" s="576">
        <f t="shared" si="1369"/>
        <v>3608</v>
      </c>
      <c r="M450" s="258">
        <f t="shared" si="1370"/>
        <v>3608</v>
      </c>
      <c r="N450" s="576">
        <f t="shared" si="1371"/>
        <v>3568</v>
      </c>
      <c r="O450" s="258">
        <f t="shared" si="1343"/>
        <v>3568</v>
      </c>
      <c r="P450" s="576">
        <f t="shared" si="1372"/>
        <v>3548</v>
      </c>
      <c r="Q450" s="258">
        <f t="shared" si="1373"/>
        <v>3548</v>
      </c>
      <c r="R450" s="576">
        <f t="shared" si="1374"/>
        <v>3528</v>
      </c>
      <c r="S450" s="258">
        <f t="shared" si="1345"/>
        <v>3528</v>
      </c>
      <c r="T450" s="576">
        <f t="shared" si="1375"/>
        <v>3514</v>
      </c>
      <c r="U450" s="258">
        <f t="shared" si="1376"/>
        <v>3514</v>
      </c>
      <c r="V450" s="576">
        <f t="shared" si="1377"/>
        <v>3507</v>
      </c>
      <c r="W450" s="258">
        <f t="shared" si="1378"/>
        <v>3507</v>
      </c>
      <c r="X450" s="329"/>
      <c r="Y450" s="330"/>
      <c r="Z450" s="330"/>
      <c r="AA450" s="331"/>
      <c r="AB450" s="353">
        <v>2350</v>
      </c>
      <c r="AC450" s="62"/>
    </row>
    <row r="451" spans="1:29" ht="12.6" customHeight="1" x14ac:dyDescent="0.2">
      <c r="A451" s="17"/>
      <c r="B451" s="678" t="s">
        <v>624</v>
      </c>
      <c r="C451" s="679"/>
      <c r="D451" s="679"/>
      <c r="E451" s="680"/>
      <c r="F451" s="333">
        <f>1.59*X2</f>
        <v>2114.7000000000003</v>
      </c>
      <c r="G451" s="257">
        <f t="shared" ref="G451" si="1382">+F451*$X$1</f>
        <v>2114.7000000000003</v>
      </c>
      <c r="H451" s="559">
        <f t="shared" si="1365"/>
        <v>2714.7000000000003</v>
      </c>
      <c r="I451" s="257">
        <f t="shared" si="1366"/>
        <v>2714.7000000000003</v>
      </c>
      <c r="J451" s="559">
        <f t="shared" si="1367"/>
        <v>2314.7000000000003</v>
      </c>
      <c r="K451" s="257">
        <f t="shared" si="1368"/>
        <v>2314.7000000000003</v>
      </c>
      <c r="L451" s="559">
        <f t="shared" si="1369"/>
        <v>2264.7000000000003</v>
      </c>
      <c r="M451" s="257">
        <f t="shared" si="1370"/>
        <v>2264.7000000000003</v>
      </c>
      <c r="N451" s="559">
        <f t="shared" si="1371"/>
        <v>2224.7000000000003</v>
      </c>
      <c r="O451" s="257">
        <f t="shared" si="1343"/>
        <v>2224.7000000000003</v>
      </c>
      <c r="P451" s="559">
        <f t="shared" si="1372"/>
        <v>2204.7000000000003</v>
      </c>
      <c r="Q451" s="257">
        <f t="shared" si="1373"/>
        <v>2204.7000000000003</v>
      </c>
      <c r="R451" s="559">
        <f t="shared" si="1374"/>
        <v>2184.7000000000003</v>
      </c>
      <c r="S451" s="257">
        <f t="shared" si="1345"/>
        <v>2184.7000000000003</v>
      </c>
      <c r="T451" s="559">
        <f t="shared" si="1375"/>
        <v>2170.7000000000003</v>
      </c>
      <c r="U451" s="257">
        <f t="shared" si="1376"/>
        <v>2170.7000000000003</v>
      </c>
      <c r="V451" s="559">
        <f t="shared" si="1377"/>
        <v>2163.7000000000003</v>
      </c>
      <c r="W451" s="257">
        <f t="shared" si="1378"/>
        <v>2163.7000000000003</v>
      </c>
      <c r="X451" s="383"/>
      <c r="Y451" s="384"/>
      <c r="Z451" s="384"/>
      <c r="AA451" s="385"/>
      <c r="AB451" s="353">
        <v>2352</v>
      </c>
      <c r="AC451" s="62"/>
    </row>
    <row r="452" spans="1:29" ht="12.6" customHeight="1" x14ac:dyDescent="0.2">
      <c r="A452" s="17"/>
      <c r="B452" s="642" t="s">
        <v>827</v>
      </c>
      <c r="C452" s="662"/>
      <c r="D452" s="662"/>
      <c r="E452" s="663"/>
      <c r="F452" s="334">
        <f>1.48*X2</f>
        <v>1968.3999999999999</v>
      </c>
      <c r="G452" s="258">
        <f t="shared" ref="G452" si="1383">+F452*$X$1</f>
        <v>1968.3999999999999</v>
      </c>
      <c r="H452" s="406">
        <f t="shared" si="1365"/>
        <v>2568.3999999999996</v>
      </c>
      <c r="I452" s="258">
        <f t="shared" si="1366"/>
        <v>2568.3999999999996</v>
      </c>
      <c r="J452" s="406">
        <f t="shared" si="1367"/>
        <v>2168.3999999999996</v>
      </c>
      <c r="K452" s="258">
        <f t="shared" si="1368"/>
        <v>2168.3999999999996</v>
      </c>
      <c r="L452" s="406">
        <f t="shared" si="1369"/>
        <v>2118.3999999999996</v>
      </c>
      <c r="M452" s="258">
        <f t="shared" si="1370"/>
        <v>2118.3999999999996</v>
      </c>
      <c r="N452" s="406">
        <f t="shared" si="1371"/>
        <v>2078.3999999999996</v>
      </c>
      <c r="O452" s="258">
        <f t="shared" si="1343"/>
        <v>2078.3999999999996</v>
      </c>
      <c r="P452" s="406">
        <f t="shared" si="1372"/>
        <v>2058.3999999999996</v>
      </c>
      <c r="Q452" s="258">
        <f t="shared" si="1373"/>
        <v>2058.3999999999996</v>
      </c>
      <c r="R452" s="406">
        <f t="shared" si="1374"/>
        <v>2038.3999999999999</v>
      </c>
      <c r="S452" s="258">
        <f t="shared" si="1345"/>
        <v>2038.3999999999999</v>
      </c>
      <c r="T452" s="406">
        <f t="shared" si="1375"/>
        <v>2024.3999999999999</v>
      </c>
      <c r="U452" s="258">
        <f t="shared" si="1376"/>
        <v>2024.3999999999999</v>
      </c>
      <c r="V452" s="406">
        <f t="shared" si="1377"/>
        <v>2017.3999999999999</v>
      </c>
      <c r="W452" s="258">
        <f t="shared" si="1378"/>
        <v>2017.3999999999999</v>
      </c>
      <c r="X452" s="482"/>
      <c r="Y452" s="480"/>
      <c r="Z452" s="480"/>
      <c r="AA452" s="481"/>
      <c r="AB452" s="353">
        <v>2353</v>
      </c>
      <c r="AC452" s="62"/>
    </row>
    <row r="453" spans="1:29" ht="12.6" customHeight="1" x14ac:dyDescent="0.2">
      <c r="A453" s="17"/>
      <c r="B453" s="642" t="s">
        <v>871</v>
      </c>
      <c r="C453" s="662"/>
      <c r="D453" s="662"/>
      <c r="E453" s="663"/>
      <c r="F453" s="333">
        <f>1.732*X2</f>
        <v>2303.56</v>
      </c>
      <c r="G453" s="257">
        <f t="shared" ref="G453" si="1384">+F453*$X$1</f>
        <v>2303.56</v>
      </c>
      <c r="H453" s="534">
        <f t="shared" si="1365"/>
        <v>2903.56</v>
      </c>
      <c r="I453" s="257">
        <f t="shared" si="1366"/>
        <v>2903.56</v>
      </c>
      <c r="J453" s="534">
        <f t="shared" si="1367"/>
        <v>2503.56</v>
      </c>
      <c r="K453" s="257">
        <f t="shared" si="1368"/>
        <v>2503.56</v>
      </c>
      <c r="L453" s="534">
        <f t="shared" si="1369"/>
        <v>2453.56</v>
      </c>
      <c r="M453" s="257">
        <f t="shared" si="1370"/>
        <v>2453.56</v>
      </c>
      <c r="N453" s="534">
        <f t="shared" si="1371"/>
        <v>2413.56</v>
      </c>
      <c r="O453" s="257">
        <f t="shared" si="1343"/>
        <v>2413.56</v>
      </c>
      <c r="P453" s="534">
        <f t="shared" si="1372"/>
        <v>2393.56</v>
      </c>
      <c r="Q453" s="257">
        <f t="shared" si="1373"/>
        <v>2393.56</v>
      </c>
      <c r="R453" s="534">
        <f t="shared" si="1374"/>
        <v>2373.56</v>
      </c>
      <c r="S453" s="257">
        <f t="shared" si="1345"/>
        <v>2373.56</v>
      </c>
      <c r="T453" s="534">
        <f t="shared" si="1375"/>
        <v>2359.56</v>
      </c>
      <c r="U453" s="257">
        <f t="shared" si="1376"/>
        <v>2359.56</v>
      </c>
      <c r="V453" s="534">
        <f t="shared" si="1377"/>
        <v>2352.56</v>
      </c>
      <c r="W453" s="257">
        <f t="shared" si="1378"/>
        <v>2352.56</v>
      </c>
      <c r="X453" s="515"/>
      <c r="Y453" s="516"/>
      <c r="Z453" s="516"/>
      <c r="AA453" s="517"/>
      <c r="AB453" s="353">
        <v>2354</v>
      </c>
      <c r="AC453" s="62"/>
    </row>
    <row r="454" spans="1:29" ht="12.6" customHeight="1" x14ac:dyDescent="0.2">
      <c r="A454" s="17"/>
      <c r="B454" s="642" t="s">
        <v>870</v>
      </c>
      <c r="C454" s="662"/>
      <c r="D454" s="662"/>
      <c r="E454" s="663"/>
      <c r="F454" s="334">
        <f>1.471*X2</f>
        <v>1956.43</v>
      </c>
      <c r="G454" s="258">
        <f t="shared" ref="G454" si="1385">+F454*$X$1</f>
        <v>1956.43</v>
      </c>
      <c r="H454" s="406">
        <f t="shared" si="1365"/>
        <v>2556.4300000000003</v>
      </c>
      <c r="I454" s="258">
        <f t="shared" si="1366"/>
        <v>2556.4300000000003</v>
      </c>
      <c r="J454" s="406">
        <f t="shared" si="1367"/>
        <v>2156.4300000000003</v>
      </c>
      <c r="K454" s="258">
        <f t="shared" si="1368"/>
        <v>2156.4300000000003</v>
      </c>
      <c r="L454" s="406">
        <f t="shared" si="1369"/>
        <v>2106.4300000000003</v>
      </c>
      <c r="M454" s="258">
        <f t="shared" si="1370"/>
        <v>2106.4300000000003</v>
      </c>
      <c r="N454" s="406">
        <f t="shared" si="1371"/>
        <v>2066.4300000000003</v>
      </c>
      <c r="O454" s="258">
        <f t="shared" si="1343"/>
        <v>2066.4300000000003</v>
      </c>
      <c r="P454" s="406">
        <f t="shared" si="1372"/>
        <v>2046.43</v>
      </c>
      <c r="Q454" s="258">
        <f t="shared" si="1373"/>
        <v>2046.43</v>
      </c>
      <c r="R454" s="406">
        <f t="shared" si="1374"/>
        <v>2026.43</v>
      </c>
      <c r="S454" s="258">
        <f t="shared" si="1345"/>
        <v>2026.43</v>
      </c>
      <c r="T454" s="406">
        <f t="shared" si="1375"/>
        <v>2012.43</v>
      </c>
      <c r="U454" s="258">
        <f t="shared" si="1376"/>
        <v>2012.43</v>
      </c>
      <c r="V454" s="406">
        <f t="shared" si="1377"/>
        <v>2005.43</v>
      </c>
      <c r="W454" s="258">
        <f t="shared" si="1378"/>
        <v>2005.43</v>
      </c>
      <c r="X454" s="515"/>
      <c r="Y454" s="516"/>
      <c r="Z454" s="516"/>
      <c r="AA454" s="517"/>
      <c r="AB454" s="353">
        <v>2355</v>
      </c>
      <c r="AC454" s="62"/>
    </row>
    <row r="455" spans="1:29" ht="12.6" customHeight="1" x14ac:dyDescent="0.2">
      <c r="A455" s="17"/>
      <c r="B455" s="678" t="s">
        <v>883</v>
      </c>
      <c r="C455" s="679"/>
      <c r="D455" s="679"/>
      <c r="E455" s="680"/>
      <c r="F455" s="257">
        <f>2.95*X2</f>
        <v>3923.5000000000005</v>
      </c>
      <c r="G455" s="257">
        <f>+F455*$X$1</f>
        <v>3923.5000000000005</v>
      </c>
      <c r="H455" s="559">
        <f>F455+600</f>
        <v>4523.5</v>
      </c>
      <c r="I455" s="257">
        <f t="shared" si="1366"/>
        <v>4523.5</v>
      </c>
      <c r="J455" s="68">
        <f t="shared" ref="J455:J459" si="1386">F455+220</f>
        <v>4143.5</v>
      </c>
      <c r="K455" s="257">
        <f t="shared" si="1368"/>
        <v>4143.5</v>
      </c>
      <c r="L455" s="559">
        <f t="shared" ref="L455" si="1387">F455+150</f>
        <v>4073.5000000000005</v>
      </c>
      <c r="M455" s="257">
        <f t="shared" si="1370"/>
        <v>4073.5000000000005</v>
      </c>
      <c r="N455" s="559">
        <f t="shared" ref="N455" si="1388">F455+110</f>
        <v>4033.5000000000005</v>
      </c>
      <c r="O455" s="257">
        <f t="shared" ref="O455" si="1389">+N455*$X$1</f>
        <v>4033.5000000000005</v>
      </c>
      <c r="P455" s="559">
        <f t="shared" ref="P455" si="1390">F455+100</f>
        <v>4023.5000000000005</v>
      </c>
      <c r="Q455" s="257">
        <f t="shared" si="1373"/>
        <v>4023.5000000000005</v>
      </c>
      <c r="R455" s="559">
        <f t="shared" ref="R455" si="1391">F455+80</f>
        <v>4003.5000000000005</v>
      </c>
      <c r="S455" s="257">
        <f t="shared" ref="S455" si="1392">+R455*$X$1</f>
        <v>4003.5000000000005</v>
      </c>
      <c r="T455" s="559">
        <f t="shared" ref="T455" si="1393">F455+65</f>
        <v>3988.5000000000005</v>
      </c>
      <c r="U455" s="257">
        <f t="shared" si="1376"/>
        <v>3988.5000000000005</v>
      </c>
      <c r="V455" s="559">
        <f t="shared" ref="V455" si="1394">F455+56</f>
        <v>3979.5000000000005</v>
      </c>
      <c r="W455" s="257">
        <f t="shared" si="1378"/>
        <v>3979.5000000000005</v>
      </c>
      <c r="X455" s="674"/>
      <c r="Y455" s="677"/>
      <c r="Z455" s="677"/>
      <c r="AA455" s="676"/>
      <c r="AB455" s="353">
        <v>2500</v>
      </c>
    </row>
    <row r="456" spans="1:29" ht="12.6" customHeight="1" x14ac:dyDescent="0.2">
      <c r="A456" s="17"/>
      <c r="B456" s="687" t="s">
        <v>760</v>
      </c>
      <c r="C456" s="688"/>
      <c r="D456" s="688"/>
      <c r="E456" s="689"/>
      <c r="F456" s="258">
        <f>3.463*X2</f>
        <v>4605.79</v>
      </c>
      <c r="G456" s="258">
        <f>+F456*$X$1</f>
        <v>4605.79</v>
      </c>
      <c r="H456" s="573">
        <f>F456+600</f>
        <v>5205.79</v>
      </c>
      <c r="I456" s="258">
        <f t="shared" ref="I456:I458" si="1395">+H456*$X$1</f>
        <v>5205.79</v>
      </c>
      <c r="J456" s="82">
        <f t="shared" si="1386"/>
        <v>4825.79</v>
      </c>
      <c r="K456" s="258">
        <f t="shared" ref="K456:K459" si="1396">+J456*$X$1</f>
        <v>4825.79</v>
      </c>
      <c r="L456" s="573">
        <f t="shared" ref="L456:L459" si="1397">F456+150</f>
        <v>4755.79</v>
      </c>
      <c r="M456" s="258">
        <f t="shared" ref="M456:M459" si="1398">+L456*$X$1</f>
        <v>4755.79</v>
      </c>
      <c r="N456" s="573">
        <f t="shared" ref="N456:N459" si="1399">F456+110</f>
        <v>4715.79</v>
      </c>
      <c r="O456" s="258">
        <f t="shared" ref="O456:O459" si="1400">+N456*$X$1</f>
        <v>4715.79</v>
      </c>
      <c r="P456" s="573">
        <f t="shared" ref="P456:P459" si="1401">F456+100</f>
        <v>4705.79</v>
      </c>
      <c r="Q456" s="258">
        <f t="shared" ref="Q456:Q459" si="1402">+P456*$X$1</f>
        <v>4705.79</v>
      </c>
      <c r="R456" s="573">
        <f t="shared" ref="R456:R459" si="1403">F456+80</f>
        <v>4685.79</v>
      </c>
      <c r="S456" s="258">
        <f t="shared" ref="S456:S459" si="1404">+R456*$X$1</f>
        <v>4685.79</v>
      </c>
      <c r="T456" s="573">
        <f t="shared" ref="T456:T459" si="1405">F456+65</f>
        <v>4670.79</v>
      </c>
      <c r="U456" s="258">
        <f t="shared" ref="U456:U459" si="1406">+T456*$X$1</f>
        <v>4670.79</v>
      </c>
      <c r="V456" s="573">
        <f t="shared" ref="V456:V459" si="1407">F456+56</f>
        <v>4661.79</v>
      </c>
      <c r="W456" s="258">
        <f t="shared" ref="W456:W467" si="1408">+V456*$X$1</f>
        <v>4661.79</v>
      </c>
      <c r="X456" s="674"/>
      <c r="Y456" s="677"/>
      <c r="Z456" s="677"/>
      <c r="AA456" s="676"/>
      <c r="AB456" s="353">
        <v>2503</v>
      </c>
    </row>
    <row r="457" spans="1:29" ht="12.6" customHeight="1" x14ac:dyDescent="0.2">
      <c r="A457" s="17"/>
      <c r="B457" s="678" t="s">
        <v>884</v>
      </c>
      <c r="C457" s="679"/>
      <c r="D457" s="679"/>
      <c r="E457" s="680"/>
      <c r="F457" s="257">
        <f>0.95*X2</f>
        <v>1263.5</v>
      </c>
      <c r="G457" s="257">
        <f>+F457*$X$1</f>
        <v>1263.5</v>
      </c>
      <c r="H457" s="559">
        <f>F457+600</f>
        <v>1863.5</v>
      </c>
      <c r="I457" s="257">
        <f t="shared" si="1395"/>
        <v>1863.5</v>
      </c>
      <c r="J457" s="68">
        <f t="shared" si="1386"/>
        <v>1483.5</v>
      </c>
      <c r="K457" s="257">
        <f t="shared" si="1396"/>
        <v>1483.5</v>
      </c>
      <c r="L457" s="559">
        <f t="shared" si="1397"/>
        <v>1413.5</v>
      </c>
      <c r="M457" s="257">
        <f t="shared" si="1398"/>
        <v>1413.5</v>
      </c>
      <c r="N457" s="559">
        <f t="shared" si="1399"/>
        <v>1373.5</v>
      </c>
      <c r="O457" s="257">
        <f t="shared" si="1400"/>
        <v>1373.5</v>
      </c>
      <c r="P457" s="559">
        <f t="shared" si="1401"/>
        <v>1363.5</v>
      </c>
      <c r="Q457" s="257">
        <f t="shared" si="1402"/>
        <v>1363.5</v>
      </c>
      <c r="R457" s="559">
        <f t="shared" si="1403"/>
        <v>1343.5</v>
      </c>
      <c r="S457" s="257">
        <f t="shared" si="1404"/>
        <v>1343.5</v>
      </c>
      <c r="T457" s="559">
        <f t="shared" si="1405"/>
        <v>1328.5</v>
      </c>
      <c r="U457" s="257">
        <f t="shared" si="1406"/>
        <v>1328.5</v>
      </c>
      <c r="V457" s="559">
        <f t="shared" si="1407"/>
        <v>1319.5</v>
      </c>
      <c r="W457" s="257">
        <f t="shared" si="1408"/>
        <v>1319.5</v>
      </c>
      <c r="X457" s="674"/>
      <c r="Y457" s="677"/>
      <c r="Z457" s="677"/>
      <c r="AA457" s="676"/>
      <c r="AB457" s="353">
        <v>2506</v>
      </c>
    </row>
    <row r="458" spans="1:29" ht="12.6" customHeight="1" x14ac:dyDescent="0.2">
      <c r="A458" s="17"/>
      <c r="B458" s="642" t="s">
        <v>886</v>
      </c>
      <c r="C458" s="662"/>
      <c r="D458" s="662"/>
      <c r="E458" s="663"/>
      <c r="F458" s="258">
        <f>2.34*X2</f>
        <v>3112.2</v>
      </c>
      <c r="G458" s="258">
        <f>+F458*$X$1</f>
        <v>3112.2</v>
      </c>
      <c r="H458" s="573">
        <f>F458+600</f>
        <v>3712.2</v>
      </c>
      <c r="I458" s="258">
        <f t="shared" si="1395"/>
        <v>3712.2</v>
      </c>
      <c r="J458" s="82">
        <f t="shared" si="1386"/>
        <v>3332.2</v>
      </c>
      <c r="K458" s="258">
        <f t="shared" si="1396"/>
        <v>3332.2</v>
      </c>
      <c r="L458" s="573">
        <f t="shared" si="1397"/>
        <v>3262.2</v>
      </c>
      <c r="M458" s="258">
        <f t="shared" si="1398"/>
        <v>3262.2</v>
      </c>
      <c r="N458" s="573">
        <f t="shared" si="1399"/>
        <v>3222.2</v>
      </c>
      <c r="O458" s="258">
        <f t="shared" si="1400"/>
        <v>3222.2</v>
      </c>
      <c r="P458" s="573">
        <f t="shared" si="1401"/>
        <v>3212.2</v>
      </c>
      <c r="Q458" s="258">
        <f t="shared" si="1402"/>
        <v>3212.2</v>
      </c>
      <c r="R458" s="573">
        <f t="shared" si="1403"/>
        <v>3192.2</v>
      </c>
      <c r="S458" s="258">
        <f t="shared" si="1404"/>
        <v>3192.2</v>
      </c>
      <c r="T458" s="573">
        <f t="shared" si="1405"/>
        <v>3177.2</v>
      </c>
      <c r="U458" s="258">
        <f t="shared" si="1406"/>
        <v>3177.2</v>
      </c>
      <c r="V458" s="573">
        <f t="shared" si="1407"/>
        <v>3168.2</v>
      </c>
      <c r="W458" s="258">
        <f t="shared" si="1408"/>
        <v>3168.2</v>
      </c>
      <c r="X458" s="674"/>
      <c r="Y458" s="677"/>
      <c r="Z458" s="677"/>
      <c r="AA458" s="676"/>
      <c r="AB458" s="353">
        <v>2507</v>
      </c>
    </row>
    <row r="459" spans="1:29" ht="12.6" customHeight="1" x14ac:dyDescent="0.2">
      <c r="A459" s="17"/>
      <c r="B459" s="678" t="s">
        <v>445</v>
      </c>
      <c r="C459" s="1003"/>
      <c r="D459" s="1003"/>
      <c r="E459" s="1004"/>
      <c r="F459" s="333">
        <f>2.6*X2</f>
        <v>3458</v>
      </c>
      <c r="G459" s="257">
        <f t="shared" ref="G459:G460" si="1409">+F459*$X$1</f>
        <v>3458</v>
      </c>
      <c r="H459" s="559"/>
      <c r="I459" s="257"/>
      <c r="J459" s="68">
        <f t="shared" si="1386"/>
        <v>3678</v>
      </c>
      <c r="K459" s="257">
        <f t="shared" si="1396"/>
        <v>3678</v>
      </c>
      <c r="L459" s="559">
        <f t="shared" si="1397"/>
        <v>3608</v>
      </c>
      <c r="M459" s="257">
        <f t="shared" si="1398"/>
        <v>3608</v>
      </c>
      <c r="N459" s="559">
        <f t="shared" si="1399"/>
        <v>3568</v>
      </c>
      <c r="O459" s="257">
        <f t="shared" si="1400"/>
        <v>3568</v>
      </c>
      <c r="P459" s="559">
        <f t="shared" si="1401"/>
        <v>3558</v>
      </c>
      <c r="Q459" s="257">
        <f t="shared" si="1402"/>
        <v>3558</v>
      </c>
      <c r="R459" s="559">
        <f t="shared" si="1403"/>
        <v>3538</v>
      </c>
      <c r="S459" s="257">
        <f t="shared" si="1404"/>
        <v>3538</v>
      </c>
      <c r="T459" s="559">
        <f t="shared" si="1405"/>
        <v>3523</v>
      </c>
      <c r="U459" s="257">
        <f t="shared" si="1406"/>
        <v>3523</v>
      </c>
      <c r="V459" s="559">
        <f t="shared" si="1407"/>
        <v>3514</v>
      </c>
      <c r="W459" s="257">
        <f t="shared" si="1408"/>
        <v>3514</v>
      </c>
      <c r="X459" s="149"/>
      <c r="Y459" s="122"/>
      <c r="Z459" s="122"/>
      <c r="AA459" s="125"/>
      <c r="AB459" s="365">
        <v>3001</v>
      </c>
    </row>
    <row r="460" spans="1:29" ht="12.6" customHeight="1" x14ac:dyDescent="0.2">
      <c r="A460" s="17"/>
      <c r="B460" s="642" t="s">
        <v>1014</v>
      </c>
      <c r="C460" s="643"/>
      <c r="D460" s="643"/>
      <c r="E460" s="644"/>
      <c r="F460" s="333">
        <f>3.08*X2</f>
        <v>4096.4000000000005</v>
      </c>
      <c r="G460" s="258">
        <f t="shared" si="1409"/>
        <v>4096.4000000000005</v>
      </c>
      <c r="H460" s="576"/>
      <c r="I460" s="258"/>
      <c r="J460" s="82"/>
      <c r="K460" s="258"/>
      <c r="L460" s="576"/>
      <c r="M460" s="258"/>
      <c r="N460" s="576">
        <f t="shared" ref="N460:N465" si="1410">F460+1440</f>
        <v>5536.4000000000005</v>
      </c>
      <c r="O460" s="258">
        <f t="shared" ref="O460" si="1411">+N460*$X$1</f>
        <v>5536.4000000000005</v>
      </c>
      <c r="P460" s="576">
        <f t="shared" ref="P460:P465" si="1412">F460+880</f>
        <v>4976.4000000000005</v>
      </c>
      <c r="Q460" s="258">
        <f t="shared" ref="Q460" si="1413">+P460*$X$1</f>
        <v>4976.4000000000005</v>
      </c>
      <c r="R460" s="576">
        <f t="shared" ref="R460:R465" si="1414">F460+800</f>
        <v>4896.4000000000005</v>
      </c>
      <c r="S460" s="258">
        <f t="shared" ref="S460" si="1415">+R460*$X$1</f>
        <v>4896.4000000000005</v>
      </c>
      <c r="T460" s="576">
        <f t="shared" ref="T460:T465" si="1416">F460+300</f>
        <v>4396.4000000000005</v>
      </c>
      <c r="U460" s="258">
        <f t="shared" ref="U460" si="1417">+T460*$X$1</f>
        <v>4396.4000000000005</v>
      </c>
      <c r="V460" s="576">
        <f t="shared" ref="V460:V465" si="1418">F460+200</f>
        <v>4296.4000000000005</v>
      </c>
      <c r="W460" s="258">
        <f t="shared" ref="W460" si="1419">+V460*$X$1</f>
        <v>4296.4000000000005</v>
      </c>
      <c r="X460" s="149"/>
      <c r="Y460" s="122"/>
      <c r="Z460" s="122"/>
      <c r="AA460" s="125"/>
      <c r="AB460" s="365">
        <v>3020</v>
      </c>
    </row>
    <row r="461" spans="1:29" ht="12.6" customHeight="1" x14ac:dyDescent="0.2">
      <c r="A461" s="17"/>
      <c r="B461" s="642" t="s">
        <v>1016</v>
      </c>
      <c r="C461" s="643"/>
      <c r="D461" s="643"/>
      <c r="E461" s="644"/>
      <c r="F461" s="333">
        <f>3.08*X2</f>
        <v>4096.4000000000005</v>
      </c>
      <c r="G461" s="257">
        <f t="shared" ref="G461" si="1420">+F461*$X$1</f>
        <v>4096.4000000000005</v>
      </c>
      <c r="H461" s="559"/>
      <c r="I461" s="257"/>
      <c r="J461" s="68"/>
      <c r="K461" s="257"/>
      <c r="L461" s="559"/>
      <c r="M461" s="257"/>
      <c r="N461" s="559">
        <f t="shared" si="1410"/>
        <v>5536.4000000000005</v>
      </c>
      <c r="O461" s="257">
        <f t="shared" ref="O461" si="1421">+N461*$X$1</f>
        <v>5536.4000000000005</v>
      </c>
      <c r="P461" s="559">
        <f t="shared" si="1412"/>
        <v>4976.4000000000005</v>
      </c>
      <c r="Q461" s="257">
        <f t="shared" ref="Q461" si="1422">+P461*$X$1</f>
        <v>4976.4000000000005</v>
      </c>
      <c r="R461" s="559">
        <f t="shared" si="1414"/>
        <v>4896.4000000000005</v>
      </c>
      <c r="S461" s="257">
        <f t="shared" ref="S461" si="1423">+R461*$X$1</f>
        <v>4896.4000000000005</v>
      </c>
      <c r="T461" s="559">
        <f t="shared" si="1416"/>
        <v>4396.4000000000005</v>
      </c>
      <c r="U461" s="257">
        <f t="shared" ref="U461" si="1424">+T461*$X$1</f>
        <v>4396.4000000000005</v>
      </c>
      <c r="V461" s="559">
        <f t="shared" si="1418"/>
        <v>4296.4000000000005</v>
      </c>
      <c r="W461" s="257">
        <f t="shared" ref="W461" si="1425">+V461*$X$1</f>
        <v>4296.4000000000005</v>
      </c>
      <c r="X461" s="149"/>
      <c r="Y461" s="122"/>
      <c r="Z461" s="122"/>
      <c r="AA461" s="125"/>
      <c r="AB461" s="365">
        <v>3021</v>
      </c>
    </row>
    <row r="462" spans="1:29" ht="12.6" customHeight="1" x14ac:dyDescent="0.2">
      <c r="A462" s="17"/>
      <c r="B462" s="642" t="s">
        <v>1015</v>
      </c>
      <c r="C462" s="643"/>
      <c r="D462" s="643"/>
      <c r="E462" s="644"/>
      <c r="F462" s="333">
        <f>3.08*X2</f>
        <v>4096.4000000000005</v>
      </c>
      <c r="G462" s="258">
        <f t="shared" ref="G462" si="1426">+F462*$X$1</f>
        <v>4096.4000000000005</v>
      </c>
      <c r="H462" s="576"/>
      <c r="I462" s="258"/>
      <c r="J462" s="82"/>
      <c r="K462" s="258"/>
      <c r="L462" s="576"/>
      <c r="M462" s="258"/>
      <c r="N462" s="576">
        <f t="shared" si="1410"/>
        <v>5536.4000000000005</v>
      </c>
      <c r="O462" s="258">
        <f t="shared" ref="O462" si="1427">+N462*$X$1</f>
        <v>5536.4000000000005</v>
      </c>
      <c r="P462" s="576">
        <f t="shared" si="1412"/>
        <v>4976.4000000000005</v>
      </c>
      <c r="Q462" s="258">
        <f t="shared" ref="Q462" si="1428">+P462*$X$1</f>
        <v>4976.4000000000005</v>
      </c>
      <c r="R462" s="576">
        <f t="shared" si="1414"/>
        <v>4896.4000000000005</v>
      </c>
      <c r="S462" s="258">
        <f t="shared" ref="S462" si="1429">+R462*$X$1</f>
        <v>4896.4000000000005</v>
      </c>
      <c r="T462" s="576">
        <f t="shared" si="1416"/>
        <v>4396.4000000000005</v>
      </c>
      <c r="U462" s="258">
        <f t="shared" ref="U462" si="1430">+T462*$X$1</f>
        <v>4396.4000000000005</v>
      </c>
      <c r="V462" s="576">
        <f t="shared" si="1418"/>
        <v>4296.4000000000005</v>
      </c>
      <c r="W462" s="258">
        <f t="shared" ref="W462" si="1431">+V462*$X$1</f>
        <v>4296.4000000000005</v>
      </c>
      <c r="X462" s="149"/>
      <c r="Y462" s="122"/>
      <c r="Z462" s="122"/>
      <c r="AA462" s="125"/>
      <c r="AB462" s="365">
        <v>3022</v>
      </c>
    </row>
    <row r="463" spans="1:29" ht="12.6" customHeight="1" x14ac:dyDescent="0.2">
      <c r="A463" s="17"/>
      <c r="B463" s="642" t="s">
        <v>1017</v>
      </c>
      <c r="C463" s="643"/>
      <c r="D463" s="643"/>
      <c r="E463" s="644"/>
      <c r="F463" s="333">
        <f>3.08*X2</f>
        <v>4096.4000000000005</v>
      </c>
      <c r="G463" s="257">
        <f t="shared" ref="G463" si="1432">+F463*$X$1</f>
        <v>4096.4000000000005</v>
      </c>
      <c r="H463" s="559"/>
      <c r="I463" s="257"/>
      <c r="J463" s="68"/>
      <c r="K463" s="257"/>
      <c r="L463" s="559"/>
      <c r="M463" s="257"/>
      <c r="N463" s="559">
        <f t="shared" si="1410"/>
        <v>5536.4000000000005</v>
      </c>
      <c r="O463" s="257">
        <f t="shared" ref="O463" si="1433">+N463*$X$1</f>
        <v>5536.4000000000005</v>
      </c>
      <c r="P463" s="559">
        <f t="shared" si="1412"/>
        <v>4976.4000000000005</v>
      </c>
      <c r="Q463" s="257">
        <f t="shared" ref="Q463" si="1434">+P463*$X$1</f>
        <v>4976.4000000000005</v>
      </c>
      <c r="R463" s="559">
        <f t="shared" si="1414"/>
        <v>4896.4000000000005</v>
      </c>
      <c r="S463" s="257">
        <f t="shared" ref="S463" si="1435">+R463*$X$1</f>
        <v>4896.4000000000005</v>
      </c>
      <c r="T463" s="559">
        <f t="shared" si="1416"/>
        <v>4396.4000000000005</v>
      </c>
      <c r="U463" s="257">
        <f t="shared" ref="U463" si="1436">+T463*$X$1</f>
        <v>4396.4000000000005</v>
      </c>
      <c r="V463" s="559">
        <f t="shared" si="1418"/>
        <v>4296.4000000000005</v>
      </c>
      <c r="W463" s="257">
        <f t="shared" ref="W463" si="1437">+V463*$X$1</f>
        <v>4296.4000000000005</v>
      </c>
      <c r="X463" s="149"/>
      <c r="Y463" s="122"/>
      <c r="Z463" s="122"/>
      <c r="AA463" s="125"/>
      <c r="AB463" s="365">
        <v>3023</v>
      </c>
    </row>
    <row r="464" spans="1:29" ht="12.6" customHeight="1" x14ac:dyDescent="0.2">
      <c r="A464" s="17"/>
      <c r="B464" s="642" t="s">
        <v>1018</v>
      </c>
      <c r="C464" s="643"/>
      <c r="D464" s="643"/>
      <c r="E464" s="644"/>
      <c r="F464" s="333">
        <f>3.08*X2</f>
        <v>4096.4000000000005</v>
      </c>
      <c r="G464" s="258">
        <f t="shared" ref="G464" si="1438">+F464*$X$1</f>
        <v>4096.4000000000005</v>
      </c>
      <c r="H464" s="576"/>
      <c r="I464" s="258"/>
      <c r="J464" s="82"/>
      <c r="K464" s="258"/>
      <c r="L464" s="576"/>
      <c r="M464" s="258"/>
      <c r="N464" s="576">
        <f t="shared" si="1410"/>
        <v>5536.4000000000005</v>
      </c>
      <c r="O464" s="258">
        <f t="shared" ref="O464" si="1439">+N464*$X$1</f>
        <v>5536.4000000000005</v>
      </c>
      <c r="P464" s="576">
        <f t="shared" si="1412"/>
        <v>4976.4000000000005</v>
      </c>
      <c r="Q464" s="258">
        <f t="shared" ref="Q464" si="1440">+P464*$X$1</f>
        <v>4976.4000000000005</v>
      </c>
      <c r="R464" s="576">
        <f t="shared" si="1414"/>
        <v>4896.4000000000005</v>
      </c>
      <c r="S464" s="258">
        <f t="shared" ref="S464" si="1441">+R464*$X$1</f>
        <v>4896.4000000000005</v>
      </c>
      <c r="T464" s="576">
        <f t="shared" si="1416"/>
        <v>4396.4000000000005</v>
      </c>
      <c r="U464" s="258">
        <f t="shared" ref="U464" si="1442">+T464*$X$1</f>
        <v>4396.4000000000005</v>
      </c>
      <c r="V464" s="576">
        <f t="shared" si="1418"/>
        <v>4296.4000000000005</v>
      </c>
      <c r="W464" s="258">
        <f t="shared" ref="W464" si="1443">+V464*$X$1</f>
        <v>4296.4000000000005</v>
      </c>
      <c r="X464" s="149"/>
      <c r="Y464" s="122"/>
      <c r="Z464" s="122"/>
      <c r="AA464" s="125"/>
      <c r="AB464" s="365">
        <v>3024</v>
      </c>
    </row>
    <row r="465" spans="1:35" ht="12.6" customHeight="1" x14ac:dyDescent="0.2">
      <c r="A465" s="17"/>
      <c r="B465" s="642" t="s">
        <v>1019</v>
      </c>
      <c r="C465" s="643"/>
      <c r="D465" s="643"/>
      <c r="E465" s="644"/>
      <c r="F465" s="333">
        <f>3.08*X2</f>
        <v>4096.4000000000005</v>
      </c>
      <c r="G465" s="257">
        <f t="shared" ref="G465" si="1444">+F465*$X$1</f>
        <v>4096.4000000000005</v>
      </c>
      <c r="H465" s="559"/>
      <c r="I465" s="257"/>
      <c r="J465" s="68"/>
      <c r="K465" s="257"/>
      <c r="L465" s="559"/>
      <c r="M465" s="257"/>
      <c r="N465" s="559">
        <f t="shared" si="1410"/>
        <v>5536.4000000000005</v>
      </c>
      <c r="O465" s="257">
        <f t="shared" ref="O465" si="1445">+N465*$X$1</f>
        <v>5536.4000000000005</v>
      </c>
      <c r="P465" s="559">
        <f t="shared" si="1412"/>
        <v>4976.4000000000005</v>
      </c>
      <c r="Q465" s="257">
        <f t="shared" ref="Q465" si="1446">+P465*$X$1</f>
        <v>4976.4000000000005</v>
      </c>
      <c r="R465" s="559">
        <f t="shared" si="1414"/>
        <v>4896.4000000000005</v>
      </c>
      <c r="S465" s="257">
        <f t="shared" ref="S465" si="1447">+R465*$X$1</f>
        <v>4896.4000000000005</v>
      </c>
      <c r="T465" s="559">
        <f t="shared" si="1416"/>
        <v>4396.4000000000005</v>
      </c>
      <c r="U465" s="257">
        <f t="shared" ref="U465" si="1448">+T465*$X$1</f>
        <v>4396.4000000000005</v>
      </c>
      <c r="V465" s="559">
        <f t="shared" si="1418"/>
        <v>4296.4000000000005</v>
      </c>
      <c r="W465" s="257">
        <f t="shared" ref="W465" si="1449">+V465*$X$1</f>
        <v>4296.4000000000005</v>
      </c>
      <c r="X465" s="149"/>
      <c r="Y465" s="122"/>
      <c r="Z465" s="122"/>
      <c r="AA465" s="125"/>
      <c r="AB465" s="365">
        <v>3025</v>
      </c>
    </row>
    <row r="466" spans="1:35" ht="12.6" customHeight="1" x14ac:dyDescent="0.2">
      <c r="A466" s="17"/>
      <c r="B466" s="642" t="s">
        <v>1026</v>
      </c>
      <c r="C466" s="643"/>
      <c r="D466" s="643"/>
      <c r="E466" s="644"/>
      <c r="F466" s="334">
        <f>3.08*X2</f>
        <v>4096.4000000000005</v>
      </c>
      <c r="G466" s="258">
        <f t="shared" ref="G466" si="1450">+F466*$X$1</f>
        <v>4096.4000000000005</v>
      </c>
      <c r="H466" s="576"/>
      <c r="I466" s="258"/>
      <c r="J466" s="82"/>
      <c r="K466" s="258"/>
      <c r="L466" s="576"/>
      <c r="M466" s="258"/>
      <c r="N466" s="576">
        <f t="shared" ref="N466" si="1451">F466+1440</f>
        <v>5536.4000000000005</v>
      </c>
      <c r="O466" s="258">
        <f t="shared" ref="O466" si="1452">+N466*$X$1</f>
        <v>5536.4000000000005</v>
      </c>
      <c r="P466" s="576">
        <f t="shared" ref="P466" si="1453">F466+880</f>
        <v>4976.4000000000005</v>
      </c>
      <c r="Q466" s="258">
        <f t="shared" ref="Q466" si="1454">+P466*$X$1</f>
        <v>4976.4000000000005</v>
      </c>
      <c r="R466" s="576">
        <f t="shared" ref="R466" si="1455">F466+800</f>
        <v>4896.4000000000005</v>
      </c>
      <c r="S466" s="258">
        <f t="shared" ref="S466" si="1456">+R466*$X$1</f>
        <v>4896.4000000000005</v>
      </c>
      <c r="T466" s="576">
        <f t="shared" ref="T466" si="1457">F466+300</f>
        <v>4396.4000000000005</v>
      </c>
      <c r="U466" s="258">
        <f t="shared" ref="U466" si="1458">+T466*$X$1</f>
        <v>4396.4000000000005</v>
      </c>
      <c r="V466" s="576">
        <f t="shared" ref="V466" si="1459">F466+200</f>
        <v>4296.4000000000005</v>
      </c>
      <c r="W466" s="258">
        <f t="shared" ref="W466" si="1460">+V466*$X$1</f>
        <v>4296.4000000000005</v>
      </c>
      <c r="X466" s="149"/>
      <c r="Y466" s="122"/>
      <c r="Z466" s="122"/>
      <c r="AA466" s="125"/>
      <c r="AB466" s="365">
        <v>3026</v>
      </c>
    </row>
    <row r="467" spans="1:35" ht="12.6" customHeight="1" x14ac:dyDescent="0.2">
      <c r="A467" s="94"/>
      <c r="B467" s="665" t="s">
        <v>725</v>
      </c>
      <c r="C467" s="666"/>
      <c r="D467" s="666"/>
      <c r="E467" s="666"/>
      <c r="F467" s="257">
        <v>4120</v>
      </c>
      <c r="G467" s="257">
        <f t="shared" ref="G467" si="1461">+F467*$X$1</f>
        <v>4120</v>
      </c>
      <c r="H467" s="252"/>
      <c r="I467" s="305"/>
      <c r="J467" s="559"/>
      <c r="K467" s="257"/>
      <c r="L467" s="559">
        <f>F467+1220</f>
        <v>5340</v>
      </c>
      <c r="M467" s="257">
        <f t="shared" ref="M467" si="1462">+L467*$X$1</f>
        <v>5340</v>
      </c>
      <c r="N467" s="559">
        <f>F467+1000</f>
        <v>5120</v>
      </c>
      <c r="O467" s="257">
        <f t="shared" ref="O467:O468" si="1463">+N467*$X$1</f>
        <v>5120</v>
      </c>
      <c r="P467" s="559">
        <f>F467+900</f>
        <v>5020</v>
      </c>
      <c r="Q467" s="257">
        <f t="shared" ref="Q467:Q468" si="1464">+P467*$X$1</f>
        <v>5020</v>
      </c>
      <c r="R467" s="559">
        <f>F467+850</f>
        <v>4970</v>
      </c>
      <c r="S467" s="257">
        <f t="shared" ref="S467" si="1465">+R467*$X$1</f>
        <v>4970</v>
      </c>
      <c r="T467" s="559">
        <f>F467+800</f>
        <v>4920</v>
      </c>
      <c r="U467" s="257">
        <f t="shared" ref="U467" si="1466">+T467*$X$1</f>
        <v>4920</v>
      </c>
      <c r="V467" s="559">
        <f>F467+780</f>
        <v>4900</v>
      </c>
      <c r="W467" s="257">
        <f t="shared" si="1408"/>
        <v>4900</v>
      </c>
      <c r="X467" s="197"/>
      <c r="Y467" s="199"/>
      <c r="Z467" s="199"/>
      <c r="AA467" s="198"/>
      <c r="AB467" s="353">
        <v>5003</v>
      </c>
      <c r="AC467" s="62"/>
    </row>
    <row r="468" spans="1:35" ht="12.6" customHeight="1" x14ac:dyDescent="0.2">
      <c r="A468" s="94"/>
      <c r="B468" s="713" t="s">
        <v>726</v>
      </c>
      <c r="C468" s="771"/>
      <c r="D468" s="771"/>
      <c r="E468" s="771"/>
      <c r="F468" s="258">
        <v>4120</v>
      </c>
      <c r="G468" s="258">
        <f t="shared" ref="G468" si="1467">+F468*$X$1</f>
        <v>4120</v>
      </c>
      <c r="H468" s="576">
        <f>F468+900</f>
        <v>5020</v>
      </c>
      <c r="I468" s="258">
        <f>+H468*$X$1</f>
        <v>5020</v>
      </c>
      <c r="J468" s="82">
        <f>F468+370</f>
        <v>4490</v>
      </c>
      <c r="K468" s="258">
        <f t="shared" ref="K468" si="1468">+J468*$X$1</f>
        <v>4490</v>
      </c>
      <c r="L468" s="576">
        <f>F468+310</f>
        <v>4430</v>
      </c>
      <c r="M468" s="258">
        <f t="shared" ref="M468" si="1469">+L468*$X$1</f>
        <v>4430</v>
      </c>
      <c r="N468" s="576">
        <f>F468+280</f>
        <v>4400</v>
      </c>
      <c r="O468" s="258">
        <f t="shared" si="1463"/>
        <v>4400</v>
      </c>
      <c r="P468" s="576">
        <f>F468+260</f>
        <v>4380</v>
      </c>
      <c r="Q468" s="258">
        <f t="shared" si="1464"/>
        <v>4380</v>
      </c>
      <c r="R468" s="576">
        <f>F468+240</f>
        <v>4360</v>
      </c>
      <c r="S468" s="258">
        <f t="shared" ref="S468" si="1470">+R468*$X$1</f>
        <v>4360</v>
      </c>
      <c r="T468" s="576">
        <f>F468+210</f>
        <v>4330</v>
      </c>
      <c r="U468" s="258">
        <f t="shared" ref="U468" si="1471">+T468*$X$1</f>
        <v>4330</v>
      </c>
      <c r="V468" s="576">
        <f>F468+180</f>
        <v>4300</v>
      </c>
      <c r="W468" s="258">
        <f t="shared" ref="W468" si="1472">+V468*$X$1</f>
        <v>4300</v>
      </c>
      <c r="X468" s="382"/>
      <c r="Y468" s="380"/>
      <c r="Z468" s="380"/>
      <c r="AA468" s="381"/>
      <c r="AB468" s="353" t="s">
        <v>636</v>
      </c>
      <c r="AC468" s="62"/>
    </row>
    <row r="469" spans="1:35" ht="12.6" customHeight="1" x14ac:dyDescent="0.2">
      <c r="A469" s="17"/>
      <c r="B469" s="672" t="s">
        <v>485</v>
      </c>
      <c r="C469" s="673"/>
      <c r="D469" s="673"/>
      <c r="E469" s="673"/>
      <c r="F469" s="257">
        <v>5531</v>
      </c>
      <c r="G469" s="257">
        <f t="shared" ref="G469:G474" si="1473">+F469*$X$1</f>
        <v>5531</v>
      </c>
      <c r="H469" s="252"/>
      <c r="I469" s="305"/>
      <c r="J469" s="559"/>
      <c r="K469" s="257"/>
      <c r="L469" s="559">
        <f>F469+1700</f>
        <v>7231</v>
      </c>
      <c r="M469" s="257">
        <f t="shared" ref="M469" si="1474">+L469*$X$1</f>
        <v>7231</v>
      </c>
      <c r="N469" s="559">
        <f>F469+1370</f>
        <v>6901</v>
      </c>
      <c r="O469" s="257">
        <f t="shared" ref="O469" si="1475">+N469*$X$1</f>
        <v>6901</v>
      </c>
      <c r="P469" s="559">
        <f>F469+1150</f>
        <v>6681</v>
      </c>
      <c r="Q469" s="257">
        <f t="shared" ref="Q469" si="1476">+P469*$X$1</f>
        <v>6681</v>
      </c>
      <c r="R469" s="559">
        <f>F469+1110</f>
        <v>6641</v>
      </c>
      <c r="S469" s="257">
        <f>+R469*$X$1</f>
        <v>6641</v>
      </c>
      <c r="T469" s="559">
        <f>F469+1070</f>
        <v>6601</v>
      </c>
      <c r="U469" s="257">
        <f>+T469*$X$1</f>
        <v>6601</v>
      </c>
      <c r="V469" s="559"/>
      <c r="W469" s="257"/>
      <c r="X469" s="792"/>
      <c r="Y469" s="793"/>
      <c r="Z469" s="793"/>
      <c r="AA469" s="794"/>
      <c r="AB469" s="178">
        <v>5008</v>
      </c>
      <c r="AC469" s="35"/>
      <c r="AD469" s="35"/>
      <c r="AE469" s="35"/>
      <c r="AF469" s="35"/>
      <c r="AG469" s="35"/>
      <c r="AH469" s="35"/>
      <c r="AI469" s="35"/>
    </row>
    <row r="470" spans="1:35" ht="12.6" customHeight="1" x14ac:dyDescent="0.2">
      <c r="A470" s="17"/>
      <c r="B470" s="687" t="s">
        <v>486</v>
      </c>
      <c r="C470" s="688"/>
      <c r="D470" s="688"/>
      <c r="E470" s="689"/>
      <c r="F470" s="258">
        <v>7450</v>
      </c>
      <c r="G470" s="258">
        <f t="shared" si="1473"/>
        <v>7450</v>
      </c>
      <c r="H470" s="251"/>
      <c r="I470" s="306"/>
      <c r="J470" s="576"/>
      <c r="K470" s="258"/>
      <c r="L470" s="576">
        <f>F470+1700</f>
        <v>9150</v>
      </c>
      <c r="M470" s="258">
        <f t="shared" ref="M470:M472" si="1477">+L470*$X$1</f>
        <v>9150</v>
      </c>
      <c r="N470" s="576">
        <f>F470+1370</f>
        <v>8820</v>
      </c>
      <c r="O470" s="258">
        <f t="shared" ref="O470:O472" si="1478">+N470*$X$1</f>
        <v>8820</v>
      </c>
      <c r="P470" s="576">
        <f>F470+1150</f>
        <v>8600</v>
      </c>
      <c r="Q470" s="258">
        <f t="shared" ref="Q470:Q472" si="1479">+P470*$X$1</f>
        <v>8600</v>
      </c>
      <c r="R470" s="576">
        <f>F470+1110</f>
        <v>8560</v>
      </c>
      <c r="S470" s="258">
        <f>+R470*$X$1</f>
        <v>8560</v>
      </c>
      <c r="T470" s="576">
        <f>F470+1070</f>
        <v>8520</v>
      </c>
      <c r="U470" s="258">
        <f>+T470*$X$1</f>
        <v>8520</v>
      </c>
      <c r="V470" s="576"/>
      <c r="W470" s="258"/>
      <c r="X470" s="792"/>
      <c r="Y470" s="793"/>
      <c r="Z470" s="793"/>
      <c r="AA470" s="794"/>
      <c r="AB470" s="365">
        <v>5010</v>
      </c>
      <c r="AC470" s="35"/>
      <c r="AD470" s="35"/>
      <c r="AE470" s="35"/>
      <c r="AF470" s="35"/>
      <c r="AG470" s="35"/>
      <c r="AH470" s="35"/>
      <c r="AI470" s="35"/>
    </row>
    <row r="471" spans="1:35" ht="12.6" customHeight="1" x14ac:dyDescent="0.2">
      <c r="A471" s="17"/>
      <c r="B471" s="678" t="s">
        <v>487</v>
      </c>
      <c r="C471" s="679"/>
      <c r="D471" s="679"/>
      <c r="E471" s="680"/>
      <c r="F471" s="257">
        <v>4200</v>
      </c>
      <c r="G471" s="257">
        <f t="shared" ref="G471" si="1480">+F471*$X$1</f>
        <v>4200</v>
      </c>
      <c r="H471" s="252"/>
      <c r="I471" s="305"/>
      <c r="J471" s="559"/>
      <c r="K471" s="257"/>
      <c r="L471" s="559">
        <f>F471+1700</f>
        <v>5900</v>
      </c>
      <c r="M471" s="257">
        <f t="shared" si="1477"/>
        <v>5900</v>
      </c>
      <c r="N471" s="559">
        <f>F471+1370</f>
        <v>5570</v>
      </c>
      <c r="O471" s="257">
        <f t="shared" si="1478"/>
        <v>5570</v>
      </c>
      <c r="P471" s="559">
        <f>F471+1150</f>
        <v>5350</v>
      </c>
      <c r="Q471" s="257">
        <f t="shared" si="1479"/>
        <v>5350</v>
      </c>
      <c r="R471" s="559">
        <f>F471+1110</f>
        <v>5310</v>
      </c>
      <c r="S471" s="257">
        <f>+R471*$X$1</f>
        <v>5310</v>
      </c>
      <c r="T471" s="559">
        <f>F471+1070</f>
        <v>5270</v>
      </c>
      <c r="U471" s="257">
        <f>+T471*$X$1</f>
        <v>5270</v>
      </c>
      <c r="V471" s="559"/>
      <c r="W471" s="257"/>
      <c r="X471" s="792"/>
      <c r="Y471" s="793"/>
      <c r="Z471" s="793"/>
      <c r="AA471" s="794"/>
      <c r="AB471" s="365"/>
      <c r="AC471" s="35"/>
      <c r="AD471" s="35"/>
      <c r="AE471" s="35"/>
      <c r="AF471" s="35"/>
      <c r="AG471" s="35"/>
      <c r="AH471" s="35"/>
      <c r="AI471" s="35"/>
    </row>
    <row r="472" spans="1:35" ht="12.6" customHeight="1" x14ac:dyDescent="0.2">
      <c r="A472" s="17"/>
      <c r="B472" s="687" t="s">
        <v>488</v>
      </c>
      <c r="C472" s="688"/>
      <c r="D472" s="688"/>
      <c r="E472" s="689"/>
      <c r="F472" s="258">
        <v>6231</v>
      </c>
      <c r="G472" s="258">
        <f t="shared" ref="G472:G475" si="1481">+F472*$X$1</f>
        <v>6231</v>
      </c>
      <c r="H472" s="251"/>
      <c r="I472" s="306"/>
      <c r="J472" s="576"/>
      <c r="K472" s="258"/>
      <c r="L472" s="576">
        <f>F472+1700</f>
        <v>7931</v>
      </c>
      <c r="M472" s="258">
        <f t="shared" si="1477"/>
        <v>7931</v>
      </c>
      <c r="N472" s="576">
        <f>F472+1370</f>
        <v>7601</v>
      </c>
      <c r="O472" s="258">
        <f t="shared" si="1478"/>
        <v>7601</v>
      </c>
      <c r="P472" s="576">
        <f>F472+1150</f>
        <v>7381</v>
      </c>
      <c r="Q472" s="258">
        <f t="shared" si="1479"/>
        <v>7381</v>
      </c>
      <c r="R472" s="576">
        <f>F472+1110</f>
        <v>7341</v>
      </c>
      <c r="S472" s="258">
        <f>+R472*$X$1</f>
        <v>7341</v>
      </c>
      <c r="T472" s="576">
        <f>F472+1070</f>
        <v>7301</v>
      </c>
      <c r="U472" s="258">
        <f>+T472*$X$1</f>
        <v>7301</v>
      </c>
      <c r="V472" s="576"/>
      <c r="W472" s="258"/>
      <c r="X472" s="792"/>
      <c r="Y472" s="793"/>
      <c r="Z472" s="793"/>
      <c r="AA472" s="794"/>
      <c r="AB472" s="365"/>
      <c r="AC472" s="35"/>
      <c r="AD472" s="35"/>
      <c r="AE472" s="35"/>
      <c r="AF472" s="35"/>
      <c r="AG472" s="35"/>
      <c r="AH472" s="35"/>
      <c r="AI472" s="35"/>
    </row>
    <row r="473" spans="1:35" ht="12.6" customHeight="1" x14ac:dyDescent="0.2">
      <c r="A473" s="17"/>
      <c r="B473" s="672" t="s">
        <v>763</v>
      </c>
      <c r="C473" s="684"/>
      <c r="D473" s="684"/>
      <c r="E473" s="684"/>
      <c r="F473" s="294">
        <v>2100</v>
      </c>
      <c r="G473" s="257">
        <f t="shared" si="1481"/>
        <v>2100</v>
      </c>
      <c r="H473" s="252"/>
      <c r="I473" s="305"/>
      <c r="J473" s="68">
        <f t="shared" ref="J473" si="1482">F473+220</f>
        <v>2320</v>
      </c>
      <c r="K473" s="257">
        <f t="shared" ref="K473" si="1483">+J473*$X$1</f>
        <v>2320</v>
      </c>
      <c r="L473" s="559">
        <f t="shared" ref="L473" si="1484">F473+150</f>
        <v>2250</v>
      </c>
      <c r="M473" s="257">
        <f t="shared" ref="M473" si="1485">+L473*$X$1</f>
        <v>2250</v>
      </c>
      <c r="N473" s="559">
        <f t="shared" ref="N473" si="1486">F473+110</f>
        <v>2210</v>
      </c>
      <c r="O473" s="257">
        <f t="shared" ref="O473" si="1487">+N473*$X$1</f>
        <v>2210</v>
      </c>
      <c r="P473" s="559">
        <f t="shared" ref="P473" si="1488">F473+100</f>
        <v>2200</v>
      </c>
      <c r="Q473" s="257">
        <f t="shared" ref="Q473" si="1489">+P473*$X$1</f>
        <v>2200</v>
      </c>
      <c r="R473" s="559">
        <f t="shared" ref="R473" si="1490">F473+80</f>
        <v>2180</v>
      </c>
      <c r="S473" s="257">
        <f t="shared" ref="S473" si="1491">+R473*$X$1</f>
        <v>2180</v>
      </c>
      <c r="T473" s="559">
        <f t="shared" ref="T473" si="1492">F473+65</f>
        <v>2165</v>
      </c>
      <c r="U473" s="257">
        <f t="shared" ref="U473" si="1493">+T473*$X$1</f>
        <v>2165</v>
      </c>
      <c r="V473" s="559">
        <f t="shared" ref="V473" si="1494">F473+56</f>
        <v>2156</v>
      </c>
      <c r="W473" s="257">
        <f t="shared" ref="W473" si="1495">+V473*$X$1</f>
        <v>2156</v>
      </c>
      <c r="X473" s="720"/>
      <c r="Y473" s="721"/>
      <c r="Z473" s="721"/>
      <c r="AA473" s="722"/>
      <c r="AB473" s="365">
        <v>11604</v>
      </c>
    </row>
    <row r="474" spans="1:35" ht="12.6" customHeight="1" x14ac:dyDescent="0.2">
      <c r="A474" s="17"/>
      <c r="B474" s="667" t="s">
        <v>484</v>
      </c>
      <c r="C474" s="737"/>
      <c r="D474" s="737"/>
      <c r="E474" s="737"/>
      <c r="F474" s="293">
        <v>2100</v>
      </c>
      <c r="G474" s="258">
        <f t="shared" si="1473"/>
        <v>2100</v>
      </c>
      <c r="H474" s="251"/>
      <c r="I474" s="306"/>
      <c r="J474" s="576">
        <f>F474+330</f>
        <v>2430</v>
      </c>
      <c r="K474" s="258">
        <f t="shared" ref="K474" si="1496">+J474*$X$1</f>
        <v>2430</v>
      </c>
      <c r="L474" s="576">
        <f>F474+270</f>
        <v>2370</v>
      </c>
      <c r="M474" s="258">
        <f>+L474*$X$1</f>
        <v>2370</v>
      </c>
      <c r="N474" s="576">
        <f>F474+220</f>
        <v>2320</v>
      </c>
      <c r="O474" s="258">
        <f>+N474*$X$1</f>
        <v>2320</v>
      </c>
      <c r="P474" s="576">
        <f>F474+190</f>
        <v>2290</v>
      </c>
      <c r="Q474" s="258">
        <f t="shared" ref="Q474" si="1497">+P474*$X$1</f>
        <v>2290</v>
      </c>
      <c r="R474" s="576">
        <f>F474+170</f>
        <v>2270</v>
      </c>
      <c r="S474" s="258">
        <f>+R474*$X$1</f>
        <v>2270</v>
      </c>
      <c r="T474" s="576">
        <f>F474+140</f>
        <v>2240</v>
      </c>
      <c r="U474" s="258">
        <f t="shared" ref="U474" si="1498">+T474*$X$1</f>
        <v>2240</v>
      </c>
      <c r="V474" s="576">
        <f>F474+130</f>
        <v>2230</v>
      </c>
      <c r="W474" s="258">
        <f>+V474*$X$1</f>
        <v>2230</v>
      </c>
      <c r="X474" s="720"/>
      <c r="Y474" s="721"/>
      <c r="Z474" s="721"/>
      <c r="AA474" s="722"/>
      <c r="AB474" s="365">
        <v>11605</v>
      </c>
    </row>
    <row r="475" spans="1:35" ht="12.6" customHeight="1" x14ac:dyDescent="0.2">
      <c r="A475" s="17"/>
      <c r="B475" s="672" t="s">
        <v>762</v>
      </c>
      <c r="C475" s="684"/>
      <c r="D475" s="684"/>
      <c r="E475" s="684"/>
      <c r="F475" s="294">
        <v>950</v>
      </c>
      <c r="G475" s="257">
        <f t="shared" si="1481"/>
        <v>950</v>
      </c>
      <c r="H475" s="252"/>
      <c r="I475" s="252"/>
      <c r="J475" s="559"/>
      <c r="K475" s="257"/>
      <c r="L475" s="559"/>
      <c r="M475" s="257"/>
      <c r="N475" s="559"/>
      <c r="O475" s="257"/>
      <c r="P475" s="559"/>
      <c r="Q475" s="257"/>
      <c r="R475" s="559"/>
      <c r="S475" s="257"/>
      <c r="T475" s="559"/>
      <c r="U475" s="637"/>
      <c r="V475" s="559"/>
      <c r="W475" s="637"/>
      <c r="X475" s="720"/>
      <c r="Y475" s="721"/>
      <c r="Z475" s="721"/>
      <c r="AA475" s="722"/>
      <c r="AB475" s="368"/>
    </row>
    <row r="476" spans="1:35" ht="12.6" customHeight="1" x14ac:dyDescent="0.2">
      <c r="A476" s="17"/>
      <c r="B476" s="496"/>
      <c r="C476" s="497"/>
      <c r="D476" s="497"/>
      <c r="E476" s="497"/>
      <c r="F476" s="376"/>
      <c r="G476" s="298"/>
      <c r="H476" s="106"/>
      <c r="I476" s="298"/>
      <c r="J476" s="106"/>
      <c r="K476" s="298"/>
      <c r="L476" s="106"/>
      <c r="M476" s="298"/>
      <c r="N476" s="106"/>
      <c r="O476" s="298"/>
      <c r="P476" s="106"/>
      <c r="Q476" s="298"/>
      <c r="R476" s="106"/>
      <c r="S476" s="298"/>
      <c r="T476" s="106"/>
      <c r="U476" s="298"/>
      <c r="V476" s="106"/>
      <c r="W476" s="298"/>
      <c r="X476" s="505"/>
      <c r="Y476" s="71"/>
      <c r="Z476" s="71"/>
      <c r="AA476" s="71"/>
      <c r="AB476" s="504"/>
    </row>
    <row r="477" spans="1:35" ht="12.6" customHeight="1" x14ac:dyDescent="0.2">
      <c r="A477" s="17"/>
      <c r="B477" s="496"/>
      <c r="C477" s="497"/>
      <c r="D477" s="497"/>
      <c r="E477" s="497"/>
      <c r="F477" s="376"/>
      <c r="G477" s="298"/>
      <c r="H477" s="106"/>
      <c r="I477" s="298"/>
      <c r="J477" s="106"/>
      <c r="K477" s="298"/>
      <c r="L477" s="106"/>
      <c r="M477" s="298"/>
      <c r="N477" s="106"/>
      <c r="O477" s="298"/>
      <c r="P477" s="106"/>
      <c r="Q477" s="298"/>
      <c r="R477" s="106"/>
      <c r="S477" s="298"/>
      <c r="T477" s="106"/>
      <c r="U477" s="298"/>
      <c r="V477" s="106"/>
      <c r="W477" s="298"/>
      <c r="X477" s="505"/>
      <c r="Y477" s="71"/>
      <c r="Z477" s="71"/>
      <c r="AA477" s="71"/>
      <c r="AB477" s="504"/>
    </row>
    <row r="478" spans="1:35" ht="12.6" customHeight="1" x14ac:dyDescent="0.2">
      <c r="A478" s="17"/>
      <c r="B478" s="496"/>
      <c r="C478" s="497"/>
      <c r="D478" s="497"/>
      <c r="E478" s="497"/>
      <c r="F478" s="376"/>
      <c r="G478" s="298"/>
      <c r="H478" s="106"/>
      <c r="I478" s="298"/>
      <c r="J478" s="106"/>
      <c r="K478" s="298"/>
      <c r="L478" s="106"/>
      <c r="M478" s="298"/>
      <c r="N478" s="106"/>
      <c r="O478" s="298"/>
      <c r="P478" s="106"/>
      <c r="Q478" s="298"/>
      <c r="R478" s="106"/>
      <c r="S478" s="298"/>
      <c r="T478" s="106"/>
      <c r="U478" s="298"/>
      <c r="V478" s="106"/>
      <c r="W478" s="298"/>
      <c r="X478" s="505"/>
      <c r="Y478" s="71"/>
      <c r="Z478" s="71"/>
      <c r="AA478" s="71"/>
      <c r="AB478" s="504"/>
    </row>
    <row r="479" spans="1:35" ht="15.75" customHeight="1" x14ac:dyDescent="0.2">
      <c r="A479" s="17"/>
      <c r="B479" s="796" t="s">
        <v>11</v>
      </c>
      <c r="C479" s="765" t="s">
        <v>12</v>
      </c>
      <c r="D479" s="766"/>
      <c r="E479" s="766"/>
      <c r="F479" s="649" t="s">
        <v>13</v>
      </c>
      <c r="G479" s="649" t="s">
        <v>13</v>
      </c>
      <c r="H479" s="651" t="s">
        <v>742</v>
      </c>
      <c r="I479" s="651"/>
      <c r="J479" s="652"/>
      <c r="K479" s="652"/>
      <c r="L479" s="652"/>
      <c r="M479" s="652"/>
      <c r="N479" s="652"/>
      <c r="O479" s="652"/>
      <c r="P479" s="652"/>
      <c r="Q479" s="652"/>
      <c r="R479" s="652"/>
      <c r="S479" s="652"/>
      <c r="T479" s="652"/>
      <c r="U479" s="652"/>
      <c r="V479" s="652"/>
      <c r="W479" s="652"/>
      <c r="X479" s="786" t="s">
        <v>14</v>
      </c>
      <c r="Y479" s="786"/>
      <c r="Z479" s="786"/>
      <c r="AA479" s="786"/>
      <c r="AB479" s="664" t="s">
        <v>15</v>
      </c>
      <c r="AE479" s="61"/>
      <c r="AF479" s="640" t="s">
        <v>3</v>
      </c>
      <c r="AG479" s="641"/>
      <c r="AH479" s="641"/>
    </row>
    <row r="480" spans="1:35" ht="12" customHeight="1" x14ac:dyDescent="0.2">
      <c r="A480" s="17"/>
      <c r="B480" s="796"/>
      <c r="C480" s="766"/>
      <c r="D480" s="766"/>
      <c r="E480" s="766"/>
      <c r="F480" s="650"/>
      <c r="G480" s="650"/>
      <c r="H480" s="421"/>
      <c r="I480" s="413" t="s">
        <v>267</v>
      </c>
      <c r="J480" s="415"/>
      <c r="K480" s="413" t="s">
        <v>17</v>
      </c>
      <c r="L480" s="416"/>
      <c r="M480" s="416" t="s">
        <v>18</v>
      </c>
      <c r="N480" s="416"/>
      <c r="O480" s="413" t="s">
        <v>19</v>
      </c>
      <c r="P480" s="416"/>
      <c r="Q480" s="416" t="s">
        <v>268</v>
      </c>
      <c r="R480" s="416"/>
      <c r="S480" s="416" t="s">
        <v>20</v>
      </c>
      <c r="T480" s="416"/>
      <c r="U480" s="416" t="s">
        <v>21</v>
      </c>
      <c r="V480" s="416"/>
      <c r="W480" s="416" t="s">
        <v>22</v>
      </c>
      <c r="X480" s="786"/>
      <c r="Y480" s="786"/>
      <c r="Z480" s="786"/>
      <c r="AA480" s="786"/>
      <c r="AB480" s="664"/>
    </row>
    <row r="481" spans="1:29" ht="12.6" customHeight="1" x14ac:dyDescent="0.2">
      <c r="A481" s="17"/>
      <c r="B481" s="667" t="s">
        <v>234</v>
      </c>
      <c r="C481" s="737"/>
      <c r="D481" s="737"/>
      <c r="E481" s="737"/>
      <c r="F481" s="258">
        <v>1090</v>
      </c>
      <c r="G481" s="258">
        <f>+F481*$X$1</f>
        <v>1090</v>
      </c>
      <c r="H481" s="251"/>
      <c r="I481" s="251"/>
      <c r="J481" s="82">
        <f t="shared" ref="J481" si="1499">F481+220</f>
        <v>1310</v>
      </c>
      <c r="K481" s="258">
        <f t="shared" ref="K481" si="1500">+J481*$X$1</f>
        <v>1310</v>
      </c>
      <c r="L481" s="576">
        <f t="shared" ref="L481" si="1501">F481+150</f>
        <v>1240</v>
      </c>
      <c r="M481" s="258">
        <f t="shared" ref="M481" si="1502">+L481*$X$1</f>
        <v>1240</v>
      </c>
      <c r="N481" s="576">
        <f t="shared" ref="N481" si="1503">F481+110</f>
        <v>1200</v>
      </c>
      <c r="O481" s="258">
        <f t="shared" ref="O481" si="1504">+N481*$X$1</f>
        <v>1200</v>
      </c>
      <c r="P481" s="576">
        <f t="shared" ref="P481" si="1505">F481+100</f>
        <v>1190</v>
      </c>
      <c r="Q481" s="258">
        <f t="shared" ref="Q481" si="1506">+P481*$X$1</f>
        <v>1190</v>
      </c>
      <c r="R481" s="576">
        <f t="shared" ref="R481" si="1507">F481+80</f>
        <v>1170</v>
      </c>
      <c r="S481" s="258">
        <f t="shared" ref="S481" si="1508">+R481*$X$1</f>
        <v>1170</v>
      </c>
      <c r="T481" s="576">
        <f t="shared" ref="T481" si="1509">F481+65</f>
        <v>1155</v>
      </c>
      <c r="U481" s="258">
        <f t="shared" ref="U481" si="1510">+T481*$X$1</f>
        <v>1155</v>
      </c>
      <c r="V481" s="576">
        <f t="shared" ref="V481" si="1511">F481+56</f>
        <v>1146</v>
      </c>
      <c r="W481" s="258">
        <f t="shared" ref="W481" si="1512">+V481*$X$1</f>
        <v>1146</v>
      </c>
      <c r="X481" s="138"/>
      <c r="Y481" s="119"/>
      <c r="Z481" s="119"/>
      <c r="AA481" s="119"/>
      <c r="AB481" s="369"/>
    </row>
    <row r="482" spans="1:29" ht="12.6" customHeight="1" x14ac:dyDescent="0.2">
      <c r="A482" s="94"/>
      <c r="B482" s="709" t="s">
        <v>235</v>
      </c>
      <c r="C482" s="1162"/>
      <c r="D482" s="1162"/>
      <c r="E482" s="1162"/>
      <c r="F482" s="469">
        <v>70</v>
      </c>
      <c r="G482" s="469">
        <f>+F482*$X$1</f>
        <v>70</v>
      </c>
      <c r="H482" s="532"/>
      <c r="I482" s="532"/>
      <c r="J482" s="532"/>
      <c r="K482" s="532"/>
      <c r="L482" s="532"/>
      <c r="M482" s="532"/>
      <c r="N482" s="532"/>
      <c r="O482" s="469"/>
      <c r="P482" s="532"/>
      <c r="Q482" s="469"/>
      <c r="R482" s="532"/>
      <c r="S482" s="469"/>
      <c r="T482" s="532"/>
      <c r="U482" s="469"/>
      <c r="V482" s="532"/>
      <c r="W482" s="469"/>
      <c r="X482" s="138"/>
      <c r="Y482" s="119"/>
      <c r="Z482" s="119"/>
      <c r="AA482" s="119"/>
      <c r="AB482" s="178">
        <v>11612</v>
      </c>
    </row>
    <row r="483" spans="1:29" ht="12.6" customHeight="1" x14ac:dyDescent="0.2">
      <c r="A483" s="17"/>
      <c r="B483" s="642" t="s">
        <v>979</v>
      </c>
      <c r="C483" s="662"/>
      <c r="D483" s="662"/>
      <c r="E483" s="663"/>
      <c r="F483" s="334">
        <f>3.4*X2</f>
        <v>4522</v>
      </c>
      <c r="G483" s="258">
        <f>+F483*$X$1</f>
        <v>4522</v>
      </c>
      <c r="H483" s="576">
        <f>F483+650</f>
        <v>5172</v>
      </c>
      <c r="I483" s="258">
        <f t="shared" ref="I483" si="1513">+H483*$X$1</f>
        <v>5172</v>
      </c>
      <c r="J483" s="576">
        <f>F483+230</f>
        <v>4752</v>
      </c>
      <c r="K483" s="258">
        <f t="shared" ref="K483" si="1514">+J483*$X$1</f>
        <v>4752</v>
      </c>
      <c r="L483" s="576">
        <f>F483+190</f>
        <v>4712</v>
      </c>
      <c r="M483" s="258">
        <f t="shared" ref="M483" si="1515">+L483*$X$1</f>
        <v>4712</v>
      </c>
      <c r="N483" s="576">
        <f>F483+150</f>
        <v>4672</v>
      </c>
      <c r="O483" s="258">
        <f t="shared" ref="O483" si="1516">+N483*$X$1</f>
        <v>4672</v>
      </c>
      <c r="P483" s="576">
        <f>F483+130</f>
        <v>4652</v>
      </c>
      <c r="Q483" s="258">
        <f t="shared" ref="Q483" si="1517">+P483*$X$1</f>
        <v>4652</v>
      </c>
      <c r="R483" s="576">
        <f>F483+110</f>
        <v>4632</v>
      </c>
      <c r="S483" s="258">
        <f t="shared" ref="S483" si="1518">+R483*$X$1</f>
        <v>4632</v>
      </c>
      <c r="T483" s="576">
        <f>F483+90</f>
        <v>4612</v>
      </c>
      <c r="U483" s="258">
        <f t="shared" ref="U483" si="1519">+T483*$X$1</f>
        <v>4612</v>
      </c>
      <c r="V483" s="576">
        <f>F483+70</f>
        <v>4592</v>
      </c>
      <c r="W483" s="258">
        <f t="shared" ref="W483" si="1520">+V483*$X$1</f>
        <v>4592</v>
      </c>
      <c r="X483" s="677"/>
      <c r="Y483" s="675"/>
      <c r="Z483" s="675"/>
      <c r="AA483" s="676"/>
      <c r="AB483" s="178" t="s">
        <v>981</v>
      </c>
    </row>
    <row r="484" spans="1:29" ht="12.6" customHeight="1" x14ac:dyDescent="0.2">
      <c r="A484" s="17"/>
      <c r="B484" s="678" t="s">
        <v>759</v>
      </c>
      <c r="C484" s="679"/>
      <c r="D484" s="679"/>
      <c r="E484" s="680"/>
      <c r="F484" s="333">
        <f>1.28*X2</f>
        <v>1702.4</v>
      </c>
      <c r="G484" s="257">
        <f t="shared" ref="G484" si="1521">+F484*$X$1</f>
        <v>1702.4</v>
      </c>
      <c r="H484" s="559">
        <f t="shared" ref="H484" si="1522">F484+600</f>
        <v>2302.4</v>
      </c>
      <c r="I484" s="257">
        <f t="shared" ref="I484" si="1523">+H484*$X$1</f>
        <v>2302.4</v>
      </c>
      <c r="J484" s="559">
        <f t="shared" ref="J484" si="1524">F484+200</f>
        <v>1902.4</v>
      </c>
      <c r="K484" s="257">
        <f t="shared" ref="K484" si="1525">+J484*$X$1</f>
        <v>1902.4</v>
      </c>
      <c r="L484" s="559">
        <f>F484+150</f>
        <v>1852.4</v>
      </c>
      <c r="M484" s="257">
        <f t="shared" ref="M484" si="1526">+L484*$X$1</f>
        <v>1852.4</v>
      </c>
      <c r="N484" s="559">
        <f>F484+110</f>
        <v>1812.4</v>
      </c>
      <c r="O484" s="257">
        <f>+N484*$X$1</f>
        <v>1812.4</v>
      </c>
      <c r="P484" s="559">
        <f>F484+90</f>
        <v>1792.4</v>
      </c>
      <c r="Q484" s="257">
        <f t="shared" ref="Q484" si="1527">+P484*$X$1</f>
        <v>1792.4</v>
      </c>
      <c r="R484" s="559">
        <f>F484+70</f>
        <v>1772.4</v>
      </c>
      <c r="S484" s="257">
        <f>+R484*$X$1</f>
        <v>1772.4</v>
      </c>
      <c r="T484" s="559">
        <f>F484+56</f>
        <v>1758.4</v>
      </c>
      <c r="U484" s="257">
        <f t="shared" ref="U484" si="1528">+T484*$X$1</f>
        <v>1758.4</v>
      </c>
      <c r="V484" s="559">
        <f>F484+49</f>
        <v>1751.4</v>
      </c>
      <c r="W484" s="257">
        <f t="shared" ref="W484" si="1529">+V484*$X$1</f>
        <v>1751.4</v>
      </c>
      <c r="X484" s="677"/>
      <c r="Y484" s="675"/>
      <c r="Z484" s="675"/>
      <c r="AA484" s="676"/>
      <c r="AB484" s="178" t="s">
        <v>471</v>
      </c>
    </row>
    <row r="485" spans="1:29" ht="12.6" customHeight="1" x14ac:dyDescent="0.2">
      <c r="A485" s="17"/>
      <c r="B485" s="642" t="s">
        <v>965</v>
      </c>
      <c r="C485" s="662"/>
      <c r="D485" s="662"/>
      <c r="E485" s="663"/>
      <c r="F485" s="334">
        <f>1.71*X2</f>
        <v>2274.2999999999997</v>
      </c>
      <c r="G485" s="258">
        <f>+F485*$X$1</f>
        <v>2274.2999999999997</v>
      </c>
      <c r="H485" s="576">
        <f t="shared" ref="H485" si="1530">F485+600</f>
        <v>2874.2999999999997</v>
      </c>
      <c r="I485" s="258">
        <f t="shared" ref="I485:I487" si="1531">+H485*$X$1</f>
        <v>2874.2999999999997</v>
      </c>
      <c r="J485" s="576">
        <f t="shared" ref="J485" si="1532">F485+200</f>
        <v>2474.2999999999997</v>
      </c>
      <c r="K485" s="258">
        <f t="shared" ref="K485:K487" si="1533">+J485*$X$1</f>
        <v>2474.2999999999997</v>
      </c>
      <c r="L485" s="576">
        <f>F485+150</f>
        <v>2424.2999999999997</v>
      </c>
      <c r="M485" s="258">
        <f t="shared" ref="M485:M487" si="1534">+L485*$X$1</f>
        <v>2424.2999999999997</v>
      </c>
      <c r="N485" s="576">
        <f>F485+110</f>
        <v>2384.2999999999997</v>
      </c>
      <c r="O485" s="258">
        <f>+N485*$X$1</f>
        <v>2384.2999999999997</v>
      </c>
      <c r="P485" s="576">
        <f>F485+90</f>
        <v>2364.2999999999997</v>
      </c>
      <c r="Q485" s="258">
        <f t="shared" ref="Q485:Q487" si="1535">+P485*$X$1</f>
        <v>2364.2999999999997</v>
      </c>
      <c r="R485" s="576">
        <f>F485+70</f>
        <v>2344.2999999999997</v>
      </c>
      <c r="S485" s="258">
        <f>+R485*$X$1</f>
        <v>2344.2999999999997</v>
      </c>
      <c r="T485" s="576">
        <f>F485+56</f>
        <v>2330.2999999999997</v>
      </c>
      <c r="U485" s="258">
        <f t="shared" ref="U485:U487" si="1536">+T485*$X$1</f>
        <v>2330.2999999999997</v>
      </c>
      <c r="V485" s="576">
        <f>F485+49</f>
        <v>2323.2999999999997</v>
      </c>
      <c r="W485" s="258">
        <f t="shared" ref="W485:W487" si="1537">+V485*$X$1</f>
        <v>2323.2999999999997</v>
      </c>
      <c r="X485" s="677"/>
      <c r="Y485" s="675"/>
      <c r="Z485" s="675"/>
      <c r="AA485" s="676"/>
      <c r="AB485" s="178" t="s">
        <v>964</v>
      </c>
    </row>
    <row r="486" spans="1:29" ht="12.6" customHeight="1" x14ac:dyDescent="0.2">
      <c r="A486" s="17"/>
      <c r="B486" s="642" t="s">
        <v>980</v>
      </c>
      <c r="C486" s="662"/>
      <c r="D486" s="662"/>
      <c r="E486" s="663"/>
      <c r="F486" s="333">
        <f>3.4*X2</f>
        <v>4522</v>
      </c>
      <c r="G486" s="257">
        <f>+F486*$X$1</f>
        <v>4522</v>
      </c>
      <c r="H486" s="559">
        <f>F486+650</f>
        <v>5172</v>
      </c>
      <c r="I486" s="257">
        <f t="shared" ref="I486" si="1538">+H486*$X$1</f>
        <v>5172</v>
      </c>
      <c r="J486" s="559">
        <f>F486+230</f>
        <v>4752</v>
      </c>
      <c r="K486" s="257">
        <f t="shared" ref="K486" si="1539">+J486*$X$1</f>
        <v>4752</v>
      </c>
      <c r="L486" s="559">
        <f>F486+190</f>
        <v>4712</v>
      </c>
      <c r="M486" s="257">
        <f t="shared" ref="M486" si="1540">+L486*$X$1</f>
        <v>4712</v>
      </c>
      <c r="N486" s="559">
        <f>F486+150</f>
        <v>4672</v>
      </c>
      <c r="O486" s="257">
        <f t="shared" ref="O486" si="1541">+N486*$X$1</f>
        <v>4672</v>
      </c>
      <c r="P486" s="559">
        <f>F486+130</f>
        <v>4652</v>
      </c>
      <c r="Q486" s="257">
        <f t="shared" ref="Q486" si="1542">+P486*$X$1</f>
        <v>4652</v>
      </c>
      <c r="R486" s="559">
        <f>F486+110</f>
        <v>4632</v>
      </c>
      <c r="S486" s="257">
        <f t="shared" ref="S486" si="1543">+R486*$X$1</f>
        <v>4632</v>
      </c>
      <c r="T486" s="559">
        <f>F486+90</f>
        <v>4612</v>
      </c>
      <c r="U486" s="257">
        <f t="shared" ref="U486" si="1544">+T486*$X$1</f>
        <v>4612</v>
      </c>
      <c r="V486" s="559">
        <f>F486+70</f>
        <v>4592</v>
      </c>
      <c r="W486" s="257">
        <f t="shared" ref="W486" si="1545">+V486*$X$1</f>
        <v>4592</v>
      </c>
      <c r="X486" s="677"/>
      <c r="Y486" s="675"/>
      <c r="Z486" s="675"/>
      <c r="AA486" s="676"/>
      <c r="AB486" s="178" t="s">
        <v>982</v>
      </c>
    </row>
    <row r="487" spans="1:29" ht="12.6" customHeight="1" x14ac:dyDescent="0.2">
      <c r="A487" s="17"/>
      <c r="B487" s="642" t="s">
        <v>967</v>
      </c>
      <c r="C487" s="662"/>
      <c r="D487" s="662"/>
      <c r="E487" s="663"/>
      <c r="F487" s="334">
        <f>4.14*X2</f>
        <v>5506.2</v>
      </c>
      <c r="G487" s="258">
        <f t="shared" ref="G487" si="1546">+F487*$X$1</f>
        <v>5506.2</v>
      </c>
      <c r="H487" s="576">
        <f>F487+650</f>
        <v>6156.2</v>
      </c>
      <c r="I487" s="258">
        <f t="shared" si="1531"/>
        <v>6156.2</v>
      </c>
      <c r="J487" s="576">
        <f>F487+230</f>
        <v>5736.2</v>
      </c>
      <c r="K487" s="258">
        <f t="shared" si="1533"/>
        <v>5736.2</v>
      </c>
      <c r="L487" s="576">
        <f>F487+190</f>
        <v>5696.2</v>
      </c>
      <c r="M487" s="258">
        <f t="shared" si="1534"/>
        <v>5696.2</v>
      </c>
      <c r="N487" s="576">
        <f>F487+150</f>
        <v>5656.2</v>
      </c>
      <c r="O487" s="258">
        <f t="shared" ref="O487" si="1547">+N487*$X$1</f>
        <v>5656.2</v>
      </c>
      <c r="P487" s="576">
        <f>F487+130</f>
        <v>5636.2</v>
      </c>
      <c r="Q487" s="258">
        <f t="shared" si="1535"/>
        <v>5636.2</v>
      </c>
      <c r="R487" s="576">
        <f>F487+110</f>
        <v>5616.2</v>
      </c>
      <c r="S487" s="258">
        <f t="shared" ref="S487" si="1548">+R487*$X$1</f>
        <v>5616.2</v>
      </c>
      <c r="T487" s="576">
        <f>F487+90</f>
        <v>5596.2</v>
      </c>
      <c r="U487" s="258">
        <f t="shared" si="1536"/>
        <v>5596.2</v>
      </c>
      <c r="V487" s="576">
        <f>F487+70</f>
        <v>5576.2</v>
      </c>
      <c r="W487" s="258">
        <f t="shared" si="1537"/>
        <v>5576.2</v>
      </c>
      <c r="X487" s="677"/>
      <c r="Y487" s="675"/>
      <c r="Z487" s="675"/>
      <c r="AA487" s="676"/>
      <c r="AB487" s="178" t="s">
        <v>966</v>
      </c>
    </row>
    <row r="488" spans="1:29" ht="12.6" customHeight="1" x14ac:dyDescent="0.2">
      <c r="A488" s="94"/>
      <c r="B488" s="665" t="s">
        <v>975</v>
      </c>
      <c r="C488" s="666"/>
      <c r="D488" s="666"/>
      <c r="E488" s="666"/>
      <c r="F488" s="333">
        <f>4.76*X2</f>
        <v>6330.7999999999993</v>
      </c>
      <c r="G488" s="257">
        <f>+F488*$X$1</f>
        <v>6330.7999999999993</v>
      </c>
      <c r="H488" s="559">
        <f>F488+650</f>
        <v>6980.7999999999993</v>
      </c>
      <c r="I488" s="257">
        <f t="shared" ref="I488" si="1549">+H488*$X$1</f>
        <v>6980.7999999999993</v>
      </c>
      <c r="J488" s="559">
        <f>F488+230</f>
        <v>6560.7999999999993</v>
      </c>
      <c r="K488" s="257">
        <f t="shared" ref="K488" si="1550">+J488*$X$1</f>
        <v>6560.7999999999993</v>
      </c>
      <c r="L488" s="559">
        <f>F488+190</f>
        <v>6520.7999999999993</v>
      </c>
      <c r="M488" s="257">
        <f t="shared" ref="M488" si="1551">+L488*$X$1</f>
        <v>6520.7999999999993</v>
      </c>
      <c r="N488" s="559">
        <f>F488+150</f>
        <v>6480.7999999999993</v>
      </c>
      <c r="O488" s="257">
        <f t="shared" ref="O488" si="1552">+N488*$X$1</f>
        <v>6480.7999999999993</v>
      </c>
      <c r="P488" s="559">
        <f>F488+130</f>
        <v>6460.7999999999993</v>
      </c>
      <c r="Q488" s="257">
        <f t="shared" ref="Q488" si="1553">+P488*$X$1</f>
        <v>6460.7999999999993</v>
      </c>
      <c r="R488" s="559">
        <f>F488+110</f>
        <v>6440.7999999999993</v>
      </c>
      <c r="S488" s="257">
        <f t="shared" ref="S488" si="1554">+R488*$X$1</f>
        <v>6440.7999999999993</v>
      </c>
      <c r="T488" s="559">
        <f>F488+90</f>
        <v>6420.7999999999993</v>
      </c>
      <c r="U488" s="257">
        <f t="shared" ref="U488" si="1555">+T488*$X$1</f>
        <v>6420.7999999999993</v>
      </c>
      <c r="V488" s="559">
        <f>F488+70</f>
        <v>6400.7999999999993</v>
      </c>
      <c r="W488" s="257">
        <f t="shared" ref="W488" si="1556">+V488*$X$1</f>
        <v>6400.7999999999993</v>
      </c>
      <c r="X488" s="677"/>
      <c r="Y488" s="677"/>
      <c r="Z488" s="677"/>
      <c r="AA488" s="677"/>
      <c r="AB488" s="353" t="s">
        <v>976</v>
      </c>
      <c r="AC488" s="62"/>
    </row>
    <row r="489" spans="1:29" ht="12.6" customHeight="1" x14ac:dyDescent="0.2">
      <c r="A489" s="94"/>
      <c r="B489" s="713" t="s">
        <v>600</v>
      </c>
      <c r="C489" s="771"/>
      <c r="D489" s="771"/>
      <c r="E489" s="771"/>
      <c r="F489" s="334">
        <f>4.14*X2</f>
        <v>5506.2</v>
      </c>
      <c r="G489" s="258">
        <f>+F489*$X$1</f>
        <v>5506.2</v>
      </c>
      <c r="H489" s="576">
        <f>F489+650</f>
        <v>6156.2</v>
      </c>
      <c r="I489" s="258">
        <f>+H489*$X$1</f>
        <v>6156.2</v>
      </c>
      <c r="J489" s="576">
        <f>F489+230</f>
        <v>5736.2</v>
      </c>
      <c r="K489" s="258">
        <f>+J489*$X$1</f>
        <v>5736.2</v>
      </c>
      <c r="L489" s="576">
        <f>F489+190</f>
        <v>5696.2</v>
      </c>
      <c r="M489" s="258">
        <f>+L489*$X$1</f>
        <v>5696.2</v>
      </c>
      <c r="N489" s="576">
        <f>F489+150</f>
        <v>5656.2</v>
      </c>
      <c r="O489" s="258">
        <f t="shared" ref="O489" si="1557">+N489*$X$1</f>
        <v>5656.2</v>
      </c>
      <c r="P489" s="576">
        <f>F489+130</f>
        <v>5636.2</v>
      </c>
      <c r="Q489" s="258">
        <f>+P489*$X$1</f>
        <v>5636.2</v>
      </c>
      <c r="R489" s="576">
        <f>F489+110</f>
        <v>5616.2</v>
      </c>
      <c r="S489" s="258">
        <f t="shared" ref="S489" si="1558">+R489*$X$1</f>
        <v>5616.2</v>
      </c>
      <c r="T489" s="576">
        <f>F489+90</f>
        <v>5596.2</v>
      </c>
      <c r="U489" s="258">
        <f>+T489*$X$1</f>
        <v>5596.2</v>
      </c>
      <c r="V489" s="576">
        <f>F489+70</f>
        <v>5576.2</v>
      </c>
      <c r="W489" s="258">
        <f>+V489*$X$1</f>
        <v>5576.2</v>
      </c>
      <c r="X489" s="677"/>
      <c r="Y489" s="677"/>
      <c r="Z489" s="677"/>
      <c r="AA489" s="677"/>
      <c r="AB489" s="353" t="s">
        <v>599</v>
      </c>
      <c r="AC489" s="62"/>
    </row>
    <row r="490" spans="1:29" ht="12.6" customHeight="1" x14ac:dyDescent="0.2">
      <c r="A490" s="17"/>
      <c r="B490" s="642" t="s">
        <v>984</v>
      </c>
      <c r="C490" s="662"/>
      <c r="D490" s="662"/>
      <c r="E490" s="663"/>
      <c r="F490" s="333">
        <f>3.72*X2</f>
        <v>4947.6000000000004</v>
      </c>
      <c r="G490" s="257">
        <f t="shared" ref="G490" si="1559">+F490*$X$1</f>
        <v>4947.6000000000004</v>
      </c>
      <c r="H490" s="559">
        <f t="shared" ref="H490" si="1560">F490+600</f>
        <v>5547.6</v>
      </c>
      <c r="I490" s="257">
        <f t="shared" ref="I490" si="1561">+H490*$X$1</f>
        <v>5547.6</v>
      </c>
      <c r="J490" s="559">
        <f t="shared" ref="J490" si="1562">F490+200</f>
        <v>5147.6000000000004</v>
      </c>
      <c r="K490" s="257">
        <f t="shared" ref="K490" si="1563">+J490*$X$1</f>
        <v>5147.6000000000004</v>
      </c>
      <c r="L490" s="559">
        <f>F490+150</f>
        <v>5097.6000000000004</v>
      </c>
      <c r="M490" s="257">
        <f t="shared" ref="M490" si="1564">+L490*$X$1</f>
        <v>5097.6000000000004</v>
      </c>
      <c r="N490" s="559">
        <f>F490+110</f>
        <v>5057.6000000000004</v>
      </c>
      <c r="O490" s="257">
        <f>+N490*$X$1</f>
        <v>5057.6000000000004</v>
      </c>
      <c r="P490" s="559">
        <f>F490+90</f>
        <v>5037.6000000000004</v>
      </c>
      <c r="Q490" s="257">
        <f t="shared" ref="Q490" si="1565">+P490*$X$1</f>
        <v>5037.6000000000004</v>
      </c>
      <c r="R490" s="559">
        <f>F490+70</f>
        <v>5017.6000000000004</v>
      </c>
      <c r="S490" s="257">
        <f>+R490*$X$1</f>
        <v>5017.6000000000004</v>
      </c>
      <c r="T490" s="559">
        <f>F490+56</f>
        <v>5003.6000000000004</v>
      </c>
      <c r="U490" s="257">
        <f t="shared" ref="U490" si="1566">+T490*$X$1</f>
        <v>5003.6000000000004</v>
      </c>
      <c r="V490" s="559">
        <f>F490+49</f>
        <v>4996.6000000000004</v>
      </c>
      <c r="W490" s="257">
        <f t="shared" ref="W490" si="1567">+V490*$X$1</f>
        <v>4996.6000000000004</v>
      </c>
      <c r="X490" s="677"/>
      <c r="Y490" s="675"/>
      <c r="Z490" s="675"/>
      <c r="AA490" s="676"/>
      <c r="AB490" s="178" t="s">
        <v>968</v>
      </c>
    </row>
    <row r="491" spans="1:29" ht="12.6" customHeight="1" x14ac:dyDescent="0.2">
      <c r="A491" s="17"/>
      <c r="B491" s="642" t="s">
        <v>983</v>
      </c>
      <c r="C491" s="662"/>
      <c r="D491" s="662"/>
      <c r="E491" s="663"/>
      <c r="F491" s="334">
        <f>5.08*X2</f>
        <v>6756.4000000000005</v>
      </c>
      <c r="G491" s="258">
        <f t="shared" ref="G491" si="1568">+F491*$X$1</f>
        <v>6756.4000000000005</v>
      </c>
      <c r="H491" s="576">
        <f t="shared" ref="H491" si="1569">F491+600</f>
        <v>7356.4000000000005</v>
      </c>
      <c r="I491" s="258">
        <f t="shared" ref="I491" si="1570">+H491*$X$1</f>
        <v>7356.4000000000005</v>
      </c>
      <c r="J491" s="576">
        <f t="shared" ref="J491" si="1571">F491+200</f>
        <v>6956.4000000000005</v>
      </c>
      <c r="K491" s="258">
        <f t="shared" ref="K491" si="1572">+J491*$X$1</f>
        <v>6956.4000000000005</v>
      </c>
      <c r="L491" s="576">
        <f>F491+150</f>
        <v>6906.4000000000005</v>
      </c>
      <c r="M491" s="258">
        <f t="shared" ref="M491" si="1573">+L491*$X$1</f>
        <v>6906.4000000000005</v>
      </c>
      <c r="N491" s="576">
        <f>F491+110</f>
        <v>6866.4000000000005</v>
      </c>
      <c r="O491" s="258">
        <f>+N491*$X$1</f>
        <v>6866.4000000000005</v>
      </c>
      <c r="P491" s="576">
        <f>F491+90</f>
        <v>6846.4000000000005</v>
      </c>
      <c r="Q491" s="258">
        <f t="shared" ref="Q491" si="1574">+P491*$X$1</f>
        <v>6846.4000000000005</v>
      </c>
      <c r="R491" s="576">
        <f>F491+70</f>
        <v>6826.4000000000005</v>
      </c>
      <c r="S491" s="258">
        <f>+R491*$X$1</f>
        <v>6826.4000000000005</v>
      </c>
      <c r="T491" s="576">
        <f>F491+56</f>
        <v>6812.4000000000005</v>
      </c>
      <c r="U491" s="258">
        <f t="shared" ref="U491" si="1575">+T491*$X$1</f>
        <v>6812.4000000000005</v>
      </c>
      <c r="V491" s="576">
        <f>F491+49</f>
        <v>6805.4000000000005</v>
      </c>
      <c r="W491" s="258">
        <f t="shared" ref="W491" si="1576">+V491*$X$1</f>
        <v>6805.4000000000005</v>
      </c>
      <c r="X491" s="677"/>
      <c r="Y491" s="675"/>
      <c r="Z491" s="675"/>
      <c r="AA491" s="676"/>
      <c r="AB491" s="178" t="s">
        <v>985</v>
      </c>
    </row>
    <row r="492" spans="1:29" ht="12.6" customHeight="1" x14ac:dyDescent="0.2">
      <c r="A492" s="17"/>
      <c r="B492" s="678" t="s">
        <v>978</v>
      </c>
      <c r="C492" s="679"/>
      <c r="D492" s="679"/>
      <c r="E492" s="680"/>
      <c r="F492" s="333">
        <f>4.1*X2</f>
        <v>5452.9999999999991</v>
      </c>
      <c r="G492" s="257">
        <f t="shared" ref="G492" si="1577">+F492*$X$1</f>
        <v>5452.9999999999991</v>
      </c>
      <c r="H492" s="559"/>
      <c r="I492" s="257"/>
      <c r="J492" s="559">
        <f t="shared" ref="J492" si="1578">F492+200</f>
        <v>5652.9999999999991</v>
      </c>
      <c r="K492" s="257">
        <f t="shared" ref="K492" si="1579">+J492*$X$1</f>
        <v>5652.9999999999991</v>
      </c>
      <c r="L492" s="559">
        <f>F492+150</f>
        <v>5602.9999999999991</v>
      </c>
      <c r="M492" s="257">
        <f t="shared" ref="M492" si="1580">+L492*$X$1</f>
        <v>5602.9999999999991</v>
      </c>
      <c r="N492" s="559">
        <f>F492+110</f>
        <v>5562.9999999999991</v>
      </c>
      <c r="O492" s="257">
        <f>+N492*$X$1</f>
        <v>5562.9999999999991</v>
      </c>
      <c r="P492" s="559">
        <f>F492+90</f>
        <v>5542.9999999999991</v>
      </c>
      <c r="Q492" s="257">
        <f t="shared" ref="Q492" si="1581">+P492*$X$1</f>
        <v>5542.9999999999991</v>
      </c>
      <c r="R492" s="559">
        <f>F492+70</f>
        <v>5522.9999999999991</v>
      </c>
      <c r="S492" s="257">
        <f>+R492*$X$1</f>
        <v>5522.9999999999991</v>
      </c>
      <c r="T492" s="559">
        <f>F492+56</f>
        <v>5508.9999999999991</v>
      </c>
      <c r="U492" s="257">
        <f t="shared" ref="U492" si="1582">+T492*$X$1</f>
        <v>5508.9999999999991</v>
      </c>
      <c r="V492" s="559">
        <f>F492+49</f>
        <v>5501.9999999999991</v>
      </c>
      <c r="W492" s="257">
        <f t="shared" ref="W492" si="1583">+V492*$X$1</f>
        <v>5501.9999999999991</v>
      </c>
      <c r="X492" s="677"/>
      <c r="Y492" s="675"/>
      <c r="Z492" s="675"/>
      <c r="AA492" s="676"/>
      <c r="AB492" s="178" t="s">
        <v>977</v>
      </c>
    </row>
    <row r="493" spans="1:29" ht="12.6" customHeight="1" x14ac:dyDescent="0.2">
      <c r="A493" s="94"/>
      <c r="B493" s="713" t="s">
        <v>818</v>
      </c>
      <c r="C493" s="771"/>
      <c r="D493" s="771"/>
      <c r="E493" s="771"/>
      <c r="F493" s="334">
        <f>3.7*X2</f>
        <v>4921</v>
      </c>
      <c r="G493" s="258">
        <f t="shared" ref="G493" si="1584">+F493*$X$1</f>
        <v>4921</v>
      </c>
      <c r="H493" s="576"/>
      <c r="I493" s="258"/>
      <c r="J493" s="576">
        <f>F493+300</f>
        <v>5221</v>
      </c>
      <c r="K493" s="258">
        <f t="shared" ref="K493" si="1585">+J493*$X$1</f>
        <v>5221</v>
      </c>
      <c r="L493" s="576">
        <f>F493+240</f>
        <v>5161</v>
      </c>
      <c r="M493" s="258">
        <f t="shared" ref="M493" si="1586">+L493*$X$1</f>
        <v>5161</v>
      </c>
      <c r="N493" s="576">
        <f>F493+200</f>
        <v>5121</v>
      </c>
      <c r="O493" s="258">
        <f t="shared" ref="O493" si="1587">+N493*$X$1</f>
        <v>5121</v>
      </c>
      <c r="P493" s="576">
        <f>F493+160</f>
        <v>5081</v>
      </c>
      <c r="Q493" s="258">
        <f t="shared" ref="Q493" si="1588">+P493*$X$1</f>
        <v>5081</v>
      </c>
      <c r="R493" s="576">
        <f>F493+140</f>
        <v>5061</v>
      </c>
      <c r="S493" s="258">
        <f t="shared" ref="S493" si="1589">+R493*$X$1</f>
        <v>5061</v>
      </c>
      <c r="T493" s="576">
        <f>F493+110</f>
        <v>5031</v>
      </c>
      <c r="U493" s="258">
        <f t="shared" ref="U493" si="1590">+T493*$X$1</f>
        <v>5031</v>
      </c>
      <c r="V493" s="576">
        <f>F493+90</f>
        <v>5011</v>
      </c>
      <c r="W493" s="258">
        <f t="shared" ref="W493" si="1591">+V493*$X$1</f>
        <v>5011</v>
      </c>
      <c r="X493" s="677"/>
      <c r="Y493" s="677"/>
      <c r="Z493" s="677"/>
      <c r="AA493" s="677"/>
      <c r="AB493" s="353" t="s">
        <v>819</v>
      </c>
      <c r="AC493" s="62"/>
    </row>
    <row r="494" spans="1:29" ht="12.6" customHeight="1" x14ac:dyDescent="0.2">
      <c r="A494" s="94"/>
      <c r="B494" s="685" t="s">
        <v>895</v>
      </c>
      <c r="C494" s="753"/>
      <c r="D494" s="753"/>
      <c r="E494" s="753"/>
      <c r="F494" s="333">
        <v>1190</v>
      </c>
      <c r="G494" s="257">
        <f t="shared" ref="G494" si="1592">+F494*$X$1</f>
        <v>1190</v>
      </c>
      <c r="H494" s="559"/>
      <c r="I494" s="257"/>
      <c r="J494" s="559"/>
      <c r="K494" s="257"/>
      <c r="L494" s="559">
        <f>F494+190</f>
        <v>1380</v>
      </c>
      <c r="M494" s="257">
        <f t="shared" ref="M494:M495" si="1593">+L494*$X$1</f>
        <v>1380</v>
      </c>
      <c r="N494" s="559">
        <f>F494+150</f>
        <v>1340</v>
      </c>
      <c r="O494" s="257">
        <f t="shared" ref="O494:O495" si="1594">+N494*$X$1</f>
        <v>1340</v>
      </c>
      <c r="P494" s="559">
        <f>F494+130</f>
        <v>1320</v>
      </c>
      <c r="Q494" s="257">
        <f t="shared" ref="Q494:Q495" si="1595">+P494*$X$1</f>
        <v>1320</v>
      </c>
      <c r="R494" s="559">
        <f>F494+110</f>
        <v>1300</v>
      </c>
      <c r="S494" s="257">
        <f t="shared" ref="S494:S495" si="1596">+R494*$X$1</f>
        <v>1300</v>
      </c>
      <c r="T494" s="559">
        <f>F494+90</f>
        <v>1280</v>
      </c>
      <c r="U494" s="257">
        <f t="shared" ref="U494:U495" si="1597">+T494*$X$1</f>
        <v>1280</v>
      </c>
      <c r="V494" s="559">
        <f>F494+70</f>
        <v>1260</v>
      </c>
      <c r="W494" s="257">
        <f t="shared" ref="W494:W495" si="1598">+V494*$X$1</f>
        <v>1260</v>
      </c>
      <c r="X494" s="677"/>
      <c r="Y494" s="677"/>
      <c r="Z494" s="677"/>
      <c r="AA494" s="677"/>
      <c r="AB494" s="353" t="s">
        <v>906</v>
      </c>
      <c r="AC494" s="62"/>
    </row>
    <row r="495" spans="1:29" ht="12.6" customHeight="1" x14ac:dyDescent="0.2">
      <c r="A495" s="94"/>
      <c r="B495" s="685" t="s">
        <v>896</v>
      </c>
      <c r="C495" s="753"/>
      <c r="D495" s="753"/>
      <c r="E495" s="753"/>
      <c r="F495" s="334">
        <v>1420</v>
      </c>
      <c r="G495" s="258">
        <f t="shared" ref="G495" si="1599">+F495*$X$1</f>
        <v>1420</v>
      </c>
      <c r="H495" s="576"/>
      <c r="I495" s="258"/>
      <c r="J495" s="576"/>
      <c r="K495" s="258"/>
      <c r="L495" s="576">
        <f>F495+190</f>
        <v>1610</v>
      </c>
      <c r="M495" s="258">
        <f t="shared" si="1593"/>
        <v>1610</v>
      </c>
      <c r="N495" s="576">
        <f>F495+150</f>
        <v>1570</v>
      </c>
      <c r="O495" s="258">
        <f t="shared" si="1594"/>
        <v>1570</v>
      </c>
      <c r="P495" s="576">
        <f>F495+130</f>
        <v>1550</v>
      </c>
      <c r="Q495" s="258">
        <f t="shared" si="1595"/>
        <v>1550</v>
      </c>
      <c r="R495" s="576">
        <f>F495+110</f>
        <v>1530</v>
      </c>
      <c r="S495" s="258">
        <f t="shared" si="1596"/>
        <v>1530</v>
      </c>
      <c r="T495" s="576">
        <f>F495+90</f>
        <v>1510</v>
      </c>
      <c r="U495" s="258">
        <f t="shared" si="1597"/>
        <v>1510</v>
      </c>
      <c r="V495" s="576">
        <f>F495+70</f>
        <v>1490</v>
      </c>
      <c r="W495" s="258">
        <f t="shared" si="1598"/>
        <v>1490</v>
      </c>
      <c r="X495" s="677"/>
      <c r="Y495" s="677"/>
      <c r="Z495" s="677"/>
      <c r="AA495" s="677"/>
      <c r="AB495" s="353" t="s">
        <v>907</v>
      </c>
      <c r="AC495" s="62"/>
    </row>
    <row r="496" spans="1:29" ht="12.6" customHeight="1" x14ac:dyDescent="0.2">
      <c r="A496" s="94"/>
      <c r="B496" s="685" t="s">
        <v>897</v>
      </c>
      <c r="C496" s="753"/>
      <c r="D496" s="753"/>
      <c r="E496" s="753"/>
      <c r="F496" s="333">
        <v>1420</v>
      </c>
      <c r="G496" s="257">
        <f t="shared" ref="G496" si="1600">+F496*$X$1</f>
        <v>1420</v>
      </c>
      <c r="H496" s="559"/>
      <c r="I496" s="257"/>
      <c r="J496" s="559"/>
      <c r="K496" s="257"/>
      <c r="L496" s="559">
        <f>F496+190</f>
        <v>1610</v>
      </c>
      <c r="M496" s="257">
        <f>+L496*$X$1</f>
        <v>1610</v>
      </c>
      <c r="N496" s="559">
        <f>F496+150</f>
        <v>1570</v>
      </c>
      <c r="O496" s="257">
        <f>+N496*$X$1</f>
        <v>1570</v>
      </c>
      <c r="P496" s="559">
        <f>F496+130</f>
        <v>1550</v>
      </c>
      <c r="Q496" s="257">
        <f>+P496*$X$1</f>
        <v>1550</v>
      </c>
      <c r="R496" s="559">
        <f>F496+110</f>
        <v>1530</v>
      </c>
      <c r="S496" s="257">
        <f>+R496*$X$1</f>
        <v>1530</v>
      </c>
      <c r="T496" s="559">
        <f>F496+90</f>
        <v>1510</v>
      </c>
      <c r="U496" s="257">
        <f>+T496*$X$1</f>
        <v>1510</v>
      </c>
      <c r="V496" s="559">
        <f>F496+70</f>
        <v>1490</v>
      </c>
      <c r="W496" s="257">
        <f>+V496*$X$1</f>
        <v>1490</v>
      </c>
      <c r="X496" s="677"/>
      <c r="Y496" s="677"/>
      <c r="Z496" s="677"/>
      <c r="AA496" s="677"/>
      <c r="AB496" s="353" t="s">
        <v>908</v>
      </c>
      <c r="AC496" s="62"/>
    </row>
    <row r="497" spans="1:33" ht="12.6" customHeight="1" x14ac:dyDescent="0.2">
      <c r="A497" s="94"/>
      <c r="B497" s="685" t="s">
        <v>898</v>
      </c>
      <c r="C497" s="753"/>
      <c r="D497" s="753"/>
      <c r="E497" s="753"/>
      <c r="F497" s="334">
        <v>1420</v>
      </c>
      <c r="G497" s="258">
        <f t="shared" ref="G497" si="1601">+F497*$X$1</f>
        <v>1420</v>
      </c>
      <c r="H497" s="406"/>
      <c r="I497" s="258"/>
      <c r="J497" s="406"/>
      <c r="K497" s="258"/>
      <c r="L497" s="406">
        <f>F497+190</f>
        <v>1610</v>
      </c>
      <c r="M497" s="258">
        <f>+L497*$X$1</f>
        <v>1610</v>
      </c>
      <c r="N497" s="406">
        <f>F497+150</f>
        <v>1570</v>
      </c>
      <c r="O497" s="258">
        <f>+N497*$X$1</f>
        <v>1570</v>
      </c>
      <c r="P497" s="406">
        <f>F497+130</f>
        <v>1550</v>
      </c>
      <c r="Q497" s="258">
        <f>+P497*$X$1</f>
        <v>1550</v>
      </c>
      <c r="R497" s="406">
        <f>F497+110</f>
        <v>1530</v>
      </c>
      <c r="S497" s="258">
        <f>+R497*$X$1</f>
        <v>1530</v>
      </c>
      <c r="T497" s="406">
        <f>F497+90</f>
        <v>1510</v>
      </c>
      <c r="U497" s="258">
        <f>+T497*$X$1</f>
        <v>1510</v>
      </c>
      <c r="V497" s="406">
        <f>F497+70</f>
        <v>1490</v>
      </c>
      <c r="W497" s="258">
        <f>+V497*$X$1</f>
        <v>1490</v>
      </c>
      <c r="X497" s="677"/>
      <c r="Y497" s="677"/>
      <c r="Z497" s="677"/>
      <c r="AA497" s="677"/>
      <c r="AB497" s="353"/>
      <c r="AC497" s="62"/>
    </row>
    <row r="498" spans="1:33" ht="12.6" customHeight="1" x14ac:dyDescent="0.2">
      <c r="A498" s="94"/>
      <c r="B498" s="685" t="s">
        <v>834</v>
      </c>
      <c r="C498" s="753"/>
      <c r="D498" s="753"/>
      <c r="E498" s="753"/>
      <c r="F498" s="333">
        <v>23</v>
      </c>
      <c r="G498" s="257">
        <f t="shared" ref="G498" si="1602">+F498*$X$1</f>
        <v>23</v>
      </c>
      <c r="H498" s="559"/>
      <c r="I498" s="257"/>
      <c r="J498" s="559"/>
      <c r="K498" s="257"/>
      <c r="L498" s="559"/>
      <c r="M498" s="257"/>
      <c r="N498" s="559"/>
      <c r="O498" s="257"/>
      <c r="P498" s="559"/>
      <c r="Q498" s="257"/>
      <c r="R498" s="559"/>
      <c r="S498" s="257"/>
      <c r="T498" s="559"/>
      <c r="U498" s="257"/>
      <c r="V498" s="559"/>
      <c r="W498" s="257"/>
      <c r="X498" s="677"/>
      <c r="Y498" s="677"/>
      <c r="Z498" s="677"/>
      <c r="AA498" s="677"/>
      <c r="AB498" s="353" t="s">
        <v>835</v>
      </c>
      <c r="AC498" s="62"/>
    </row>
    <row r="499" spans="1:33" ht="12.6" customHeight="1" x14ac:dyDescent="0.2">
      <c r="A499" s="94"/>
      <c r="B499" s="685" t="s">
        <v>833</v>
      </c>
      <c r="C499" s="753"/>
      <c r="D499" s="753"/>
      <c r="E499" s="753"/>
      <c r="F499" s="334">
        <v>50</v>
      </c>
      <c r="G499" s="258">
        <f t="shared" ref="G499" si="1603">+F499*$X$1</f>
        <v>50</v>
      </c>
      <c r="H499" s="575"/>
      <c r="I499" s="258"/>
      <c r="J499" s="575"/>
      <c r="K499" s="258"/>
      <c r="L499" s="575"/>
      <c r="M499" s="258"/>
      <c r="N499" s="575"/>
      <c r="O499" s="258"/>
      <c r="P499" s="575"/>
      <c r="Q499" s="258"/>
      <c r="R499" s="575"/>
      <c r="S499" s="258"/>
      <c r="T499" s="575"/>
      <c r="U499" s="258"/>
      <c r="V499" s="575"/>
      <c r="W499" s="258"/>
      <c r="X499" s="677"/>
      <c r="Y499" s="677"/>
      <c r="Z499" s="677"/>
      <c r="AA499" s="677"/>
      <c r="AB499" s="353" t="s">
        <v>836</v>
      </c>
      <c r="AC499" s="62"/>
    </row>
    <row r="500" spans="1:33" ht="12.6" customHeight="1" x14ac:dyDescent="0.2">
      <c r="A500" s="17"/>
      <c r="B500" s="678" t="s">
        <v>313</v>
      </c>
      <c r="C500" s="679"/>
      <c r="D500" s="679"/>
      <c r="E500" s="680"/>
      <c r="F500" s="257">
        <v>1225</v>
      </c>
      <c r="G500" s="257">
        <f t="shared" ref="G500:G502" si="1604">+F500*$X$1</f>
        <v>1225</v>
      </c>
      <c r="H500" s="240"/>
      <c r="I500" s="1148" t="s">
        <v>458</v>
      </c>
      <c r="J500" s="1169"/>
      <c r="K500" s="1169"/>
      <c r="L500" s="1169"/>
      <c r="M500" s="1170"/>
      <c r="N500" s="559">
        <v>1750</v>
      </c>
      <c r="O500" s="257">
        <f>+N500*$X$1</f>
        <v>1750</v>
      </c>
      <c r="P500" s="91">
        <v>1745</v>
      </c>
      <c r="Q500" s="257">
        <f t="shared" ref="Q500" si="1605">+P500*$X$1</f>
        <v>1745</v>
      </c>
      <c r="R500" s="559">
        <v>1571</v>
      </c>
      <c r="S500" s="257">
        <f>+R500*$X$1</f>
        <v>1571</v>
      </c>
      <c r="T500" s="559">
        <v>1462</v>
      </c>
      <c r="U500" s="257">
        <f>+T500*$X$1</f>
        <v>1462</v>
      </c>
      <c r="V500" s="559">
        <v>1419</v>
      </c>
      <c r="W500" s="257">
        <f t="shared" ref="W500" si="1606">+V500*$X$1</f>
        <v>1419</v>
      </c>
      <c r="X500" s="122"/>
      <c r="Y500" s="122"/>
      <c r="Z500" s="122"/>
      <c r="AA500" s="125"/>
      <c r="AB500" s="27"/>
    </row>
    <row r="501" spans="1:33" ht="12.6" customHeight="1" x14ac:dyDescent="0.2">
      <c r="A501" s="17"/>
      <c r="B501" s="687" t="s">
        <v>314</v>
      </c>
      <c r="C501" s="688"/>
      <c r="D501" s="688"/>
      <c r="E501" s="689"/>
      <c r="F501" s="258">
        <v>1225</v>
      </c>
      <c r="G501" s="258">
        <f t="shared" si="1604"/>
        <v>1225</v>
      </c>
      <c r="H501" s="238"/>
      <c r="I501" s="1171"/>
      <c r="J501" s="1172"/>
      <c r="K501" s="1172"/>
      <c r="L501" s="1172"/>
      <c r="M501" s="1173"/>
      <c r="N501" s="575">
        <v>1750</v>
      </c>
      <c r="O501" s="258">
        <f>+N501*$X$1</f>
        <v>1750</v>
      </c>
      <c r="P501" s="95">
        <v>1745</v>
      </c>
      <c r="Q501" s="258">
        <f t="shared" ref="Q501:Q502" si="1607">+P501*$X$1</f>
        <v>1745</v>
      </c>
      <c r="R501" s="575">
        <v>1571</v>
      </c>
      <c r="S501" s="258">
        <f>+R501*$X$1</f>
        <v>1571</v>
      </c>
      <c r="T501" s="575">
        <v>1462</v>
      </c>
      <c r="U501" s="258">
        <f>+T501*$X$1</f>
        <v>1462</v>
      </c>
      <c r="V501" s="575">
        <v>1419</v>
      </c>
      <c r="W501" s="258">
        <f t="shared" ref="W501:W502" si="1608">+V501*$X$1</f>
        <v>1419</v>
      </c>
      <c r="X501" s="122"/>
      <c r="Y501" s="122"/>
      <c r="Z501" s="122"/>
      <c r="AA501" s="125"/>
      <c r="AB501" s="178"/>
    </row>
    <row r="502" spans="1:33" ht="12.6" customHeight="1" x14ac:dyDescent="0.2">
      <c r="A502" s="17"/>
      <c r="B502" s="678" t="s">
        <v>315</v>
      </c>
      <c r="C502" s="679"/>
      <c r="D502" s="679"/>
      <c r="E502" s="680"/>
      <c r="F502" s="257">
        <v>1225</v>
      </c>
      <c r="G502" s="257">
        <f t="shared" si="1604"/>
        <v>1225</v>
      </c>
      <c r="H502" s="240"/>
      <c r="I502" s="1174"/>
      <c r="J502" s="1175"/>
      <c r="K502" s="1175"/>
      <c r="L502" s="1175"/>
      <c r="M502" s="1176"/>
      <c r="N502" s="559">
        <v>1750</v>
      </c>
      <c r="O502" s="257">
        <f>+N502*$X$1</f>
        <v>1750</v>
      </c>
      <c r="P502" s="91">
        <v>1745</v>
      </c>
      <c r="Q502" s="257">
        <f t="shared" si="1607"/>
        <v>1745</v>
      </c>
      <c r="R502" s="559">
        <v>1571</v>
      </c>
      <c r="S502" s="257">
        <f>+R502*$X$1</f>
        <v>1571</v>
      </c>
      <c r="T502" s="559">
        <v>1462</v>
      </c>
      <c r="U502" s="257">
        <f>+T502*$X$1</f>
        <v>1462</v>
      </c>
      <c r="V502" s="559">
        <v>1419</v>
      </c>
      <c r="W502" s="257">
        <f t="shared" si="1608"/>
        <v>1419</v>
      </c>
      <c r="X502" s="122"/>
      <c r="Y502" s="122"/>
      <c r="Z502" s="122"/>
      <c r="AA502" s="125"/>
      <c r="AB502" s="178"/>
      <c r="AG502" s="212"/>
    </row>
    <row r="503" spans="1:33" ht="12.6" customHeight="1" x14ac:dyDescent="0.2">
      <c r="A503" s="17"/>
      <c r="B503" s="667" t="s">
        <v>236</v>
      </c>
      <c r="C503" s="668"/>
      <c r="D503" s="668"/>
      <c r="E503" s="668"/>
      <c r="F503" s="334">
        <f>3.11*X2</f>
        <v>4136.3</v>
      </c>
      <c r="G503" s="258">
        <f>+F503*$X$1</f>
        <v>4136.3</v>
      </c>
      <c r="H503" s="251"/>
      <c r="I503" s="251"/>
      <c r="J503" s="82">
        <f t="shared" ref="J503" si="1609">F503+220</f>
        <v>4356.3</v>
      </c>
      <c r="K503" s="258">
        <f t="shared" ref="K503" si="1610">+J503*$X$1</f>
        <v>4356.3</v>
      </c>
      <c r="L503" s="575">
        <f t="shared" ref="L503" si="1611">F503+150</f>
        <v>4286.3</v>
      </c>
      <c r="M503" s="258">
        <f t="shared" ref="M503" si="1612">+L503*$X$1</f>
        <v>4286.3</v>
      </c>
      <c r="N503" s="575">
        <f t="shared" ref="N503" si="1613">F503+110</f>
        <v>4246.3</v>
      </c>
      <c r="O503" s="258">
        <f t="shared" ref="O503" si="1614">+N503*$X$1</f>
        <v>4246.3</v>
      </c>
      <c r="P503" s="575">
        <f t="shared" ref="P503" si="1615">F503+100</f>
        <v>4236.3</v>
      </c>
      <c r="Q503" s="258">
        <f>+P503*$X$1</f>
        <v>4236.3</v>
      </c>
      <c r="R503" s="575">
        <f t="shared" ref="R503" si="1616">F503+80</f>
        <v>4216.3</v>
      </c>
      <c r="S503" s="258">
        <f t="shared" ref="S503" si="1617">+R503*$X$1</f>
        <v>4216.3</v>
      </c>
      <c r="T503" s="575">
        <f t="shared" ref="T503" si="1618">F503+65</f>
        <v>4201.3</v>
      </c>
      <c r="U503" s="258">
        <f t="shared" ref="U503" si="1619">+T503*$X$1</f>
        <v>4201.3</v>
      </c>
      <c r="V503" s="575">
        <f t="shared" ref="V503" si="1620">F503+56</f>
        <v>4192.3</v>
      </c>
      <c r="W503" s="258">
        <f>+V503*$X$1</f>
        <v>4192.3</v>
      </c>
      <c r="X503" s="715"/>
      <c r="Y503" s="715"/>
      <c r="Z503" s="715"/>
      <c r="AA503" s="716"/>
      <c r="AB503" s="178" t="s">
        <v>237</v>
      </c>
    </row>
    <row r="504" spans="1:33" ht="12.6" customHeight="1" x14ac:dyDescent="0.2">
      <c r="A504" s="17"/>
      <c r="B504" s="672" t="s">
        <v>914</v>
      </c>
      <c r="C504" s="673"/>
      <c r="D504" s="673"/>
      <c r="E504" s="673"/>
      <c r="F504" s="333">
        <f>0.79*X2</f>
        <v>1050.7</v>
      </c>
      <c r="G504" s="257">
        <f>+F504*$X$1</f>
        <v>1050.7</v>
      </c>
      <c r="H504" s="252"/>
      <c r="I504" s="252"/>
      <c r="J504" s="68">
        <f t="shared" ref="J504" si="1621">F504+220</f>
        <v>1270.7</v>
      </c>
      <c r="K504" s="257">
        <f t="shared" ref="K504" si="1622">+J504*$X$1</f>
        <v>1270.7</v>
      </c>
      <c r="L504" s="559">
        <f t="shared" ref="L504" si="1623">F504+150</f>
        <v>1200.7</v>
      </c>
      <c r="M504" s="257">
        <f t="shared" ref="M504" si="1624">+L504*$X$1</f>
        <v>1200.7</v>
      </c>
      <c r="N504" s="559">
        <f t="shared" ref="N504" si="1625">F504+110</f>
        <v>1160.7</v>
      </c>
      <c r="O504" s="257">
        <f t="shared" ref="O504" si="1626">+N504*$X$1</f>
        <v>1160.7</v>
      </c>
      <c r="P504" s="559">
        <f t="shared" ref="P504" si="1627">F504+100</f>
        <v>1150.7</v>
      </c>
      <c r="Q504" s="257">
        <f t="shared" ref="Q504" si="1628">+P504*$X$1</f>
        <v>1150.7</v>
      </c>
      <c r="R504" s="559">
        <f t="shared" ref="R504" si="1629">F504+80</f>
        <v>1130.7</v>
      </c>
      <c r="S504" s="257">
        <f t="shared" ref="S504" si="1630">+R504*$X$1</f>
        <v>1130.7</v>
      </c>
      <c r="T504" s="559">
        <f t="shared" ref="T504" si="1631">F504+65</f>
        <v>1115.7</v>
      </c>
      <c r="U504" s="257">
        <f t="shared" ref="U504" si="1632">+T504*$X$1</f>
        <v>1115.7</v>
      </c>
      <c r="V504" s="559">
        <f t="shared" ref="V504" si="1633">F504+56</f>
        <v>1106.7</v>
      </c>
      <c r="W504" s="257">
        <f t="shared" ref="W504" si="1634">+V504*$X$1</f>
        <v>1106.7</v>
      </c>
      <c r="X504" s="715"/>
      <c r="Y504" s="715"/>
      <c r="Z504" s="715"/>
      <c r="AA504" s="716"/>
      <c r="AB504" s="178" t="s">
        <v>915</v>
      </c>
    </row>
    <row r="505" spans="1:33" ht="12.6" customHeight="1" x14ac:dyDescent="0.2">
      <c r="A505" s="17"/>
      <c r="B505" s="667" t="s">
        <v>361</v>
      </c>
      <c r="C505" s="668"/>
      <c r="D505" s="668"/>
      <c r="E505" s="668"/>
      <c r="F505" s="334">
        <f>0.97*X2</f>
        <v>1290.0999999999999</v>
      </c>
      <c r="G505" s="258">
        <f t="shared" ref="G505" si="1635">+F505*$X$1</f>
        <v>1290.0999999999999</v>
      </c>
      <c r="H505" s="251"/>
      <c r="I505" s="251"/>
      <c r="J505" s="82">
        <f t="shared" ref="J505" si="1636">F505+220</f>
        <v>1510.1</v>
      </c>
      <c r="K505" s="258">
        <f t="shared" ref="K505" si="1637">+J505*$X$1</f>
        <v>1510.1</v>
      </c>
      <c r="L505" s="406">
        <f t="shared" ref="L505" si="1638">F505+150</f>
        <v>1440.1</v>
      </c>
      <c r="M505" s="258">
        <f t="shared" ref="M505" si="1639">+L505*$X$1</f>
        <v>1440.1</v>
      </c>
      <c r="N505" s="406">
        <f t="shared" ref="N505" si="1640">F505+110</f>
        <v>1400.1</v>
      </c>
      <c r="O505" s="258">
        <f t="shared" ref="O505" si="1641">+N505*$X$1</f>
        <v>1400.1</v>
      </c>
      <c r="P505" s="406">
        <f t="shared" ref="P505" si="1642">F505+100</f>
        <v>1390.1</v>
      </c>
      <c r="Q505" s="258">
        <f t="shared" ref="Q505" si="1643">+P505*$X$1</f>
        <v>1390.1</v>
      </c>
      <c r="R505" s="406">
        <f t="shared" ref="R505" si="1644">F505+80</f>
        <v>1370.1</v>
      </c>
      <c r="S505" s="258">
        <f t="shared" ref="S505" si="1645">+R505*$X$1</f>
        <v>1370.1</v>
      </c>
      <c r="T505" s="406">
        <f t="shared" ref="T505" si="1646">F505+65</f>
        <v>1355.1</v>
      </c>
      <c r="U505" s="258">
        <f t="shared" ref="U505" si="1647">+T505*$X$1</f>
        <v>1355.1</v>
      </c>
      <c r="V505" s="406">
        <f t="shared" ref="V505" si="1648">F505+56</f>
        <v>1346.1</v>
      </c>
      <c r="W505" s="258">
        <f t="shared" ref="W505" si="1649">+V505*$X$1</f>
        <v>1346.1</v>
      </c>
      <c r="X505" s="715"/>
      <c r="Y505" s="715"/>
      <c r="Z505" s="715"/>
      <c r="AA505" s="716"/>
      <c r="AB505" s="178" t="s">
        <v>390</v>
      </c>
    </row>
    <row r="506" spans="1:33" s="62" customFormat="1" ht="12.6" customHeight="1" x14ac:dyDescent="0.25">
      <c r="A506" s="88"/>
      <c r="B506" s="690" t="s">
        <v>311</v>
      </c>
      <c r="C506" s="1161"/>
      <c r="D506" s="1161"/>
      <c r="E506" s="1161"/>
      <c r="F506" s="257">
        <v>635</v>
      </c>
      <c r="G506" s="257">
        <f t="shared" ref="G506:G511" si="1650">+F506*$X$1</f>
        <v>635</v>
      </c>
      <c r="H506" s="250"/>
      <c r="I506" s="1148" t="s">
        <v>454</v>
      </c>
      <c r="J506" s="1149"/>
      <c r="K506" s="1149"/>
      <c r="L506" s="1150"/>
      <c r="M506" s="1151"/>
      <c r="N506" s="466">
        <v>1243</v>
      </c>
      <c r="O506" s="257">
        <f t="shared" ref="O506:O511" si="1651">+N506*$X$1</f>
        <v>1243</v>
      </c>
      <c r="P506" s="264">
        <v>1238</v>
      </c>
      <c r="Q506" s="257">
        <f t="shared" ref="Q506:Q511" si="1652">+P506*$X$1</f>
        <v>1238</v>
      </c>
      <c r="R506" s="466">
        <v>1143</v>
      </c>
      <c r="S506" s="257">
        <f t="shared" ref="S506:S511" si="1653">+R506*$X$1</f>
        <v>1143</v>
      </c>
      <c r="T506" s="466">
        <v>1039</v>
      </c>
      <c r="U506" s="257">
        <f t="shared" ref="U506:U511" si="1654">+T506*$X$1</f>
        <v>1039</v>
      </c>
      <c r="V506" s="466">
        <v>989</v>
      </c>
      <c r="W506" s="257">
        <f t="shared" ref="W506:W511" si="1655">+V506*$X$1</f>
        <v>989</v>
      </c>
      <c r="X506" s="136"/>
      <c r="Y506" s="136"/>
      <c r="Z506" s="136"/>
      <c r="AA506" s="137"/>
      <c r="AB506" s="370" t="s">
        <v>238</v>
      </c>
    </row>
    <row r="507" spans="1:33" s="62" customFormat="1" ht="12.6" customHeight="1" x14ac:dyDescent="0.25">
      <c r="A507" s="88"/>
      <c r="B507" s="667" t="s">
        <v>312</v>
      </c>
      <c r="C507" s="668"/>
      <c r="D507" s="668"/>
      <c r="E507" s="668"/>
      <c r="F507" s="258">
        <v>635</v>
      </c>
      <c r="G507" s="258">
        <f t="shared" si="1650"/>
        <v>635</v>
      </c>
      <c r="H507" s="254"/>
      <c r="I507" s="1152"/>
      <c r="J507" s="1153"/>
      <c r="K507" s="1153"/>
      <c r="L507" s="1154"/>
      <c r="M507" s="1155"/>
      <c r="N507" s="406">
        <v>1562</v>
      </c>
      <c r="O507" s="258">
        <f t="shared" si="1651"/>
        <v>1562</v>
      </c>
      <c r="P507" s="263">
        <v>1557</v>
      </c>
      <c r="Q507" s="258">
        <f t="shared" si="1652"/>
        <v>1557</v>
      </c>
      <c r="R507" s="406">
        <v>1471</v>
      </c>
      <c r="S507" s="258">
        <f t="shared" si="1653"/>
        <v>1471</v>
      </c>
      <c r="T507" s="406">
        <v>1416</v>
      </c>
      <c r="U507" s="258">
        <f t="shared" si="1654"/>
        <v>1416</v>
      </c>
      <c r="V507" s="406">
        <v>1347</v>
      </c>
      <c r="W507" s="258">
        <f t="shared" si="1655"/>
        <v>1347</v>
      </c>
      <c r="X507" s="158"/>
      <c r="Y507" s="122"/>
      <c r="Z507" s="122"/>
      <c r="AA507" s="125"/>
      <c r="AB507" s="371"/>
    </row>
    <row r="508" spans="1:33" s="62" customFormat="1" ht="12.6" customHeight="1" x14ac:dyDescent="0.25">
      <c r="A508" s="88"/>
      <c r="B508" s="672" t="s">
        <v>324</v>
      </c>
      <c r="C508" s="673"/>
      <c r="D508" s="673"/>
      <c r="E508" s="673"/>
      <c r="F508" s="257">
        <v>635</v>
      </c>
      <c r="G508" s="257">
        <f t="shared" si="1650"/>
        <v>635</v>
      </c>
      <c r="H508" s="249"/>
      <c r="I508" s="1152"/>
      <c r="J508" s="1153"/>
      <c r="K508" s="1153"/>
      <c r="L508" s="1154"/>
      <c r="M508" s="1155"/>
      <c r="N508" s="466">
        <v>1243</v>
      </c>
      <c r="O508" s="257">
        <f t="shared" ref="O508:O509" si="1656">+N508*$X$1</f>
        <v>1243</v>
      </c>
      <c r="P508" s="264">
        <v>1238</v>
      </c>
      <c r="Q508" s="257">
        <f t="shared" ref="Q508:Q509" si="1657">+P508*$X$1</f>
        <v>1238</v>
      </c>
      <c r="R508" s="466">
        <v>1143</v>
      </c>
      <c r="S508" s="257">
        <f t="shared" ref="S508:S509" si="1658">+R508*$X$1</f>
        <v>1143</v>
      </c>
      <c r="T508" s="466">
        <v>1039</v>
      </c>
      <c r="U508" s="257">
        <f t="shared" ref="U508:U509" si="1659">+T508*$X$1</f>
        <v>1039</v>
      </c>
      <c r="V508" s="466">
        <v>989</v>
      </c>
      <c r="W508" s="257">
        <f t="shared" ref="W508:W509" si="1660">+V508*$X$1</f>
        <v>989</v>
      </c>
      <c r="X508" s="122"/>
      <c r="Y508" s="122"/>
      <c r="Z508" s="122"/>
      <c r="AA508" s="125"/>
      <c r="AB508" s="370" t="s">
        <v>239</v>
      </c>
    </row>
    <row r="509" spans="1:33" s="62" customFormat="1" ht="12" customHeight="1" x14ac:dyDescent="0.25">
      <c r="A509" s="88"/>
      <c r="B509" s="667" t="s">
        <v>325</v>
      </c>
      <c r="C509" s="668"/>
      <c r="D509" s="668"/>
      <c r="E509" s="668"/>
      <c r="F509" s="258">
        <v>635</v>
      </c>
      <c r="G509" s="258">
        <f t="shared" si="1650"/>
        <v>635</v>
      </c>
      <c r="H509" s="254"/>
      <c r="I509" s="1152"/>
      <c r="J509" s="1153"/>
      <c r="K509" s="1153"/>
      <c r="L509" s="1154"/>
      <c r="M509" s="1155"/>
      <c r="N509" s="406">
        <v>1562</v>
      </c>
      <c r="O509" s="258">
        <f t="shared" si="1656"/>
        <v>1562</v>
      </c>
      <c r="P509" s="263">
        <v>1557</v>
      </c>
      <c r="Q509" s="258">
        <f t="shared" si="1657"/>
        <v>1557</v>
      </c>
      <c r="R509" s="406">
        <v>1471</v>
      </c>
      <c r="S509" s="258">
        <f t="shared" si="1658"/>
        <v>1471</v>
      </c>
      <c r="T509" s="406">
        <v>1416</v>
      </c>
      <c r="U509" s="258">
        <f t="shared" si="1659"/>
        <v>1416</v>
      </c>
      <c r="V509" s="406">
        <v>1347</v>
      </c>
      <c r="W509" s="258">
        <f t="shared" si="1660"/>
        <v>1347</v>
      </c>
      <c r="X509" s="136"/>
      <c r="Y509" s="136"/>
      <c r="Z509" s="122"/>
      <c r="AA509" s="125"/>
      <c r="AB509" s="371"/>
    </row>
    <row r="510" spans="1:33" s="62" customFormat="1" ht="12.6" customHeight="1" x14ac:dyDescent="0.25">
      <c r="A510" s="88"/>
      <c r="B510" s="672" t="s">
        <v>240</v>
      </c>
      <c r="C510" s="673"/>
      <c r="D510" s="673"/>
      <c r="E510" s="673"/>
      <c r="F510" s="257">
        <v>635</v>
      </c>
      <c r="G510" s="257">
        <f t="shared" si="1650"/>
        <v>635</v>
      </c>
      <c r="H510" s="249"/>
      <c r="I510" s="1156"/>
      <c r="J510" s="1157"/>
      <c r="K510" s="1157"/>
      <c r="L510" s="1154"/>
      <c r="M510" s="1155"/>
      <c r="N510" s="466">
        <v>1407</v>
      </c>
      <c r="O510" s="257">
        <f t="shared" ref="O510" si="1661">+N510*$X$1</f>
        <v>1407</v>
      </c>
      <c r="P510" s="264">
        <v>1403</v>
      </c>
      <c r="Q510" s="257">
        <f t="shared" ref="Q510" si="1662">+P510*$X$1</f>
        <v>1403</v>
      </c>
      <c r="R510" s="466">
        <v>1254</v>
      </c>
      <c r="S510" s="257">
        <f t="shared" ref="S510" si="1663">+R510*$X$1</f>
        <v>1254</v>
      </c>
      <c r="T510" s="466">
        <v>1159</v>
      </c>
      <c r="U510" s="257">
        <f t="shared" ref="U510" si="1664">+T510*$X$1</f>
        <v>1159</v>
      </c>
      <c r="V510" s="466">
        <v>1095</v>
      </c>
      <c r="W510" s="257">
        <f t="shared" ref="W510" si="1665">+V510*$X$1</f>
        <v>1095</v>
      </c>
      <c r="X510" s="122"/>
      <c r="Y510" s="122"/>
      <c r="Z510" s="122"/>
      <c r="AA510" s="125"/>
      <c r="AB510" s="370" t="s">
        <v>241</v>
      </c>
      <c r="AE510" s="220"/>
    </row>
    <row r="511" spans="1:33" s="62" customFormat="1" ht="12.6" customHeight="1" x14ac:dyDescent="0.25">
      <c r="A511" s="88"/>
      <c r="B511" s="667" t="s">
        <v>242</v>
      </c>
      <c r="C511" s="668"/>
      <c r="D511" s="668"/>
      <c r="E511" s="668"/>
      <c r="F511" s="258">
        <v>635</v>
      </c>
      <c r="G511" s="258">
        <f t="shared" si="1650"/>
        <v>635</v>
      </c>
      <c r="H511" s="254"/>
      <c r="I511" s="1158"/>
      <c r="J511" s="1159"/>
      <c r="K511" s="1159"/>
      <c r="L511" s="1159"/>
      <c r="M511" s="1160"/>
      <c r="N511" s="406">
        <v>1710</v>
      </c>
      <c r="O511" s="258">
        <f t="shared" si="1651"/>
        <v>1710</v>
      </c>
      <c r="P511" s="263">
        <v>1706</v>
      </c>
      <c r="Q511" s="258">
        <f t="shared" si="1652"/>
        <v>1706</v>
      </c>
      <c r="R511" s="406">
        <v>1616</v>
      </c>
      <c r="S511" s="258">
        <f t="shared" si="1653"/>
        <v>1616</v>
      </c>
      <c r="T511" s="406">
        <v>1568</v>
      </c>
      <c r="U511" s="258">
        <f t="shared" si="1654"/>
        <v>1568</v>
      </c>
      <c r="V511" s="406">
        <v>1501</v>
      </c>
      <c r="W511" s="258">
        <f t="shared" si="1655"/>
        <v>1501</v>
      </c>
      <c r="X511" s="122"/>
      <c r="Y511" s="122"/>
      <c r="Z511" s="122"/>
      <c r="AA511" s="125"/>
      <c r="AB511" s="370" t="s">
        <v>243</v>
      </c>
    </row>
    <row r="512" spans="1:33" ht="12.6" customHeight="1" x14ac:dyDescent="0.2">
      <c r="A512" s="17"/>
      <c r="B512" s="678" t="s">
        <v>244</v>
      </c>
      <c r="C512" s="679"/>
      <c r="D512" s="679"/>
      <c r="E512" s="680"/>
      <c r="F512" s="333">
        <f>2.98*X2</f>
        <v>3963.4</v>
      </c>
      <c r="G512" s="257">
        <f t="shared" ref="G512" si="1666">+F512*$X$1</f>
        <v>3963.4</v>
      </c>
      <c r="H512" s="534">
        <f t="shared" ref="H512" si="1667">F512+600</f>
        <v>4563.3999999999996</v>
      </c>
      <c r="I512" s="257">
        <f t="shared" ref="I512" si="1668">+H512*$X$1</f>
        <v>4563.3999999999996</v>
      </c>
      <c r="J512" s="534">
        <f t="shared" ref="J512" si="1669">F512+200</f>
        <v>4163.3999999999996</v>
      </c>
      <c r="K512" s="257">
        <f t="shared" ref="K512" si="1670">+J512*$X$1</f>
        <v>4163.3999999999996</v>
      </c>
      <c r="L512" s="534">
        <f>F512+150</f>
        <v>4113.3999999999996</v>
      </c>
      <c r="M512" s="257">
        <f t="shared" ref="M512" si="1671">+L512*$X$1</f>
        <v>4113.3999999999996</v>
      </c>
      <c r="N512" s="534">
        <f>F512+110</f>
        <v>4073.4</v>
      </c>
      <c r="O512" s="257">
        <f>+N512*$X$1</f>
        <v>4073.4</v>
      </c>
      <c r="P512" s="534">
        <f>F512+90</f>
        <v>4053.4</v>
      </c>
      <c r="Q512" s="257">
        <f t="shared" ref="Q512" si="1672">+P512*$X$1</f>
        <v>4053.4</v>
      </c>
      <c r="R512" s="534">
        <f>F512+70</f>
        <v>4033.4</v>
      </c>
      <c r="S512" s="257">
        <f>+R512*$X$1</f>
        <v>4033.4</v>
      </c>
      <c r="T512" s="534">
        <f>F512+56</f>
        <v>4019.4</v>
      </c>
      <c r="U512" s="257">
        <f t="shared" ref="U512" si="1673">+T512*$X$1</f>
        <v>4019.4</v>
      </c>
      <c r="V512" s="534">
        <f>F512+49</f>
        <v>4012.4</v>
      </c>
      <c r="W512" s="257">
        <f t="shared" ref="W512" si="1674">+V512*$X$1</f>
        <v>4012.4</v>
      </c>
      <c r="X512" s="677"/>
      <c r="Y512" s="677"/>
      <c r="Z512" s="677"/>
      <c r="AA512" s="676"/>
      <c r="AB512" s="178" t="s">
        <v>245</v>
      </c>
    </row>
    <row r="513" spans="1:28" ht="12.6" customHeight="1" x14ac:dyDescent="0.2">
      <c r="A513" s="17"/>
      <c r="B513" s="687" t="s">
        <v>717</v>
      </c>
      <c r="C513" s="688"/>
      <c r="D513" s="688"/>
      <c r="E513" s="689"/>
      <c r="F513" s="293">
        <v>3240</v>
      </c>
      <c r="G513" s="258">
        <f t="shared" ref="G513" si="1675">+F513*$X$1</f>
        <v>3240</v>
      </c>
      <c r="H513" s="576"/>
      <c r="I513" s="258"/>
      <c r="J513" s="576">
        <f t="shared" ref="J513" si="1676">F513+200</f>
        <v>3440</v>
      </c>
      <c r="K513" s="258">
        <f t="shared" ref="K513" si="1677">+J513*$X$1</f>
        <v>3440</v>
      </c>
      <c r="L513" s="576">
        <f>F513+150</f>
        <v>3390</v>
      </c>
      <c r="M513" s="258">
        <f t="shared" ref="M513" si="1678">+L513*$X$1</f>
        <v>3390</v>
      </c>
      <c r="N513" s="576">
        <f>F513+110</f>
        <v>3350</v>
      </c>
      <c r="O513" s="258">
        <f t="shared" ref="O513:O522" si="1679">+N513*$X$1</f>
        <v>3350</v>
      </c>
      <c r="P513" s="576">
        <f>F513+90</f>
        <v>3330</v>
      </c>
      <c r="Q513" s="258">
        <f t="shared" ref="Q513" si="1680">+P513*$X$1</f>
        <v>3330</v>
      </c>
      <c r="R513" s="576">
        <f>F513+70</f>
        <v>3310</v>
      </c>
      <c r="S513" s="258">
        <f t="shared" ref="S513:S522" si="1681">+R513*$X$1</f>
        <v>3310</v>
      </c>
      <c r="T513" s="576">
        <f>F513+56</f>
        <v>3296</v>
      </c>
      <c r="U513" s="258">
        <f t="shared" ref="U513" si="1682">+T513*$X$1</f>
        <v>3296</v>
      </c>
      <c r="V513" s="576">
        <f>F513+49</f>
        <v>3289</v>
      </c>
      <c r="W513" s="258">
        <f t="shared" ref="W513" si="1683">+V513*$X$1</f>
        <v>3289</v>
      </c>
      <c r="X513" s="677"/>
      <c r="Y513" s="677"/>
      <c r="Z513" s="677"/>
      <c r="AA513" s="676"/>
      <c r="AB513" s="178" t="s">
        <v>716</v>
      </c>
    </row>
    <row r="514" spans="1:28" ht="12.6" customHeight="1" x14ac:dyDescent="0.2">
      <c r="A514" s="17"/>
      <c r="B514" s="678" t="s">
        <v>350</v>
      </c>
      <c r="C514" s="679"/>
      <c r="D514" s="679"/>
      <c r="E514" s="680"/>
      <c r="F514" s="333">
        <f>1.04*X2</f>
        <v>1383.2</v>
      </c>
      <c r="G514" s="257">
        <f t="shared" ref="G514:G515" si="1684">+F514*$X$1</f>
        <v>1383.2</v>
      </c>
      <c r="H514" s="559">
        <f t="shared" ref="H514:H515" si="1685">F514+600</f>
        <v>1983.2</v>
      </c>
      <c r="I514" s="257">
        <f t="shared" ref="I514:I515" si="1686">+H514*$X$1</f>
        <v>1983.2</v>
      </c>
      <c r="J514" s="559">
        <f t="shared" ref="J514:J515" si="1687">F514+200</f>
        <v>1583.2</v>
      </c>
      <c r="K514" s="257">
        <f t="shared" ref="K514:K515" si="1688">+J514*$X$1</f>
        <v>1583.2</v>
      </c>
      <c r="L514" s="559">
        <f>F514+150</f>
        <v>1533.2</v>
      </c>
      <c r="M514" s="257">
        <f t="shared" ref="M514:M515" si="1689">+L514*$X$1</f>
        <v>1533.2</v>
      </c>
      <c r="N514" s="559">
        <f>F514+110</f>
        <v>1493.2</v>
      </c>
      <c r="O514" s="257">
        <f t="shared" si="1679"/>
        <v>1493.2</v>
      </c>
      <c r="P514" s="559">
        <f>F514+90</f>
        <v>1473.2</v>
      </c>
      <c r="Q514" s="257">
        <f t="shared" ref="Q514:Q515" si="1690">+P514*$X$1</f>
        <v>1473.2</v>
      </c>
      <c r="R514" s="559">
        <f>F514+70</f>
        <v>1453.2</v>
      </c>
      <c r="S514" s="257">
        <f t="shared" si="1681"/>
        <v>1453.2</v>
      </c>
      <c r="T514" s="559">
        <f>F514+56</f>
        <v>1439.2</v>
      </c>
      <c r="U514" s="257">
        <f t="shared" ref="U514:U515" si="1691">+T514*$X$1</f>
        <v>1439.2</v>
      </c>
      <c r="V514" s="559">
        <f>F514+49</f>
        <v>1432.2</v>
      </c>
      <c r="W514" s="257">
        <f t="shared" ref="W514:W515" si="1692">+V514*$X$1</f>
        <v>1432.2</v>
      </c>
      <c r="X514" s="677"/>
      <c r="Y514" s="675"/>
      <c r="Z514" s="675"/>
      <c r="AA514" s="676"/>
      <c r="AB514" s="178" t="s">
        <v>384</v>
      </c>
    </row>
    <row r="515" spans="1:28" ht="12.6" customHeight="1" x14ac:dyDescent="0.2">
      <c r="A515" s="17"/>
      <c r="B515" s="687" t="s">
        <v>817</v>
      </c>
      <c r="C515" s="688"/>
      <c r="D515" s="688"/>
      <c r="E515" s="689"/>
      <c r="F515" s="334">
        <f>3.6*X2</f>
        <v>4788</v>
      </c>
      <c r="G515" s="258">
        <f t="shared" si="1684"/>
        <v>4788</v>
      </c>
      <c r="H515" s="576">
        <f t="shared" si="1685"/>
        <v>5388</v>
      </c>
      <c r="I515" s="258">
        <f t="shared" si="1686"/>
        <v>5388</v>
      </c>
      <c r="J515" s="576">
        <f t="shared" si="1687"/>
        <v>4988</v>
      </c>
      <c r="K515" s="258">
        <f t="shared" si="1688"/>
        <v>4988</v>
      </c>
      <c r="L515" s="576">
        <f>F515+150</f>
        <v>4938</v>
      </c>
      <c r="M515" s="258">
        <f t="shared" si="1689"/>
        <v>4938</v>
      </c>
      <c r="N515" s="576">
        <f>F515+110</f>
        <v>4898</v>
      </c>
      <c r="O515" s="258">
        <f t="shared" si="1679"/>
        <v>4898</v>
      </c>
      <c r="P515" s="576">
        <f>F515+90</f>
        <v>4878</v>
      </c>
      <c r="Q515" s="258">
        <f t="shared" si="1690"/>
        <v>4878</v>
      </c>
      <c r="R515" s="576">
        <f>F515+70</f>
        <v>4858</v>
      </c>
      <c r="S515" s="258">
        <f t="shared" si="1681"/>
        <v>4858</v>
      </c>
      <c r="T515" s="576">
        <f>F515+56</f>
        <v>4844</v>
      </c>
      <c r="U515" s="258">
        <f t="shared" si="1691"/>
        <v>4844</v>
      </c>
      <c r="V515" s="576">
        <f>F515+49</f>
        <v>4837</v>
      </c>
      <c r="W515" s="258">
        <f t="shared" si="1692"/>
        <v>4837</v>
      </c>
      <c r="X515" s="677"/>
      <c r="Y515" s="677"/>
      <c r="Z515" s="677"/>
      <c r="AA515" s="676"/>
      <c r="AB515" s="178" t="s">
        <v>744</v>
      </c>
    </row>
    <row r="516" spans="1:28" ht="12.6" customHeight="1" x14ac:dyDescent="0.2">
      <c r="A516" s="17"/>
      <c r="B516" s="690" t="s">
        <v>246</v>
      </c>
      <c r="C516" s="740"/>
      <c r="D516" s="740"/>
      <c r="E516" s="740"/>
      <c r="F516" s="273">
        <v>3820</v>
      </c>
      <c r="G516" s="257">
        <f t="shared" ref="G516:G519" si="1693">+F516*$X$1</f>
        <v>3820</v>
      </c>
      <c r="H516" s="252"/>
      <c r="I516" s="305"/>
      <c r="J516" s="559">
        <f>F516+66</f>
        <v>3886</v>
      </c>
      <c r="K516" s="257"/>
      <c r="L516" s="559">
        <f t="shared" ref="L516:L522" si="1694">F516+400</f>
        <v>4220</v>
      </c>
      <c r="M516" s="257">
        <f t="shared" ref="M516:M537" si="1695">+L516*$X$1</f>
        <v>4220</v>
      </c>
      <c r="N516" s="559">
        <f t="shared" ref="N516:N522" si="1696">F516+350</f>
        <v>4170</v>
      </c>
      <c r="O516" s="257">
        <f t="shared" si="1679"/>
        <v>4170</v>
      </c>
      <c r="P516" s="559">
        <f t="shared" ref="P516:P522" si="1697">F516+310</f>
        <v>4130</v>
      </c>
      <c r="Q516" s="257">
        <f t="shared" ref="Q516:Q522" si="1698">+P516*$X$1</f>
        <v>4130</v>
      </c>
      <c r="R516" s="559">
        <f t="shared" ref="R516:R522" si="1699">F516+280</f>
        <v>4100</v>
      </c>
      <c r="S516" s="257">
        <f t="shared" si="1681"/>
        <v>4100</v>
      </c>
      <c r="T516" s="559">
        <f t="shared" ref="T516:T522" si="1700">F516+240</f>
        <v>4060</v>
      </c>
      <c r="U516" s="257">
        <f t="shared" ref="U516:U522" si="1701">+T516*$X$1</f>
        <v>4060</v>
      </c>
      <c r="V516" s="559">
        <f t="shared" ref="V516:V522" si="1702">F516+220</f>
        <v>4040</v>
      </c>
      <c r="W516" s="257">
        <f t="shared" ref="W516:W522" si="1703">+V516*$X$1</f>
        <v>4040</v>
      </c>
      <c r="X516" s="133"/>
      <c r="Y516" s="119"/>
      <c r="Z516" s="119"/>
      <c r="AA516" s="119"/>
      <c r="AB516" s="178" t="s">
        <v>247</v>
      </c>
    </row>
    <row r="517" spans="1:28" ht="12.6" customHeight="1" x14ac:dyDescent="0.2">
      <c r="A517" s="17"/>
      <c r="B517" s="667" t="s">
        <v>248</v>
      </c>
      <c r="C517" s="668"/>
      <c r="D517" s="668"/>
      <c r="E517" s="668"/>
      <c r="F517" s="258">
        <v>5325</v>
      </c>
      <c r="G517" s="258">
        <f t="shared" si="1693"/>
        <v>5325</v>
      </c>
      <c r="H517" s="251"/>
      <c r="I517" s="306"/>
      <c r="J517" s="576">
        <f>F517+66</f>
        <v>5391</v>
      </c>
      <c r="K517" s="258"/>
      <c r="L517" s="576">
        <f t="shared" si="1694"/>
        <v>5725</v>
      </c>
      <c r="M517" s="258">
        <f t="shared" si="1695"/>
        <v>5725</v>
      </c>
      <c r="N517" s="576">
        <f t="shared" si="1696"/>
        <v>5675</v>
      </c>
      <c r="O517" s="258">
        <f t="shared" si="1679"/>
        <v>5675</v>
      </c>
      <c r="P517" s="576">
        <f t="shared" si="1697"/>
        <v>5635</v>
      </c>
      <c r="Q517" s="258">
        <f t="shared" si="1698"/>
        <v>5635</v>
      </c>
      <c r="R517" s="576">
        <f t="shared" si="1699"/>
        <v>5605</v>
      </c>
      <c r="S517" s="258">
        <f t="shared" si="1681"/>
        <v>5605</v>
      </c>
      <c r="T517" s="576">
        <f t="shared" si="1700"/>
        <v>5565</v>
      </c>
      <c r="U517" s="258">
        <f t="shared" si="1701"/>
        <v>5565</v>
      </c>
      <c r="V517" s="576">
        <f t="shared" si="1702"/>
        <v>5545</v>
      </c>
      <c r="W517" s="258">
        <f t="shared" si="1703"/>
        <v>5545</v>
      </c>
      <c r="X517" s="133"/>
      <c r="Y517" s="119"/>
      <c r="Z517" s="119"/>
      <c r="AA517" s="119"/>
      <c r="AB517" s="369"/>
    </row>
    <row r="518" spans="1:28" ht="12.6" customHeight="1" x14ac:dyDescent="0.2">
      <c r="A518" s="17"/>
      <c r="B518" s="672" t="s">
        <v>249</v>
      </c>
      <c r="C518" s="673"/>
      <c r="D518" s="673"/>
      <c r="E518" s="673"/>
      <c r="F518" s="257">
        <v>4154</v>
      </c>
      <c r="G518" s="257">
        <f t="shared" si="1693"/>
        <v>4154</v>
      </c>
      <c r="H518" s="252"/>
      <c r="I518" s="305"/>
      <c r="J518" s="559">
        <f>F518+80</f>
        <v>4234</v>
      </c>
      <c r="K518" s="257"/>
      <c r="L518" s="559">
        <f t="shared" si="1694"/>
        <v>4554</v>
      </c>
      <c r="M518" s="257">
        <f t="shared" si="1695"/>
        <v>4554</v>
      </c>
      <c r="N518" s="559">
        <f t="shared" si="1696"/>
        <v>4504</v>
      </c>
      <c r="O518" s="257">
        <f t="shared" si="1679"/>
        <v>4504</v>
      </c>
      <c r="P518" s="559">
        <f t="shared" si="1697"/>
        <v>4464</v>
      </c>
      <c r="Q518" s="257">
        <f t="shared" si="1698"/>
        <v>4464</v>
      </c>
      <c r="R518" s="559">
        <f t="shared" si="1699"/>
        <v>4434</v>
      </c>
      <c r="S518" s="257">
        <f t="shared" si="1681"/>
        <v>4434</v>
      </c>
      <c r="T518" s="559">
        <f t="shared" si="1700"/>
        <v>4394</v>
      </c>
      <c r="U518" s="257">
        <f t="shared" si="1701"/>
        <v>4394</v>
      </c>
      <c r="V518" s="559">
        <f t="shared" si="1702"/>
        <v>4374</v>
      </c>
      <c r="W518" s="257">
        <f t="shared" si="1703"/>
        <v>4374</v>
      </c>
      <c r="X518" s="133"/>
      <c r="Y518" s="119"/>
      <c r="Z518" s="119"/>
      <c r="AA518" s="119"/>
      <c r="AB518" s="178" t="s">
        <v>250</v>
      </c>
    </row>
    <row r="519" spans="1:28" ht="12.6" customHeight="1" x14ac:dyDescent="0.2">
      <c r="A519" s="17"/>
      <c r="B519" s="667" t="s">
        <v>251</v>
      </c>
      <c r="C519" s="668"/>
      <c r="D519" s="668"/>
      <c r="E519" s="668"/>
      <c r="F519" s="258">
        <v>5860</v>
      </c>
      <c r="G519" s="258">
        <f t="shared" si="1693"/>
        <v>5860</v>
      </c>
      <c r="H519" s="251"/>
      <c r="I519" s="306"/>
      <c r="J519" s="576">
        <f>F519+80</f>
        <v>5940</v>
      </c>
      <c r="K519" s="258"/>
      <c r="L519" s="576">
        <f t="shared" si="1694"/>
        <v>6260</v>
      </c>
      <c r="M519" s="258">
        <f t="shared" si="1695"/>
        <v>6260</v>
      </c>
      <c r="N519" s="576">
        <f t="shared" si="1696"/>
        <v>6210</v>
      </c>
      <c r="O519" s="258">
        <f t="shared" si="1679"/>
        <v>6210</v>
      </c>
      <c r="P519" s="576">
        <f t="shared" si="1697"/>
        <v>6170</v>
      </c>
      <c r="Q519" s="258">
        <f t="shared" si="1698"/>
        <v>6170</v>
      </c>
      <c r="R519" s="576">
        <f t="shared" si="1699"/>
        <v>6140</v>
      </c>
      <c r="S519" s="258">
        <f t="shared" si="1681"/>
        <v>6140</v>
      </c>
      <c r="T519" s="576">
        <f t="shared" si="1700"/>
        <v>6100</v>
      </c>
      <c r="U519" s="258">
        <f t="shared" si="1701"/>
        <v>6100</v>
      </c>
      <c r="V519" s="576">
        <f t="shared" si="1702"/>
        <v>6080</v>
      </c>
      <c r="W519" s="258">
        <f t="shared" si="1703"/>
        <v>6080</v>
      </c>
      <c r="X519" s="133"/>
      <c r="Y519" s="119"/>
      <c r="Z519" s="119"/>
      <c r="AA519" s="119"/>
      <c r="AB519" s="369"/>
    </row>
    <row r="520" spans="1:28" ht="12.6" customHeight="1" x14ac:dyDescent="0.2">
      <c r="A520" s="17"/>
      <c r="B520" s="672" t="s">
        <v>821</v>
      </c>
      <c r="C520" s="673"/>
      <c r="D520" s="673"/>
      <c r="E520" s="673"/>
      <c r="F520" s="257">
        <v>11100</v>
      </c>
      <c r="G520" s="257">
        <f t="shared" ref="G520" si="1704">+F520*$X$1</f>
        <v>11100</v>
      </c>
      <c r="H520" s="252"/>
      <c r="I520" s="305"/>
      <c r="J520" s="559">
        <f>F520+430</f>
        <v>11530</v>
      </c>
      <c r="K520" s="257">
        <f t="shared" ref="K520" si="1705">+J520*$X$1</f>
        <v>11530</v>
      </c>
      <c r="L520" s="559">
        <f t="shared" si="1694"/>
        <v>11500</v>
      </c>
      <c r="M520" s="257">
        <f t="shared" si="1695"/>
        <v>11500</v>
      </c>
      <c r="N520" s="559">
        <f t="shared" si="1696"/>
        <v>11450</v>
      </c>
      <c r="O520" s="257">
        <f t="shared" si="1679"/>
        <v>11450</v>
      </c>
      <c r="P520" s="559">
        <f t="shared" si="1697"/>
        <v>11410</v>
      </c>
      <c r="Q520" s="257">
        <f t="shared" si="1698"/>
        <v>11410</v>
      </c>
      <c r="R520" s="559">
        <f t="shared" si="1699"/>
        <v>11380</v>
      </c>
      <c r="S520" s="257">
        <f t="shared" si="1681"/>
        <v>11380</v>
      </c>
      <c r="T520" s="559">
        <f t="shared" si="1700"/>
        <v>11340</v>
      </c>
      <c r="U520" s="257">
        <f t="shared" si="1701"/>
        <v>11340</v>
      </c>
      <c r="V520" s="559">
        <f t="shared" si="1702"/>
        <v>11320</v>
      </c>
      <c r="W520" s="257">
        <f t="shared" si="1703"/>
        <v>11320</v>
      </c>
      <c r="X520" s="133"/>
      <c r="Y520" s="119"/>
      <c r="Z520" s="119"/>
      <c r="AA520" s="119"/>
      <c r="AB520" s="178" t="s">
        <v>822</v>
      </c>
    </row>
    <row r="521" spans="1:28" ht="12.6" customHeight="1" x14ac:dyDescent="0.2">
      <c r="A521" s="17"/>
      <c r="B521" s="667" t="s">
        <v>584</v>
      </c>
      <c r="C521" s="668"/>
      <c r="D521" s="668"/>
      <c r="E521" s="668"/>
      <c r="F521" s="258">
        <v>5430</v>
      </c>
      <c r="G521" s="258">
        <f>+F521*$X$1</f>
        <v>5430</v>
      </c>
      <c r="H521" s="251"/>
      <c r="I521" s="306"/>
      <c r="J521" s="576">
        <f>F521+66</f>
        <v>5496</v>
      </c>
      <c r="K521" s="258"/>
      <c r="L521" s="576">
        <f t="shared" si="1694"/>
        <v>5830</v>
      </c>
      <c r="M521" s="258">
        <f t="shared" si="1695"/>
        <v>5830</v>
      </c>
      <c r="N521" s="576">
        <f t="shared" si="1696"/>
        <v>5780</v>
      </c>
      <c r="O521" s="258">
        <f t="shared" si="1679"/>
        <v>5780</v>
      </c>
      <c r="P521" s="576">
        <f t="shared" si="1697"/>
        <v>5740</v>
      </c>
      <c r="Q521" s="258">
        <f t="shared" si="1698"/>
        <v>5740</v>
      </c>
      <c r="R521" s="576">
        <f t="shared" si="1699"/>
        <v>5710</v>
      </c>
      <c r="S521" s="258">
        <f t="shared" si="1681"/>
        <v>5710</v>
      </c>
      <c r="T521" s="576">
        <f t="shared" si="1700"/>
        <v>5670</v>
      </c>
      <c r="U521" s="258">
        <f t="shared" si="1701"/>
        <v>5670</v>
      </c>
      <c r="V521" s="576">
        <f t="shared" si="1702"/>
        <v>5650</v>
      </c>
      <c r="W521" s="258">
        <f t="shared" si="1703"/>
        <v>5650</v>
      </c>
      <c r="X521" s="133"/>
      <c r="Y521" s="119"/>
      <c r="Z521" s="119"/>
      <c r="AA521" s="119"/>
      <c r="AB521" s="178" t="s">
        <v>252</v>
      </c>
    </row>
    <row r="522" spans="1:28" ht="12.6" customHeight="1" x14ac:dyDescent="0.2">
      <c r="A522" s="17"/>
      <c r="B522" s="672" t="s">
        <v>585</v>
      </c>
      <c r="C522" s="673"/>
      <c r="D522" s="673"/>
      <c r="E522" s="673"/>
      <c r="F522" s="257">
        <v>5990</v>
      </c>
      <c r="G522" s="257">
        <f>+F522*$X$1</f>
        <v>5990</v>
      </c>
      <c r="H522" s="252"/>
      <c r="I522" s="305"/>
      <c r="J522" s="559">
        <f>F522+80</f>
        <v>6070</v>
      </c>
      <c r="K522" s="257"/>
      <c r="L522" s="559">
        <f t="shared" si="1694"/>
        <v>6390</v>
      </c>
      <c r="M522" s="257">
        <f t="shared" si="1695"/>
        <v>6390</v>
      </c>
      <c r="N522" s="559">
        <f t="shared" si="1696"/>
        <v>6340</v>
      </c>
      <c r="O522" s="257">
        <f t="shared" si="1679"/>
        <v>6340</v>
      </c>
      <c r="P522" s="559">
        <f t="shared" si="1697"/>
        <v>6300</v>
      </c>
      <c r="Q522" s="257">
        <f t="shared" si="1698"/>
        <v>6300</v>
      </c>
      <c r="R522" s="559">
        <f t="shared" si="1699"/>
        <v>6270</v>
      </c>
      <c r="S522" s="257">
        <f t="shared" si="1681"/>
        <v>6270</v>
      </c>
      <c r="T522" s="559">
        <f t="shared" si="1700"/>
        <v>6230</v>
      </c>
      <c r="U522" s="257">
        <f t="shared" si="1701"/>
        <v>6230</v>
      </c>
      <c r="V522" s="559">
        <f t="shared" si="1702"/>
        <v>6210</v>
      </c>
      <c r="W522" s="257">
        <f t="shared" si="1703"/>
        <v>6210</v>
      </c>
      <c r="X522" s="133"/>
      <c r="Y522" s="119"/>
      <c r="Z522" s="119"/>
      <c r="AA522" s="119"/>
      <c r="AB522" s="178" t="s">
        <v>253</v>
      </c>
    </row>
    <row r="523" spans="1:28" ht="12.6" customHeight="1" x14ac:dyDescent="0.25">
      <c r="A523" s="17"/>
      <c r="B523" s="667" t="s">
        <v>300</v>
      </c>
      <c r="C523" s="668"/>
      <c r="D523" s="668"/>
      <c r="E523" s="668"/>
      <c r="F523" s="258">
        <v>6850</v>
      </c>
      <c r="G523" s="258">
        <f>+F523*$X$1</f>
        <v>6850</v>
      </c>
      <c r="H523" s="576">
        <f t="shared" ref="H523:H527" si="1706">F523+600</f>
        <v>7450</v>
      </c>
      <c r="I523" s="258">
        <f t="shared" ref="I523:I529" si="1707">+H523*$X$1</f>
        <v>7450</v>
      </c>
      <c r="J523" s="576">
        <f t="shared" ref="J523:J528" si="1708">F523+410</f>
        <v>7260</v>
      </c>
      <c r="K523" s="258">
        <f t="shared" ref="K523" si="1709">+J523*$X$1</f>
        <v>7260</v>
      </c>
      <c r="L523" s="576">
        <f t="shared" ref="L523:L528" si="1710">F523+360</f>
        <v>7210</v>
      </c>
      <c r="M523" s="258">
        <f t="shared" si="1695"/>
        <v>7210</v>
      </c>
      <c r="N523" s="576">
        <f t="shared" ref="N523:N528" si="1711">F523+320</f>
        <v>7170</v>
      </c>
      <c r="O523" s="258">
        <f t="shared" ref="O523" si="1712">+N523*$X$1</f>
        <v>7170</v>
      </c>
      <c r="P523" s="576">
        <f t="shared" ref="P523:P528" si="1713">F523+290</f>
        <v>7140</v>
      </c>
      <c r="Q523" s="258">
        <f t="shared" ref="Q523" si="1714">+P523*$X$1</f>
        <v>7140</v>
      </c>
      <c r="R523" s="576">
        <f t="shared" ref="R523:R528" si="1715">F523+270</f>
        <v>7120</v>
      </c>
      <c r="S523" s="258">
        <f t="shared" ref="S523" si="1716">+R523*$X$1</f>
        <v>7120</v>
      </c>
      <c r="T523" s="576">
        <f t="shared" ref="T523:T528" si="1717">F523+230</f>
        <v>7080</v>
      </c>
      <c r="U523" s="258">
        <f t="shared" ref="U523" si="1718">+T523*$X$1</f>
        <v>7080</v>
      </c>
      <c r="V523" s="576">
        <f t="shared" ref="V523:V528" si="1719">F523+210</f>
        <v>7060</v>
      </c>
      <c r="W523" s="258">
        <f t="shared" ref="W523" si="1720">+V523*$X$1</f>
        <v>7060</v>
      </c>
      <c r="X523" s="779"/>
      <c r="Y523" s="780"/>
      <c r="Z523" s="780"/>
      <c r="AA523" s="780"/>
      <c r="AB523" s="178" t="s">
        <v>254</v>
      </c>
    </row>
    <row r="524" spans="1:28" ht="12.6" customHeight="1" x14ac:dyDescent="0.25">
      <c r="A524" s="17"/>
      <c r="B524" s="1168" t="s">
        <v>462</v>
      </c>
      <c r="C524" s="679"/>
      <c r="D524" s="679"/>
      <c r="E524" s="680"/>
      <c r="F524" s="257">
        <v>3826</v>
      </c>
      <c r="G524" s="257">
        <f t="shared" ref="G524" si="1721">+F524*$X$1</f>
        <v>3826</v>
      </c>
      <c r="H524" s="559">
        <f t="shared" si="1706"/>
        <v>4426</v>
      </c>
      <c r="I524" s="257">
        <f t="shared" ref="I524:I527" si="1722">+H524*$X$1</f>
        <v>4426</v>
      </c>
      <c r="J524" s="559">
        <f t="shared" si="1708"/>
        <v>4236</v>
      </c>
      <c r="K524" s="257">
        <f t="shared" ref="K524:K535" si="1723">+J524*$X$1</f>
        <v>4236</v>
      </c>
      <c r="L524" s="559">
        <f t="shared" si="1710"/>
        <v>4186</v>
      </c>
      <c r="M524" s="257">
        <f t="shared" si="1695"/>
        <v>4186</v>
      </c>
      <c r="N524" s="559">
        <f t="shared" si="1711"/>
        <v>4146</v>
      </c>
      <c r="O524" s="257">
        <f t="shared" ref="O524:O528" si="1724">+N524*$X$1</f>
        <v>4146</v>
      </c>
      <c r="P524" s="559">
        <f t="shared" si="1713"/>
        <v>4116</v>
      </c>
      <c r="Q524" s="257">
        <f t="shared" ref="Q524:Q528" si="1725">+P524*$X$1</f>
        <v>4116</v>
      </c>
      <c r="R524" s="559">
        <f t="shared" si="1715"/>
        <v>4096</v>
      </c>
      <c r="S524" s="257">
        <f t="shared" ref="S524:S528" si="1726">+R524*$X$1</f>
        <v>4096</v>
      </c>
      <c r="T524" s="559">
        <f t="shared" si="1717"/>
        <v>4056</v>
      </c>
      <c r="U524" s="257">
        <f t="shared" ref="U524:U528" si="1727">+T524*$X$1</f>
        <v>4056</v>
      </c>
      <c r="V524" s="559">
        <f t="shared" si="1719"/>
        <v>4036</v>
      </c>
      <c r="W524" s="257">
        <f t="shared" ref="W524:W528" si="1728">+V524*$X$1</f>
        <v>4036</v>
      </c>
      <c r="X524" s="779"/>
      <c r="Y524" s="780"/>
      <c r="Z524" s="780"/>
      <c r="AA524" s="780"/>
      <c r="AB524" s="178" t="s">
        <v>397</v>
      </c>
    </row>
    <row r="525" spans="1:28" ht="12.6" customHeight="1" x14ac:dyDescent="0.2">
      <c r="A525" s="17"/>
      <c r="B525" s="667" t="s">
        <v>347</v>
      </c>
      <c r="C525" s="668"/>
      <c r="D525" s="668"/>
      <c r="E525" s="668"/>
      <c r="F525" s="258">
        <v>3980</v>
      </c>
      <c r="G525" s="258">
        <f>+F525*$X$1</f>
        <v>3980</v>
      </c>
      <c r="H525" s="576">
        <f t="shared" si="1706"/>
        <v>4580</v>
      </c>
      <c r="I525" s="258">
        <f t="shared" si="1722"/>
        <v>4580</v>
      </c>
      <c r="J525" s="576">
        <f t="shared" si="1708"/>
        <v>4390</v>
      </c>
      <c r="K525" s="258">
        <f t="shared" si="1723"/>
        <v>4390</v>
      </c>
      <c r="L525" s="576">
        <f t="shared" si="1710"/>
        <v>4340</v>
      </c>
      <c r="M525" s="258">
        <f t="shared" si="1695"/>
        <v>4340</v>
      </c>
      <c r="N525" s="576">
        <f t="shared" si="1711"/>
        <v>4300</v>
      </c>
      <c r="O525" s="258">
        <f t="shared" si="1724"/>
        <v>4300</v>
      </c>
      <c r="P525" s="576">
        <f t="shared" si="1713"/>
        <v>4270</v>
      </c>
      <c r="Q525" s="258">
        <f t="shared" si="1725"/>
        <v>4270</v>
      </c>
      <c r="R525" s="576">
        <f t="shared" si="1715"/>
        <v>4250</v>
      </c>
      <c r="S525" s="258">
        <f t="shared" si="1726"/>
        <v>4250</v>
      </c>
      <c r="T525" s="576">
        <f t="shared" si="1717"/>
        <v>4210</v>
      </c>
      <c r="U525" s="258">
        <f t="shared" si="1727"/>
        <v>4210</v>
      </c>
      <c r="V525" s="576">
        <f t="shared" si="1719"/>
        <v>4190</v>
      </c>
      <c r="W525" s="258">
        <f t="shared" si="1728"/>
        <v>4190</v>
      </c>
      <c r="X525" s="754"/>
      <c r="Y525" s="755"/>
      <c r="Z525" s="755"/>
      <c r="AA525" s="756"/>
      <c r="AB525" s="178" t="s">
        <v>255</v>
      </c>
    </row>
    <row r="526" spans="1:28" ht="12.6" customHeight="1" x14ac:dyDescent="0.25">
      <c r="A526" s="17"/>
      <c r="B526" s="823" t="s">
        <v>761</v>
      </c>
      <c r="C526" s="1147"/>
      <c r="D526" s="1147"/>
      <c r="E526" s="1147"/>
      <c r="F526" s="257">
        <v>3980</v>
      </c>
      <c r="G526" s="257">
        <f t="shared" ref="G526:G528" si="1729">+F526*$X$1</f>
        <v>3980</v>
      </c>
      <c r="H526" s="559">
        <f t="shared" si="1706"/>
        <v>4580</v>
      </c>
      <c r="I526" s="257">
        <f t="shared" si="1722"/>
        <v>4580</v>
      </c>
      <c r="J526" s="559">
        <f t="shared" si="1708"/>
        <v>4390</v>
      </c>
      <c r="K526" s="257">
        <f t="shared" si="1723"/>
        <v>4390</v>
      </c>
      <c r="L526" s="559">
        <f t="shared" si="1710"/>
        <v>4340</v>
      </c>
      <c r="M526" s="257">
        <f t="shared" si="1695"/>
        <v>4340</v>
      </c>
      <c r="N526" s="559">
        <f t="shared" si="1711"/>
        <v>4300</v>
      </c>
      <c r="O526" s="257">
        <f t="shared" si="1724"/>
        <v>4300</v>
      </c>
      <c r="P526" s="559">
        <f t="shared" si="1713"/>
        <v>4270</v>
      </c>
      <c r="Q526" s="257">
        <f t="shared" si="1725"/>
        <v>4270</v>
      </c>
      <c r="R526" s="559">
        <f t="shared" si="1715"/>
        <v>4250</v>
      </c>
      <c r="S526" s="257">
        <f t="shared" si="1726"/>
        <v>4250</v>
      </c>
      <c r="T526" s="559">
        <f t="shared" si="1717"/>
        <v>4210</v>
      </c>
      <c r="U526" s="257">
        <f t="shared" si="1727"/>
        <v>4210</v>
      </c>
      <c r="V526" s="559">
        <f t="shared" si="1719"/>
        <v>4190</v>
      </c>
      <c r="W526" s="257">
        <f t="shared" si="1728"/>
        <v>4190</v>
      </c>
      <c r="X526" s="779"/>
      <c r="Y526" s="780"/>
      <c r="Z526" s="780"/>
      <c r="AA526" s="780"/>
      <c r="AB526" s="178" t="s">
        <v>256</v>
      </c>
    </row>
    <row r="527" spans="1:28" ht="12.6" customHeight="1" x14ac:dyDescent="0.25">
      <c r="A527" s="17"/>
      <c r="B527" s="1022" t="s">
        <v>493</v>
      </c>
      <c r="C527" s="688"/>
      <c r="D527" s="688"/>
      <c r="E527" s="689"/>
      <c r="F527" s="260">
        <v>3826</v>
      </c>
      <c r="G527" s="258">
        <f>+F527*$X$1</f>
        <v>3826</v>
      </c>
      <c r="H527" s="576">
        <f t="shared" si="1706"/>
        <v>4426</v>
      </c>
      <c r="I527" s="258">
        <f t="shared" si="1722"/>
        <v>4426</v>
      </c>
      <c r="J527" s="576">
        <f t="shared" si="1708"/>
        <v>4236</v>
      </c>
      <c r="K527" s="258">
        <f t="shared" si="1723"/>
        <v>4236</v>
      </c>
      <c r="L527" s="576">
        <f t="shared" si="1710"/>
        <v>4186</v>
      </c>
      <c r="M527" s="258">
        <f t="shared" si="1695"/>
        <v>4186</v>
      </c>
      <c r="N527" s="576">
        <f t="shared" si="1711"/>
        <v>4146</v>
      </c>
      <c r="O527" s="258">
        <f t="shared" si="1724"/>
        <v>4146</v>
      </c>
      <c r="P527" s="576">
        <f t="shared" si="1713"/>
        <v>4116</v>
      </c>
      <c r="Q527" s="258">
        <f t="shared" si="1725"/>
        <v>4116</v>
      </c>
      <c r="R527" s="576">
        <f t="shared" si="1715"/>
        <v>4096</v>
      </c>
      <c r="S527" s="258">
        <f t="shared" si="1726"/>
        <v>4096</v>
      </c>
      <c r="T527" s="576">
        <f t="shared" si="1717"/>
        <v>4056</v>
      </c>
      <c r="U527" s="258">
        <f t="shared" si="1727"/>
        <v>4056</v>
      </c>
      <c r="V527" s="576">
        <f t="shared" si="1719"/>
        <v>4036</v>
      </c>
      <c r="W527" s="258">
        <f t="shared" si="1728"/>
        <v>4036</v>
      </c>
      <c r="X527" s="779"/>
      <c r="Y527" s="780"/>
      <c r="Z527" s="780"/>
      <c r="AA527" s="780"/>
      <c r="AB527" s="27"/>
    </row>
    <row r="528" spans="1:28" ht="12.6" customHeight="1" x14ac:dyDescent="0.25">
      <c r="A528" s="17"/>
      <c r="B528" s="672" t="s">
        <v>299</v>
      </c>
      <c r="C528" s="673"/>
      <c r="D528" s="673"/>
      <c r="E528" s="673"/>
      <c r="F528" s="257">
        <v>6390</v>
      </c>
      <c r="G528" s="257">
        <f t="shared" si="1729"/>
        <v>6390</v>
      </c>
      <c r="H528" s="559"/>
      <c r="I528" s="257"/>
      <c r="J528" s="559">
        <f t="shared" si="1708"/>
        <v>6800</v>
      </c>
      <c r="K528" s="257">
        <f t="shared" si="1723"/>
        <v>6800</v>
      </c>
      <c r="L528" s="559">
        <f t="shared" si="1710"/>
        <v>6750</v>
      </c>
      <c r="M528" s="257">
        <f t="shared" si="1695"/>
        <v>6750</v>
      </c>
      <c r="N528" s="559">
        <f t="shared" si="1711"/>
        <v>6710</v>
      </c>
      <c r="O528" s="257">
        <f t="shared" si="1724"/>
        <v>6710</v>
      </c>
      <c r="P528" s="559">
        <f t="shared" si="1713"/>
        <v>6680</v>
      </c>
      <c r="Q528" s="257">
        <f t="shared" si="1725"/>
        <v>6680</v>
      </c>
      <c r="R528" s="559">
        <f t="shared" si="1715"/>
        <v>6660</v>
      </c>
      <c r="S528" s="257">
        <f t="shared" si="1726"/>
        <v>6660</v>
      </c>
      <c r="T528" s="559">
        <f t="shared" si="1717"/>
        <v>6620</v>
      </c>
      <c r="U528" s="257">
        <f t="shared" si="1727"/>
        <v>6620</v>
      </c>
      <c r="V528" s="559">
        <f t="shared" si="1719"/>
        <v>6600</v>
      </c>
      <c r="W528" s="257">
        <f t="shared" si="1728"/>
        <v>6600</v>
      </c>
      <c r="X528" s="779"/>
      <c r="Y528" s="780"/>
      <c r="Z528" s="780"/>
      <c r="AA528" s="780"/>
      <c r="AB528" s="178" t="s">
        <v>257</v>
      </c>
    </row>
    <row r="529" spans="1:34" ht="12.6" customHeight="1" x14ac:dyDescent="0.2">
      <c r="A529" s="17"/>
      <c r="B529" s="667" t="s">
        <v>698</v>
      </c>
      <c r="C529" s="1011"/>
      <c r="D529" s="1011"/>
      <c r="E529" s="1011"/>
      <c r="F529" s="258">
        <v>12023</v>
      </c>
      <c r="G529" s="258">
        <f>+F529*$X$1</f>
        <v>12023</v>
      </c>
      <c r="H529" s="576">
        <f>F529+700</f>
        <v>12723</v>
      </c>
      <c r="I529" s="258">
        <f t="shared" si="1707"/>
        <v>12723</v>
      </c>
      <c r="J529" s="576">
        <f t="shared" ref="J529:J535" si="1730">F529+430</f>
        <v>12453</v>
      </c>
      <c r="K529" s="258">
        <f t="shared" si="1723"/>
        <v>12453</v>
      </c>
      <c r="L529" s="576">
        <f t="shared" ref="L529:L535" si="1731">F529+400</f>
        <v>12423</v>
      </c>
      <c r="M529" s="258">
        <f t="shared" si="1695"/>
        <v>12423</v>
      </c>
      <c r="N529" s="576">
        <f t="shared" ref="N529:N535" si="1732">F529+350</f>
        <v>12373</v>
      </c>
      <c r="O529" s="258">
        <f t="shared" ref="O529:O535" si="1733">+N529*$X$1</f>
        <v>12373</v>
      </c>
      <c r="P529" s="576">
        <f t="shared" ref="P529:P535" si="1734">F529+310</f>
        <v>12333</v>
      </c>
      <c r="Q529" s="258">
        <f t="shared" ref="Q529:Q535" si="1735">+P529*$X$1</f>
        <v>12333</v>
      </c>
      <c r="R529" s="576">
        <f t="shared" ref="R529:R535" si="1736">F529+280</f>
        <v>12303</v>
      </c>
      <c r="S529" s="258">
        <f t="shared" ref="S529:S535" si="1737">+R529*$X$1</f>
        <v>12303</v>
      </c>
      <c r="T529" s="576">
        <f t="shared" ref="T529:T535" si="1738">F529+240</f>
        <v>12263</v>
      </c>
      <c r="U529" s="258">
        <f t="shared" ref="U529:U535" si="1739">+T529*$X$1</f>
        <v>12263</v>
      </c>
      <c r="V529" s="576">
        <f t="shared" ref="V529:V535" si="1740">F529+220</f>
        <v>12243</v>
      </c>
      <c r="W529" s="258">
        <f t="shared" ref="W529:W535" si="1741">+V529*$X$1</f>
        <v>12243</v>
      </c>
      <c r="X529" s="134"/>
      <c r="Y529" s="122"/>
      <c r="Z529" s="122"/>
      <c r="AA529" s="125"/>
      <c r="AB529" s="178" t="s">
        <v>258</v>
      </c>
    </row>
    <row r="530" spans="1:34" ht="12.6" customHeight="1" x14ac:dyDescent="0.2">
      <c r="A530" s="17"/>
      <c r="B530" s="672" t="s">
        <v>699</v>
      </c>
      <c r="C530" s="1013"/>
      <c r="D530" s="1013"/>
      <c r="E530" s="1013"/>
      <c r="F530" s="257">
        <v>12076</v>
      </c>
      <c r="G530" s="257">
        <f t="shared" ref="G530" si="1742">+F530*$X$1</f>
        <v>12076</v>
      </c>
      <c r="H530" s="559">
        <f>F530+700</f>
        <v>12776</v>
      </c>
      <c r="I530" s="257">
        <f>+H530*$X$1</f>
        <v>12776</v>
      </c>
      <c r="J530" s="559">
        <f t="shared" si="1730"/>
        <v>12506</v>
      </c>
      <c r="K530" s="257">
        <f t="shared" si="1723"/>
        <v>12506</v>
      </c>
      <c r="L530" s="559">
        <f t="shared" si="1731"/>
        <v>12476</v>
      </c>
      <c r="M530" s="257">
        <f t="shared" si="1695"/>
        <v>12476</v>
      </c>
      <c r="N530" s="559">
        <f t="shared" si="1732"/>
        <v>12426</v>
      </c>
      <c r="O530" s="257">
        <f t="shared" si="1733"/>
        <v>12426</v>
      </c>
      <c r="P530" s="559">
        <f t="shared" si="1734"/>
        <v>12386</v>
      </c>
      <c r="Q530" s="257">
        <f t="shared" si="1735"/>
        <v>12386</v>
      </c>
      <c r="R530" s="559">
        <f t="shared" si="1736"/>
        <v>12356</v>
      </c>
      <c r="S530" s="257">
        <f t="shared" si="1737"/>
        <v>12356</v>
      </c>
      <c r="T530" s="559">
        <f t="shared" si="1738"/>
        <v>12316</v>
      </c>
      <c r="U530" s="257">
        <f t="shared" si="1739"/>
        <v>12316</v>
      </c>
      <c r="V530" s="559">
        <f t="shared" si="1740"/>
        <v>12296</v>
      </c>
      <c r="W530" s="257">
        <f t="shared" si="1741"/>
        <v>12296</v>
      </c>
      <c r="X530" s="134"/>
      <c r="Y530" s="122"/>
      <c r="Z530" s="122"/>
      <c r="AA530" s="125"/>
      <c r="AB530" s="178" t="s">
        <v>259</v>
      </c>
    </row>
    <row r="531" spans="1:34" ht="12.6" customHeight="1" x14ac:dyDescent="0.2">
      <c r="A531" s="17"/>
      <c r="B531" s="667" t="s">
        <v>841</v>
      </c>
      <c r="C531" s="1011"/>
      <c r="D531" s="1011"/>
      <c r="E531" s="1011"/>
      <c r="F531" s="334">
        <f>9.22*X2</f>
        <v>12262.6</v>
      </c>
      <c r="G531" s="258">
        <f t="shared" ref="G531" si="1743">+F531*$X$1</f>
        <v>12262.6</v>
      </c>
      <c r="H531" s="576">
        <f>F531+700</f>
        <v>12962.6</v>
      </c>
      <c r="I531" s="258">
        <f>+H531*$X$1</f>
        <v>12962.6</v>
      </c>
      <c r="J531" s="576">
        <f t="shared" si="1730"/>
        <v>12692.6</v>
      </c>
      <c r="K531" s="258">
        <f t="shared" si="1723"/>
        <v>12692.6</v>
      </c>
      <c r="L531" s="576">
        <f t="shared" si="1731"/>
        <v>12662.6</v>
      </c>
      <c r="M531" s="258">
        <f t="shared" si="1695"/>
        <v>12662.6</v>
      </c>
      <c r="N531" s="576">
        <f t="shared" si="1732"/>
        <v>12612.6</v>
      </c>
      <c r="O531" s="258">
        <f t="shared" si="1733"/>
        <v>12612.6</v>
      </c>
      <c r="P531" s="576">
        <f t="shared" si="1734"/>
        <v>12572.6</v>
      </c>
      <c r="Q531" s="258">
        <f t="shared" si="1735"/>
        <v>12572.6</v>
      </c>
      <c r="R531" s="576">
        <f t="shared" si="1736"/>
        <v>12542.6</v>
      </c>
      <c r="S531" s="258">
        <f t="shared" si="1737"/>
        <v>12542.6</v>
      </c>
      <c r="T531" s="576">
        <f t="shared" si="1738"/>
        <v>12502.6</v>
      </c>
      <c r="U531" s="258">
        <f t="shared" si="1739"/>
        <v>12502.6</v>
      </c>
      <c r="V531" s="576">
        <f t="shared" si="1740"/>
        <v>12482.6</v>
      </c>
      <c r="W531" s="258">
        <f t="shared" si="1741"/>
        <v>12482.6</v>
      </c>
      <c r="X531" s="134"/>
      <c r="Y531" s="122"/>
      <c r="Z531" s="122"/>
      <c r="AA531" s="125"/>
      <c r="AB531" s="178" t="s">
        <v>842</v>
      </c>
    </row>
    <row r="532" spans="1:34" ht="12.6" customHeight="1" x14ac:dyDescent="0.2">
      <c r="A532" s="17"/>
      <c r="B532" s="672" t="s">
        <v>843</v>
      </c>
      <c r="C532" s="1013"/>
      <c r="D532" s="1013"/>
      <c r="E532" s="1013"/>
      <c r="F532" s="333">
        <f>9.4*X2</f>
        <v>12502</v>
      </c>
      <c r="G532" s="257">
        <f t="shared" ref="G532" si="1744">+F532*$X$1</f>
        <v>12502</v>
      </c>
      <c r="H532" s="559">
        <f>F532+700</f>
        <v>13202</v>
      </c>
      <c r="I532" s="257">
        <f t="shared" ref="I532" si="1745">+H532*$X$1</f>
        <v>13202</v>
      </c>
      <c r="J532" s="559">
        <f t="shared" si="1730"/>
        <v>12932</v>
      </c>
      <c r="K532" s="257">
        <f t="shared" si="1723"/>
        <v>12932</v>
      </c>
      <c r="L532" s="559">
        <f t="shared" si="1731"/>
        <v>12902</v>
      </c>
      <c r="M532" s="257">
        <f t="shared" si="1695"/>
        <v>12902</v>
      </c>
      <c r="N532" s="559">
        <f t="shared" si="1732"/>
        <v>12852</v>
      </c>
      <c r="O532" s="257">
        <f t="shared" si="1733"/>
        <v>12852</v>
      </c>
      <c r="P532" s="559">
        <f t="shared" si="1734"/>
        <v>12812</v>
      </c>
      <c r="Q532" s="257">
        <f t="shared" si="1735"/>
        <v>12812</v>
      </c>
      <c r="R532" s="559">
        <f t="shared" si="1736"/>
        <v>12782</v>
      </c>
      <c r="S532" s="257">
        <f t="shared" si="1737"/>
        <v>12782</v>
      </c>
      <c r="T532" s="559">
        <f t="shared" si="1738"/>
        <v>12742</v>
      </c>
      <c r="U532" s="257">
        <f t="shared" si="1739"/>
        <v>12742</v>
      </c>
      <c r="V532" s="559">
        <f t="shared" si="1740"/>
        <v>12722</v>
      </c>
      <c r="W532" s="257">
        <f t="shared" si="1741"/>
        <v>12722</v>
      </c>
      <c r="X532" s="134"/>
      <c r="Y532" s="122"/>
      <c r="Z532" s="122"/>
      <c r="AA532" s="125"/>
      <c r="AB532" s="178" t="s">
        <v>844</v>
      </c>
    </row>
    <row r="533" spans="1:34" ht="12.6" customHeight="1" x14ac:dyDescent="0.2">
      <c r="A533" s="17"/>
      <c r="B533" s="667" t="s">
        <v>260</v>
      </c>
      <c r="C533" s="668"/>
      <c r="D533" s="668"/>
      <c r="E533" s="668"/>
      <c r="F533" s="258">
        <v>8316</v>
      </c>
      <c r="G533" s="258">
        <f>+F533*$X$1</f>
        <v>8316</v>
      </c>
      <c r="H533" s="576"/>
      <c r="I533" s="258"/>
      <c r="J533" s="576">
        <f t="shared" si="1730"/>
        <v>8746</v>
      </c>
      <c r="K533" s="258">
        <f t="shared" si="1723"/>
        <v>8746</v>
      </c>
      <c r="L533" s="576">
        <f t="shared" si="1731"/>
        <v>8716</v>
      </c>
      <c r="M533" s="258">
        <f t="shared" si="1695"/>
        <v>8716</v>
      </c>
      <c r="N533" s="576">
        <f t="shared" si="1732"/>
        <v>8666</v>
      </c>
      <c r="O533" s="258">
        <f t="shared" si="1733"/>
        <v>8666</v>
      </c>
      <c r="P533" s="576">
        <f t="shared" si="1734"/>
        <v>8626</v>
      </c>
      <c r="Q533" s="258">
        <f t="shared" si="1735"/>
        <v>8626</v>
      </c>
      <c r="R533" s="576">
        <f t="shared" si="1736"/>
        <v>8596</v>
      </c>
      <c r="S533" s="258">
        <f t="shared" si="1737"/>
        <v>8596</v>
      </c>
      <c r="T533" s="576">
        <f t="shared" si="1738"/>
        <v>8556</v>
      </c>
      <c r="U533" s="258">
        <f t="shared" si="1739"/>
        <v>8556</v>
      </c>
      <c r="V533" s="576">
        <f t="shared" si="1740"/>
        <v>8536</v>
      </c>
      <c r="W533" s="258">
        <f t="shared" si="1741"/>
        <v>8536</v>
      </c>
      <c r="X533" s="134"/>
      <c r="Y533" s="122"/>
      <c r="Z533" s="122"/>
      <c r="AA533" s="125"/>
      <c r="AB533" s="178" t="s">
        <v>261</v>
      </c>
    </row>
    <row r="534" spans="1:34" ht="12.6" customHeight="1" x14ac:dyDescent="0.2">
      <c r="A534" s="17"/>
      <c r="B534" s="672" t="s">
        <v>262</v>
      </c>
      <c r="C534" s="673"/>
      <c r="D534" s="673"/>
      <c r="E534" s="673"/>
      <c r="F534" s="257">
        <v>9240</v>
      </c>
      <c r="G534" s="257">
        <f>+F534*$X$1</f>
        <v>9240</v>
      </c>
      <c r="H534" s="559"/>
      <c r="I534" s="257"/>
      <c r="J534" s="559">
        <f t="shared" si="1730"/>
        <v>9670</v>
      </c>
      <c r="K534" s="257">
        <f t="shared" si="1723"/>
        <v>9670</v>
      </c>
      <c r="L534" s="559">
        <f t="shared" si="1731"/>
        <v>9640</v>
      </c>
      <c r="M534" s="257">
        <f t="shared" si="1695"/>
        <v>9640</v>
      </c>
      <c r="N534" s="559">
        <f t="shared" si="1732"/>
        <v>9590</v>
      </c>
      <c r="O534" s="257">
        <f t="shared" si="1733"/>
        <v>9590</v>
      </c>
      <c r="P534" s="559">
        <f t="shared" si="1734"/>
        <v>9550</v>
      </c>
      <c r="Q534" s="257">
        <f t="shared" si="1735"/>
        <v>9550</v>
      </c>
      <c r="R534" s="559">
        <f t="shared" si="1736"/>
        <v>9520</v>
      </c>
      <c r="S534" s="257">
        <f t="shared" si="1737"/>
        <v>9520</v>
      </c>
      <c r="T534" s="559">
        <f t="shared" si="1738"/>
        <v>9480</v>
      </c>
      <c r="U534" s="257">
        <f t="shared" si="1739"/>
        <v>9480</v>
      </c>
      <c r="V534" s="559">
        <f t="shared" si="1740"/>
        <v>9460</v>
      </c>
      <c r="W534" s="257">
        <f t="shared" si="1741"/>
        <v>9460</v>
      </c>
      <c r="X534" s="134"/>
      <c r="Y534" s="122"/>
      <c r="Z534" s="122"/>
      <c r="AA534" s="125"/>
      <c r="AB534" s="178" t="s">
        <v>263</v>
      </c>
    </row>
    <row r="535" spans="1:34" ht="12.6" customHeight="1" x14ac:dyDescent="0.2">
      <c r="A535" s="17"/>
      <c r="B535" s="667" t="s">
        <v>846</v>
      </c>
      <c r="C535" s="1011"/>
      <c r="D535" s="1011"/>
      <c r="E535" s="1011"/>
      <c r="F535" s="258">
        <v>10500</v>
      </c>
      <c r="G535" s="258">
        <f t="shared" ref="G535:G537" si="1746">+F535*$X$1</f>
        <v>10500</v>
      </c>
      <c r="H535" s="576"/>
      <c r="I535" s="258"/>
      <c r="J535" s="576">
        <f t="shared" si="1730"/>
        <v>10930</v>
      </c>
      <c r="K535" s="258">
        <f t="shared" si="1723"/>
        <v>10930</v>
      </c>
      <c r="L535" s="576">
        <f t="shared" si="1731"/>
        <v>10900</v>
      </c>
      <c r="M535" s="258">
        <f t="shared" si="1695"/>
        <v>10900</v>
      </c>
      <c r="N535" s="576">
        <f t="shared" si="1732"/>
        <v>10850</v>
      </c>
      <c r="O535" s="258">
        <f t="shared" si="1733"/>
        <v>10850</v>
      </c>
      <c r="P535" s="576">
        <f t="shared" si="1734"/>
        <v>10810</v>
      </c>
      <c r="Q535" s="258">
        <f t="shared" si="1735"/>
        <v>10810</v>
      </c>
      <c r="R535" s="576">
        <f t="shared" si="1736"/>
        <v>10780</v>
      </c>
      <c r="S535" s="258">
        <f t="shared" si="1737"/>
        <v>10780</v>
      </c>
      <c r="T535" s="576">
        <f t="shared" si="1738"/>
        <v>10740</v>
      </c>
      <c r="U535" s="258">
        <f t="shared" si="1739"/>
        <v>10740</v>
      </c>
      <c r="V535" s="576">
        <f t="shared" si="1740"/>
        <v>10720</v>
      </c>
      <c r="W535" s="258">
        <f t="shared" si="1741"/>
        <v>10720</v>
      </c>
      <c r="X535" s="134"/>
      <c r="Y535" s="122"/>
      <c r="Z535" s="122"/>
      <c r="AA535" s="125"/>
      <c r="AB535" s="178" t="s">
        <v>845</v>
      </c>
    </row>
    <row r="536" spans="1:34" ht="12.6" customHeight="1" x14ac:dyDescent="0.2">
      <c r="A536" s="17"/>
      <c r="B536" s="672" t="s">
        <v>917</v>
      </c>
      <c r="C536" s="673"/>
      <c r="D536" s="673"/>
      <c r="E536" s="673"/>
      <c r="F536" s="333">
        <f>4.65*X2</f>
        <v>6184.5000000000009</v>
      </c>
      <c r="G536" s="257">
        <f t="shared" si="1746"/>
        <v>6184.5000000000009</v>
      </c>
      <c r="H536" s="559">
        <f t="shared" ref="H536:H540" si="1747">F536+600</f>
        <v>6784.5000000000009</v>
      </c>
      <c r="I536" s="257">
        <f t="shared" ref="I536:I537" si="1748">+H536*$X$1</f>
        <v>6784.5000000000009</v>
      </c>
      <c r="J536" s="559">
        <f>F536+410</f>
        <v>6594.5000000000009</v>
      </c>
      <c r="K536" s="257">
        <f t="shared" ref="K536:K537" si="1749">+J536*$X$1</f>
        <v>6594.5000000000009</v>
      </c>
      <c r="L536" s="559">
        <f>F536+360</f>
        <v>6544.5000000000009</v>
      </c>
      <c r="M536" s="257">
        <f t="shared" si="1695"/>
        <v>6544.5000000000009</v>
      </c>
      <c r="N536" s="559">
        <f>F536+320</f>
        <v>6504.5000000000009</v>
      </c>
      <c r="O536" s="257">
        <f t="shared" ref="O536:O537" si="1750">+N536*$X$1</f>
        <v>6504.5000000000009</v>
      </c>
      <c r="P536" s="559">
        <f>F536+290</f>
        <v>6474.5000000000009</v>
      </c>
      <c r="Q536" s="257">
        <f t="shared" ref="Q536:Q537" si="1751">+P536*$X$1</f>
        <v>6474.5000000000009</v>
      </c>
      <c r="R536" s="559">
        <f>F536+270</f>
        <v>6454.5000000000009</v>
      </c>
      <c r="S536" s="257">
        <f t="shared" ref="S536:S537" si="1752">+R536*$X$1</f>
        <v>6454.5000000000009</v>
      </c>
      <c r="T536" s="559">
        <f>F536+230</f>
        <v>6414.5000000000009</v>
      </c>
      <c r="U536" s="257">
        <f t="shared" ref="U536:U537" si="1753">+T536*$X$1</f>
        <v>6414.5000000000009</v>
      </c>
      <c r="V536" s="559">
        <f>F536+210</f>
        <v>6394.5000000000009</v>
      </c>
      <c r="W536" s="257">
        <f t="shared" ref="W536:W537" si="1754">+V536*$X$1</f>
        <v>6394.5000000000009</v>
      </c>
      <c r="X536" s="754"/>
      <c r="Y536" s="755"/>
      <c r="Z536" s="755"/>
      <c r="AA536" s="756"/>
      <c r="AB536" s="178" t="s">
        <v>887</v>
      </c>
    </row>
    <row r="537" spans="1:34" ht="12.6" customHeight="1" x14ac:dyDescent="0.2">
      <c r="A537" s="17"/>
      <c r="B537" s="723" t="s">
        <v>888</v>
      </c>
      <c r="C537" s="686"/>
      <c r="D537" s="686"/>
      <c r="E537" s="686"/>
      <c r="F537" s="334">
        <f>3.61*X2</f>
        <v>4801.3</v>
      </c>
      <c r="G537" s="258">
        <f t="shared" si="1746"/>
        <v>4801.3</v>
      </c>
      <c r="H537" s="576">
        <f t="shared" si="1747"/>
        <v>5401.3</v>
      </c>
      <c r="I537" s="258">
        <f t="shared" si="1748"/>
        <v>5401.3</v>
      </c>
      <c r="J537" s="576">
        <f>F537+410</f>
        <v>5211.3</v>
      </c>
      <c r="K537" s="258">
        <f t="shared" si="1749"/>
        <v>5211.3</v>
      </c>
      <c r="L537" s="576">
        <f>F537+360</f>
        <v>5161.3</v>
      </c>
      <c r="M537" s="258">
        <f t="shared" si="1695"/>
        <v>5161.3</v>
      </c>
      <c r="N537" s="576">
        <f>F537+320</f>
        <v>5121.3</v>
      </c>
      <c r="O537" s="258">
        <f t="shared" si="1750"/>
        <v>5121.3</v>
      </c>
      <c r="P537" s="576">
        <f>F537+290</f>
        <v>5091.3</v>
      </c>
      <c r="Q537" s="258">
        <f t="shared" si="1751"/>
        <v>5091.3</v>
      </c>
      <c r="R537" s="576">
        <f>F537+270</f>
        <v>5071.3</v>
      </c>
      <c r="S537" s="258">
        <f t="shared" si="1752"/>
        <v>5071.3</v>
      </c>
      <c r="T537" s="576">
        <f>F537+230</f>
        <v>5031.3</v>
      </c>
      <c r="U537" s="258">
        <f t="shared" si="1753"/>
        <v>5031.3</v>
      </c>
      <c r="V537" s="576">
        <f>F537+210</f>
        <v>5011.3</v>
      </c>
      <c r="W537" s="258">
        <f t="shared" si="1754"/>
        <v>5011.3</v>
      </c>
      <c r="X537" s="754"/>
      <c r="Y537" s="755"/>
      <c r="Z537" s="755"/>
      <c r="AA537" s="756"/>
      <c r="AB537" s="178" t="s">
        <v>889</v>
      </c>
    </row>
    <row r="538" spans="1:34" ht="12.6" customHeight="1" x14ac:dyDescent="0.2">
      <c r="A538" s="17"/>
      <c r="B538" s="672" t="s">
        <v>522</v>
      </c>
      <c r="C538" s="673"/>
      <c r="D538" s="673"/>
      <c r="E538" s="673"/>
      <c r="F538" s="333">
        <f>3.82*X2</f>
        <v>5080.5999999999995</v>
      </c>
      <c r="G538" s="257">
        <f t="shared" ref="G538" si="1755">+F538*$X$1</f>
        <v>5080.5999999999995</v>
      </c>
      <c r="H538" s="559">
        <f t="shared" si="1747"/>
        <v>5680.5999999999995</v>
      </c>
      <c r="I538" s="257">
        <f t="shared" ref="I538:I540" si="1756">+H538*$X$1</f>
        <v>5680.5999999999995</v>
      </c>
      <c r="J538" s="559">
        <f>F538+350</f>
        <v>5430.5999999999995</v>
      </c>
      <c r="K538" s="257">
        <f t="shared" ref="K538:K541" si="1757">+J538*$X$1</f>
        <v>5430.5999999999995</v>
      </c>
      <c r="L538" s="559">
        <f>F538+300</f>
        <v>5380.5999999999995</v>
      </c>
      <c r="M538" s="257">
        <f t="shared" ref="M538" si="1758">+L538*$X$1</f>
        <v>5380.5999999999995</v>
      </c>
      <c r="N538" s="559">
        <f>F538+270</f>
        <v>5350.5999999999995</v>
      </c>
      <c r="O538" s="257">
        <f>+N538*$X$1</f>
        <v>5350.5999999999995</v>
      </c>
      <c r="P538" s="559">
        <f>F538+240</f>
        <v>5320.5999999999995</v>
      </c>
      <c r="Q538" s="257">
        <f t="shared" ref="Q538:Q541" si="1759">+P538*$X$1</f>
        <v>5320.5999999999995</v>
      </c>
      <c r="R538" s="559">
        <f>F538+220</f>
        <v>5300.5999999999995</v>
      </c>
      <c r="S538" s="257">
        <f t="shared" ref="S538:S541" si="1760">+R538*$X$1</f>
        <v>5300.5999999999995</v>
      </c>
      <c r="T538" s="559">
        <f>F538+190</f>
        <v>5270.5999999999995</v>
      </c>
      <c r="U538" s="257">
        <f t="shared" ref="U538:U541" si="1761">+T538*$X$1</f>
        <v>5270.5999999999995</v>
      </c>
      <c r="V538" s="559">
        <f>F538+150</f>
        <v>5230.5999999999995</v>
      </c>
      <c r="W538" s="257">
        <f t="shared" ref="W538:W541" si="1762">+V538*$X$1</f>
        <v>5230.5999999999995</v>
      </c>
      <c r="X538" s="754"/>
      <c r="Y538" s="755"/>
      <c r="Z538" s="755"/>
      <c r="AA538" s="756"/>
      <c r="AB538" s="178" t="s">
        <v>264</v>
      </c>
    </row>
    <row r="539" spans="1:34" ht="12.6" customHeight="1" x14ac:dyDescent="0.2">
      <c r="A539" s="17"/>
      <c r="B539" s="667" t="s">
        <v>591</v>
      </c>
      <c r="C539" s="668"/>
      <c r="D539" s="668"/>
      <c r="E539" s="668"/>
      <c r="F539" s="334">
        <f>3.82*X2</f>
        <v>5080.5999999999995</v>
      </c>
      <c r="G539" s="258">
        <f t="shared" ref="G539" si="1763">+F539*$X$1</f>
        <v>5080.5999999999995</v>
      </c>
      <c r="H539" s="576">
        <f t="shared" si="1747"/>
        <v>5680.5999999999995</v>
      </c>
      <c r="I539" s="258">
        <f t="shared" si="1756"/>
        <v>5680.5999999999995</v>
      </c>
      <c r="J539" s="576">
        <f>F539+410</f>
        <v>5490.5999999999995</v>
      </c>
      <c r="K539" s="258">
        <f t="shared" si="1757"/>
        <v>5490.5999999999995</v>
      </c>
      <c r="L539" s="576">
        <f>F539+360</f>
        <v>5440.5999999999995</v>
      </c>
      <c r="M539" s="258">
        <f>+L539*$X$1</f>
        <v>5440.5999999999995</v>
      </c>
      <c r="N539" s="576">
        <f>F539+320</f>
        <v>5400.5999999999995</v>
      </c>
      <c r="O539" s="258">
        <f t="shared" ref="O539:O541" si="1764">+N539*$X$1</f>
        <v>5400.5999999999995</v>
      </c>
      <c r="P539" s="576">
        <f>F539+290</f>
        <v>5370.5999999999995</v>
      </c>
      <c r="Q539" s="258">
        <f t="shared" si="1759"/>
        <v>5370.5999999999995</v>
      </c>
      <c r="R539" s="576">
        <f>F539+270</f>
        <v>5350.5999999999995</v>
      </c>
      <c r="S539" s="258">
        <f t="shared" si="1760"/>
        <v>5350.5999999999995</v>
      </c>
      <c r="T539" s="576">
        <f>F539+230</f>
        <v>5310.5999999999995</v>
      </c>
      <c r="U539" s="258">
        <f t="shared" si="1761"/>
        <v>5310.5999999999995</v>
      </c>
      <c r="V539" s="576">
        <f>F539+210</f>
        <v>5290.5999999999995</v>
      </c>
      <c r="W539" s="258">
        <f t="shared" si="1762"/>
        <v>5290.5999999999995</v>
      </c>
      <c r="X539" s="754"/>
      <c r="Y539" s="755"/>
      <c r="Z539" s="755"/>
      <c r="AA539" s="756"/>
      <c r="AB539" s="178" t="s">
        <v>592</v>
      </c>
    </row>
    <row r="540" spans="1:34" ht="12.6" customHeight="1" x14ac:dyDescent="0.2">
      <c r="A540" s="17"/>
      <c r="B540" s="672" t="s">
        <v>359</v>
      </c>
      <c r="C540" s="725"/>
      <c r="D540" s="725"/>
      <c r="E540" s="725"/>
      <c r="F540" s="333">
        <f>3.116*X2</f>
        <v>4144.28</v>
      </c>
      <c r="G540" s="257">
        <f t="shared" ref="G540" si="1765">+F540*$X$1</f>
        <v>4144.28</v>
      </c>
      <c r="H540" s="559">
        <f t="shared" si="1747"/>
        <v>4744.28</v>
      </c>
      <c r="I540" s="257">
        <f t="shared" si="1756"/>
        <v>4744.28</v>
      </c>
      <c r="J540" s="559">
        <f>F540+410</f>
        <v>4554.28</v>
      </c>
      <c r="K540" s="257">
        <f t="shared" si="1757"/>
        <v>4554.28</v>
      </c>
      <c r="L540" s="559">
        <f>F540+360</f>
        <v>4504.28</v>
      </c>
      <c r="M540" s="257">
        <f>+L540*$X$1</f>
        <v>4504.28</v>
      </c>
      <c r="N540" s="559">
        <f>F540+320</f>
        <v>4464.28</v>
      </c>
      <c r="O540" s="257">
        <f t="shared" si="1764"/>
        <v>4464.28</v>
      </c>
      <c r="P540" s="559">
        <f>F540+290</f>
        <v>4434.28</v>
      </c>
      <c r="Q540" s="257">
        <f t="shared" si="1759"/>
        <v>4434.28</v>
      </c>
      <c r="R540" s="559">
        <f>F540+270</f>
        <v>4414.28</v>
      </c>
      <c r="S540" s="257">
        <f t="shared" si="1760"/>
        <v>4414.28</v>
      </c>
      <c r="T540" s="559">
        <f>F540+230</f>
        <v>4374.28</v>
      </c>
      <c r="U540" s="257">
        <f t="shared" si="1761"/>
        <v>4374.28</v>
      </c>
      <c r="V540" s="559">
        <f>F540+210</f>
        <v>4354.28</v>
      </c>
      <c r="W540" s="257">
        <f t="shared" si="1762"/>
        <v>4354.28</v>
      </c>
      <c r="X540" s="754"/>
      <c r="Y540" s="755"/>
      <c r="Z540" s="755"/>
      <c r="AA540" s="756"/>
      <c r="AB540" s="178" t="s">
        <v>421</v>
      </c>
    </row>
    <row r="541" spans="1:34" ht="12.6" customHeight="1" x14ac:dyDescent="0.2">
      <c r="A541" s="17"/>
      <c r="B541" s="667" t="s">
        <v>629</v>
      </c>
      <c r="C541" s="752"/>
      <c r="D541" s="752"/>
      <c r="E541" s="752"/>
      <c r="F541" s="334">
        <f>4.9*X2</f>
        <v>6517.0000000000009</v>
      </c>
      <c r="G541" s="258">
        <f t="shared" ref="G541" si="1766">+F541*$X$1</f>
        <v>6517.0000000000009</v>
      </c>
      <c r="H541" s="576"/>
      <c r="I541" s="258"/>
      <c r="J541" s="576">
        <f>F541+410</f>
        <v>6927.0000000000009</v>
      </c>
      <c r="K541" s="258">
        <f t="shared" si="1757"/>
        <v>6927.0000000000009</v>
      </c>
      <c r="L541" s="576">
        <f>F541+360</f>
        <v>6877.0000000000009</v>
      </c>
      <c r="M541" s="258">
        <f>+L541*$X$1</f>
        <v>6877.0000000000009</v>
      </c>
      <c r="N541" s="576">
        <f>F541+320</f>
        <v>6837.0000000000009</v>
      </c>
      <c r="O541" s="258">
        <f t="shared" si="1764"/>
        <v>6837.0000000000009</v>
      </c>
      <c r="P541" s="576">
        <f>F541+290</f>
        <v>6807.0000000000009</v>
      </c>
      <c r="Q541" s="258">
        <f t="shared" si="1759"/>
        <v>6807.0000000000009</v>
      </c>
      <c r="R541" s="576">
        <f>F541+270</f>
        <v>6787.0000000000009</v>
      </c>
      <c r="S541" s="258">
        <f t="shared" si="1760"/>
        <v>6787.0000000000009</v>
      </c>
      <c r="T541" s="576">
        <f>F541+230</f>
        <v>6747.0000000000009</v>
      </c>
      <c r="U541" s="258">
        <f t="shared" si="1761"/>
        <v>6747.0000000000009</v>
      </c>
      <c r="V541" s="576">
        <f>F541+210</f>
        <v>6727.0000000000009</v>
      </c>
      <c r="W541" s="258">
        <f t="shared" si="1762"/>
        <v>6727.0000000000009</v>
      </c>
      <c r="X541" s="754"/>
      <c r="Y541" s="755"/>
      <c r="Z541" s="755"/>
      <c r="AA541" s="756"/>
      <c r="AB541" s="178" t="s">
        <v>630</v>
      </c>
    </row>
    <row r="542" spans="1:34" ht="12" customHeight="1" x14ac:dyDescent="0.2">
      <c r="A542" s="94"/>
      <c r="B542" s="213"/>
      <c r="C542" s="59"/>
      <c r="D542" s="59"/>
      <c r="E542" s="59"/>
      <c r="F542" s="117"/>
      <c r="G542" s="106"/>
      <c r="H542" s="106"/>
      <c r="I542" s="106"/>
      <c r="J542" s="106"/>
      <c r="K542" s="106"/>
      <c r="L542" s="106"/>
      <c r="M542" s="106"/>
      <c r="N542" s="106"/>
      <c r="O542" s="106"/>
      <c r="P542" s="106"/>
      <c r="Q542" s="106"/>
      <c r="R542" s="106"/>
      <c r="S542" s="106"/>
      <c r="T542" s="106"/>
      <c r="U542" s="106"/>
      <c r="V542" s="106"/>
      <c r="W542" s="106"/>
      <c r="X542" s="214"/>
      <c r="Y542" s="215"/>
      <c r="Z542" s="215"/>
      <c r="AA542" s="214"/>
      <c r="AB542" s="36"/>
      <c r="AC542" s="62"/>
    </row>
    <row r="543" spans="1:34" ht="15.75" customHeight="1" x14ac:dyDescent="0.2">
      <c r="B543" s="1020" t="s">
        <v>452</v>
      </c>
      <c r="C543" s="1021"/>
      <c r="D543" s="1021"/>
      <c r="E543" s="1021"/>
      <c r="F543" s="1021"/>
      <c r="G543" s="1021"/>
      <c r="H543" s="1021"/>
      <c r="I543" s="1021"/>
      <c r="J543" s="1021"/>
      <c r="K543" s="1021"/>
      <c r="L543" s="1021"/>
      <c r="M543" s="1021"/>
      <c r="N543" s="1021"/>
      <c r="O543" s="1021"/>
      <c r="P543" s="1021"/>
      <c r="Q543" s="1021"/>
      <c r="R543" s="1021"/>
      <c r="S543" s="1021"/>
      <c r="T543" s="1021"/>
      <c r="U543" s="1021"/>
      <c r="V543" s="1021"/>
      <c r="W543" s="1021"/>
      <c r="AB543" s="4"/>
      <c r="AF543" s="640"/>
      <c r="AG543" s="641"/>
      <c r="AH543" s="641"/>
    </row>
    <row r="544" spans="1:34" ht="12" customHeight="1" x14ac:dyDescent="0.2">
      <c r="B544" s="647" t="s">
        <v>11</v>
      </c>
      <c r="C544" s="647" t="s">
        <v>12</v>
      </c>
      <c r="D544" s="648"/>
      <c r="E544" s="648"/>
      <c r="F544" s="649" t="s">
        <v>265</v>
      </c>
      <c r="G544" s="649" t="s">
        <v>13</v>
      </c>
      <c r="H544" s="651" t="s">
        <v>959</v>
      </c>
      <c r="I544" s="651"/>
      <c r="J544" s="652"/>
      <c r="K544" s="652"/>
      <c r="L544" s="652"/>
      <c r="M544" s="652"/>
      <c r="N544" s="652"/>
      <c r="O544" s="652"/>
      <c r="P544" s="652"/>
      <c r="Q544" s="652"/>
      <c r="R544" s="652"/>
      <c r="S544" s="652"/>
      <c r="T544" s="652"/>
      <c r="U544" s="652"/>
      <c r="V544" s="652"/>
      <c r="W544" s="652"/>
      <c r="X544" s="653" t="s">
        <v>14</v>
      </c>
      <c r="Y544" s="702"/>
      <c r="Z544" s="702"/>
      <c r="AA544" s="703"/>
      <c r="AB544" s="638" t="s">
        <v>15</v>
      </c>
      <c r="AF544" s="640" t="s">
        <v>3</v>
      </c>
      <c r="AG544" s="641"/>
      <c r="AH544" s="641"/>
    </row>
    <row r="545" spans="1:34" ht="12" customHeight="1" x14ac:dyDescent="0.2">
      <c r="B545" s="648"/>
      <c r="C545" s="648"/>
      <c r="D545" s="648"/>
      <c r="E545" s="648"/>
      <c r="F545" s="650"/>
      <c r="G545" s="650"/>
      <c r="H545" s="414"/>
      <c r="I545" s="413" t="s">
        <v>517</v>
      </c>
      <c r="J545" s="414"/>
      <c r="K545" s="413" t="s">
        <v>266</v>
      </c>
      <c r="L545" s="414"/>
      <c r="M545" s="413" t="s">
        <v>267</v>
      </c>
      <c r="N545" s="414"/>
      <c r="O545" s="413" t="s">
        <v>519</v>
      </c>
      <c r="P545" s="414"/>
      <c r="Q545" s="413" t="s">
        <v>17</v>
      </c>
      <c r="R545" s="414"/>
      <c r="S545" s="413" t="s">
        <v>18</v>
      </c>
      <c r="T545" s="414"/>
      <c r="U545" s="413" t="s">
        <v>19</v>
      </c>
      <c r="V545" s="414"/>
      <c r="W545" s="413" t="s">
        <v>520</v>
      </c>
      <c r="X545" s="704"/>
      <c r="Y545" s="705"/>
      <c r="Z545" s="705"/>
      <c r="AA545" s="706"/>
      <c r="AB545" s="639"/>
    </row>
    <row r="546" spans="1:34" ht="12" customHeight="1" x14ac:dyDescent="0.2">
      <c r="A546" s="4"/>
      <c r="B546" s="873" t="s">
        <v>691</v>
      </c>
      <c r="C546" s="740"/>
      <c r="D546" s="740"/>
      <c r="E546" s="740"/>
      <c r="F546" s="273">
        <f>8*X2</f>
        <v>10640</v>
      </c>
      <c r="G546" s="273">
        <f t="shared" ref="G546" si="1767">+F546*$X$1</f>
        <v>10640</v>
      </c>
      <c r="H546" s="93">
        <f>F546+6000</f>
        <v>16640</v>
      </c>
      <c r="I546" s="273">
        <f t="shared" ref="I546" si="1768">+H546*$X$1</f>
        <v>16640</v>
      </c>
      <c r="J546" s="93">
        <f>F546+2000</f>
        <v>12640</v>
      </c>
      <c r="K546" s="273">
        <f t="shared" ref="K546" si="1769">+J546*$X$1</f>
        <v>12640</v>
      </c>
      <c r="L546" s="93">
        <f>F546+1700</f>
        <v>12340</v>
      </c>
      <c r="M546" s="273">
        <f t="shared" ref="M546" si="1770">+L546*$X$1</f>
        <v>12340</v>
      </c>
      <c r="N546" s="93">
        <f>F546+1550</f>
        <v>12190</v>
      </c>
      <c r="O546" s="273">
        <f t="shared" ref="O546" si="1771">+N546*$X$1</f>
        <v>12190</v>
      </c>
      <c r="P546" s="93">
        <f>F546+1350</f>
        <v>11990</v>
      </c>
      <c r="Q546" s="273">
        <f t="shared" ref="Q546" si="1772">+P546*$X$1</f>
        <v>11990</v>
      </c>
      <c r="R546" s="93">
        <f>F546+1200</f>
        <v>11840</v>
      </c>
      <c r="S546" s="273">
        <f t="shared" ref="S546" si="1773">+R546*$X$1</f>
        <v>11840</v>
      </c>
      <c r="T546" s="93">
        <f>F546+1050</f>
        <v>11690</v>
      </c>
      <c r="U546" s="273">
        <f t="shared" ref="U546" si="1774">+T546*$X$1</f>
        <v>11690</v>
      </c>
      <c r="V546" s="93">
        <f>F546+900</f>
        <v>11540</v>
      </c>
      <c r="W546" s="273">
        <f t="shared" ref="W546" si="1775">+V546*$X$1</f>
        <v>11540</v>
      </c>
      <c r="X546" s="127"/>
      <c r="Y546" s="122"/>
      <c r="Z546" s="128"/>
      <c r="AA546" s="129"/>
      <c r="AB546" s="367" t="s">
        <v>695</v>
      </c>
    </row>
    <row r="547" spans="1:34" ht="12" customHeight="1" x14ac:dyDescent="0.2">
      <c r="A547" s="4"/>
      <c r="B547" s="836" t="s">
        <v>690</v>
      </c>
      <c r="C547" s="770"/>
      <c r="D547" s="770"/>
      <c r="E547" s="770"/>
      <c r="F547" s="283">
        <f>8*X2</f>
        <v>10640</v>
      </c>
      <c r="G547" s="283">
        <f t="shared" ref="G547" si="1776">+F547*$X$1</f>
        <v>10640</v>
      </c>
      <c r="H547" s="92">
        <f>F547+5000</f>
        <v>15640</v>
      </c>
      <c r="I547" s="283">
        <f t="shared" ref="I547" si="1777">+H547*$X$1</f>
        <v>15640</v>
      </c>
      <c r="J547" s="92">
        <f>F547+1200</f>
        <v>11840</v>
      </c>
      <c r="K547" s="283">
        <f t="shared" ref="K547" si="1778">+J547*$X$1</f>
        <v>11840</v>
      </c>
      <c r="L547" s="92">
        <f>F547+1000</f>
        <v>11640</v>
      </c>
      <c r="M547" s="283">
        <f t="shared" ref="M547" si="1779">+L547*$X$1</f>
        <v>11640</v>
      </c>
      <c r="N547" s="92">
        <f>F547+850</f>
        <v>11490</v>
      </c>
      <c r="O547" s="283">
        <f t="shared" ref="O547" si="1780">+N547*$X$1</f>
        <v>11490</v>
      </c>
      <c r="P547" s="92">
        <f>F547+740</f>
        <v>11380</v>
      </c>
      <c r="Q547" s="283">
        <f t="shared" ref="Q547" si="1781">+P547*$X$1</f>
        <v>11380</v>
      </c>
      <c r="R547" s="92">
        <f>F547+650</f>
        <v>11290</v>
      </c>
      <c r="S547" s="283">
        <f t="shared" ref="S547" si="1782">+R547*$X$1</f>
        <v>11290</v>
      </c>
      <c r="T547" s="92">
        <f>F547+560</f>
        <v>11200</v>
      </c>
      <c r="U547" s="283">
        <f t="shared" ref="U547" si="1783">+T547*$X$1</f>
        <v>11200</v>
      </c>
      <c r="V547" s="92">
        <f>F547+450</f>
        <v>11090</v>
      </c>
      <c r="W547" s="283">
        <f t="shared" ref="W547" si="1784">+V547*$X$1</f>
        <v>11090</v>
      </c>
      <c r="X547" s="127"/>
      <c r="Y547" s="122"/>
      <c r="Z547" s="128"/>
      <c r="AA547" s="129"/>
      <c r="AB547" s="353">
        <v>873</v>
      </c>
    </row>
    <row r="548" spans="1:34" ht="12" customHeight="1" x14ac:dyDescent="0.2">
      <c r="A548" s="4"/>
      <c r="B548" s="873" t="s">
        <v>645</v>
      </c>
      <c r="C548" s="740"/>
      <c r="D548" s="740"/>
      <c r="E548" s="740"/>
      <c r="F548" s="273">
        <f>16.4*X2</f>
        <v>21811.999999999996</v>
      </c>
      <c r="G548" s="273">
        <f t="shared" ref="G548" si="1785">+F548*$X$1</f>
        <v>21811.999999999996</v>
      </c>
      <c r="H548" s="93">
        <f>F548+5000</f>
        <v>26811.999999999996</v>
      </c>
      <c r="I548" s="273">
        <f t="shared" ref="I548:I549" si="1786">+H548*$X$1</f>
        <v>26811.999999999996</v>
      </c>
      <c r="J548" s="93">
        <f>F548+1200</f>
        <v>23011.999999999996</v>
      </c>
      <c r="K548" s="273">
        <f t="shared" ref="K548:K549" si="1787">+J548*$X$1</f>
        <v>23011.999999999996</v>
      </c>
      <c r="L548" s="93">
        <f>F548+1000</f>
        <v>22811.999999999996</v>
      </c>
      <c r="M548" s="273">
        <f t="shared" ref="M548:M549" si="1788">+L548*$X$1</f>
        <v>22811.999999999996</v>
      </c>
      <c r="N548" s="93">
        <f>F548+850</f>
        <v>22661.999999999996</v>
      </c>
      <c r="O548" s="273">
        <f t="shared" ref="O548:O549" si="1789">+N548*$X$1</f>
        <v>22661.999999999996</v>
      </c>
      <c r="P548" s="93">
        <f>F548+740</f>
        <v>22551.999999999996</v>
      </c>
      <c r="Q548" s="273">
        <f t="shared" ref="Q548:Q549" si="1790">+P548*$X$1</f>
        <v>22551.999999999996</v>
      </c>
      <c r="R548" s="93">
        <f>F548+650</f>
        <v>22461.999999999996</v>
      </c>
      <c r="S548" s="273">
        <f t="shared" ref="S548:S549" si="1791">+R548*$X$1</f>
        <v>22461.999999999996</v>
      </c>
      <c r="T548" s="93">
        <f>F548+560</f>
        <v>22371.999999999996</v>
      </c>
      <c r="U548" s="273">
        <f t="shared" ref="U548:U549" si="1792">+T548*$X$1</f>
        <v>22371.999999999996</v>
      </c>
      <c r="V548" s="93">
        <f>F548+450</f>
        <v>22261.999999999996</v>
      </c>
      <c r="W548" s="273">
        <f t="shared" ref="W548:W549" si="1793">+V548*$X$1</f>
        <v>22261.999999999996</v>
      </c>
      <c r="X548" s="127"/>
      <c r="Y548" s="122"/>
      <c r="Z548" s="128"/>
      <c r="AA548" s="129"/>
      <c r="AB548" s="353">
        <v>874</v>
      </c>
    </row>
    <row r="549" spans="1:34" ht="12.6" customHeight="1" x14ac:dyDescent="0.2">
      <c r="A549" s="4"/>
      <c r="B549" s="836" t="s">
        <v>613</v>
      </c>
      <c r="C549" s="770"/>
      <c r="D549" s="770"/>
      <c r="E549" s="770"/>
      <c r="F549" s="283">
        <f>9.8*X2</f>
        <v>13034.000000000002</v>
      </c>
      <c r="G549" s="283">
        <f t="shared" ref="G549:G550" si="1794">+F549*$X$1</f>
        <v>13034.000000000002</v>
      </c>
      <c r="H549" s="92">
        <f>F549+6000</f>
        <v>19034</v>
      </c>
      <c r="I549" s="283">
        <f t="shared" si="1786"/>
        <v>19034</v>
      </c>
      <c r="J549" s="92">
        <f>F549+2000</f>
        <v>15034.000000000002</v>
      </c>
      <c r="K549" s="283">
        <f t="shared" si="1787"/>
        <v>15034.000000000002</v>
      </c>
      <c r="L549" s="92">
        <f>F549+1700</f>
        <v>14734.000000000002</v>
      </c>
      <c r="M549" s="283">
        <f t="shared" si="1788"/>
        <v>14734.000000000002</v>
      </c>
      <c r="N549" s="92">
        <f>F549+1550</f>
        <v>14584.000000000002</v>
      </c>
      <c r="O549" s="283">
        <f t="shared" si="1789"/>
        <v>14584.000000000002</v>
      </c>
      <c r="P549" s="92">
        <f>F549+1350</f>
        <v>14384.000000000002</v>
      </c>
      <c r="Q549" s="283">
        <f t="shared" si="1790"/>
        <v>14384.000000000002</v>
      </c>
      <c r="R549" s="92">
        <f>F549+1200</f>
        <v>14234.000000000002</v>
      </c>
      <c r="S549" s="283">
        <f t="shared" si="1791"/>
        <v>14234.000000000002</v>
      </c>
      <c r="T549" s="92">
        <f>F549+1050</f>
        <v>14084.000000000002</v>
      </c>
      <c r="U549" s="283">
        <f t="shared" si="1792"/>
        <v>14084.000000000002</v>
      </c>
      <c r="V549" s="92">
        <f>F549+900</f>
        <v>13934.000000000002</v>
      </c>
      <c r="W549" s="283">
        <f t="shared" si="1793"/>
        <v>13934.000000000002</v>
      </c>
      <c r="X549" s="127"/>
      <c r="Y549" s="122"/>
      <c r="Z549" s="128"/>
      <c r="AA549" s="129"/>
      <c r="AB549" s="353" t="s">
        <v>623</v>
      </c>
    </row>
    <row r="550" spans="1:34" ht="12" customHeight="1" x14ac:dyDescent="0.2">
      <c r="A550" s="4"/>
      <c r="B550" s="724" t="s">
        <v>614</v>
      </c>
      <c r="C550" s="673"/>
      <c r="D550" s="673"/>
      <c r="E550" s="673"/>
      <c r="F550" s="273">
        <f>9.8*X2</f>
        <v>13034.000000000002</v>
      </c>
      <c r="G550" s="273">
        <f t="shared" si="1794"/>
        <v>13034.000000000002</v>
      </c>
      <c r="H550" s="93">
        <f>F550+5000</f>
        <v>18034</v>
      </c>
      <c r="I550" s="273">
        <f t="shared" ref="I550:I552" si="1795">+H550*$X$1</f>
        <v>18034</v>
      </c>
      <c r="J550" s="93">
        <f>F550+1200</f>
        <v>14234.000000000002</v>
      </c>
      <c r="K550" s="273">
        <f t="shared" ref="K550:K552" si="1796">+J550*$X$1</f>
        <v>14234.000000000002</v>
      </c>
      <c r="L550" s="93">
        <f>F550+1000</f>
        <v>14034.000000000002</v>
      </c>
      <c r="M550" s="273">
        <f t="shared" ref="M550:M552" si="1797">+L550*$X$1</f>
        <v>14034.000000000002</v>
      </c>
      <c r="N550" s="93">
        <f>F550+850</f>
        <v>13884.000000000002</v>
      </c>
      <c r="O550" s="273">
        <f t="shared" ref="O550:O552" si="1798">+N550*$X$1</f>
        <v>13884.000000000002</v>
      </c>
      <c r="P550" s="93">
        <f>F550+740</f>
        <v>13774.000000000002</v>
      </c>
      <c r="Q550" s="273">
        <f t="shared" ref="Q550:Q552" si="1799">+P550*$X$1</f>
        <v>13774.000000000002</v>
      </c>
      <c r="R550" s="93">
        <f>F550+650</f>
        <v>13684.000000000002</v>
      </c>
      <c r="S550" s="273">
        <f t="shared" ref="S550:S552" si="1800">+R550*$X$1</f>
        <v>13684.000000000002</v>
      </c>
      <c r="T550" s="93">
        <f>F550+560</f>
        <v>13594.000000000002</v>
      </c>
      <c r="U550" s="273">
        <f t="shared" ref="U550:U552" si="1801">+T550*$X$1</f>
        <v>13594.000000000002</v>
      </c>
      <c r="V550" s="93">
        <f>F550+450</f>
        <v>13484.000000000002</v>
      </c>
      <c r="W550" s="273">
        <f t="shared" ref="W550:W552" si="1802">+V550*$X$1</f>
        <v>13484.000000000002</v>
      </c>
      <c r="X550" s="127"/>
      <c r="Y550" s="122"/>
      <c r="Z550" s="128"/>
      <c r="AA550" s="129"/>
      <c r="AB550" s="353">
        <v>875</v>
      </c>
    </row>
    <row r="551" spans="1:34" ht="12.6" customHeight="1" x14ac:dyDescent="0.2">
      <c r="A551" s="4"/>
      <c r="B551" s="836" t="s">
        <v>692</v>
      </c>
      <c r="C551" s="770"/>
      <c r="D551" s="770"/>
      <c r="E551" s="770"/>
      <c r="F551" s="283">
        <f>18.1*X2</f>
        <v>24073.000000000004</v>
      </c>
      <c r="G551" s="283">
        <f t="shared" ref="G551" si="1803">+F551*$X$1</f>
        <v>24073.000000000004</v>
      </c>
      <c r="H551" s="92">
        <f>F551+5000</f>
        <v>29073.000000000004</v>
      </c>
      <c r="I551" s="283">
        <f t="shared" si="1795"/>
        <v>29073.000000000004</v>
      </c>
      <c r="J551" s="92">
        <f>F551+1200</f>
        <v>25273.000000000004</v>
      </c>
      <c r="K551" s="283">
        <f t="shared" si="1796"/>
        <v>25273.000000000004</v>
      </c>
      <c r="L551" s="92">
        <f>F551+1000</f>
        <v>25073.000000000004</v>
      </c>
      <c r="M551" s="283">
        <f t="shared" si="1797"/>
        <v>25073.000000000004</v>
      </c>
      <c r="N551" s="92">
        <f>F551+850</f>
        <v>24923.000000000004</v>
      </c>
      <c r="O551" s="283">
        <f t="shared" si="1798"/>
        <v>24923.000000000004</v>
      </c>
      <c r="P551" s="92">
        <f>F551+740</f>
        <v>24813.000000000004</v>
      </c>
      <c r="Q551" s="283">
        <f t="shared" si="1799"/>
        <v>24813.000000000004</v>
      </c>
      <c r="R551" s="92">
        <f>F551+650</f>
        <v>24723.000000000004</v>
      </c>
      <c r="S551" s="283">
        <f t="shared" si="1800"/>
        <v>24723.000000000004</v>
      </c>
      <c r="T551" s="92">
        <f>F551+560</f>
        <v>24633.000000000004</v>
      </c>
      <c r="U551" s="283">
        <f t="shared" si="1801"/>
        <v>24633.000000000004</v>
      </c>
      <c r="V551" s="92">
        <f>F551+450</f>
        <v>24523.000000000004</v>
      </c>
      <c r="W551" s="283">
        <f t="shared" si="1802"/>
        <v>24523.000000000004</v>
      </c>
      <c r="X551" s="127"/>
      <c r="Y551" s="122"/>
      <c r="Z551" s="128"/>
      <c r="AA551" s="129"/>
      <c r="AB551" s="353">
        <v>876</v>
      </c>
    </row>
    <row r="552" spans="1:34" ht="12.6" customHeight="1" x14ac:dyDescent="0.2">
      <c r="A552" s="4"/>
      <c r="B552" s="873" t="s">
        <v>646</v>
      </c>
      <c r="C552" s="740"/>
      <c r="D552" s="740"/>
      <c r="E552" s="740"/>
      <c r="F552" s="273">
        <f>15.37*X2</f>
        <v>20442.099999999999</v>
      </c>
      <c r="G552" s="273">
        <f t="shared" ref="G552" si="1804">+F552*$X$1</f>
        <v>20442.099999999999</v>
      </c>
      <c r="H552" s="93">
        <f>F552+6000</f>
        <v>26442.1</v>
      </c>
      <c r="I552" s="273">
        <f t="shared" si="1795"/>
        <v>26442.1</v>
      </c>
      <c r="J552" s="93">
        <f>F552+2000</f>
        <v>22442.1</v>
      </c>
      <c r="K552" s="273">
        <f t="shared" si="1796"/>
        <v>22442.1</v>
      </c>
      <c r="L552" s="93">
        <f>F552+1700</f>
        <v>22142.1</v>
      </c>
      <c r="M552" s="273">
        <f t="shared" si="1797"/>
        <v>22142.1</v>
      </c>
      <c r="N552" s="93">
        <f>F552+1550</f>
        <v>21992.1</v>
      </c>
      <c r="O552" s="273">
        <f t="shared" si="1798"/>
        <v>21992.1</v>
      </c>
      <c r="P552" s="93">
        <f>F552+1350</f>
        <v>21792.1</v>
      </c>
      <c r="Q552" s="273">
        <f t="shared" si="1799"/>
        <v>21792.1</v>
      </c>
      <c r="R552" s="93">
        <f>F552+1200</f>
        <v>21642.1</v>
      </c>
      <c r="S552" s="273">
        <f t="shared" si="1800"/>
        <v>21642.1</v>
      </c>
      <c r="T552" s="93">
        <f>F552+1050</f>
        <v>21492.1</v>
      </c>
      <c r="U552" s="273">
        <f t="shared" si="1801"/>
        <v>21492.1</v>
      </c>
      <c r="V552" s="93">
        <f>F552+900</f>
        <v>21342.1</v>
      </c>
      <c r="W552" s="273">
        <f t="shared" si="1802"/>
        <v>21342.1</v>
      </c>
      <c r="X552" s="127"/>
      <c r="Y552" s="122"/>
      <c r="Z552" s="128"/>
      <c r="AA552" s="129"/>
      <c r="AB552" s="353" t="s">
        <v>578</v>
      </c>
    </row>
    <row r="553" spans="1:34" ht="12.6" customHeight="1" x14ac:dyDescent="0.2">
      <c r="A553" s="4"/>
      <c r="B553" s="836" t="s">
        <v>647</v>
      </c>
      <c r="C553" s="770"/>
      <c r="D553" s="770"/>
      <c r="E553" s="770"/>
      <c r="F553" s="283">
        <f>15.37*X2</f>
        <v>20442.099999999999</v>
      </c>
      <c r="G553" s="283">
        <f t="shared" ref="G553" si="1805">+F553*$X$1</f>
        <v>20442.099999999999</v>
      </c>
      <c r="H553" s="92">
        <f>F553+5000</f>
        <v>25442.1</v>
      </c>
      <c r="I553" s="283">
        <f t="shared" ref="I553:I554" si="1806">+H553*$X$1</f>
        <v>25442.1</v>
      </c>
      <c r="J553" s="92">
        <f>F553+1200</f>
        <v>21642.1</v>
      </c>
      <c r="K553" s="283">
        <f t="shared" ref="K553:K554" si="1807">+J553*$X$1</f>
        <v>21642.1</v>
      </c>
      <c r="L553" s="92">
        <f>F553+1000</f>
        <v>21442.1</v>
      </c>
      <c r="M553" s="283">
        <f t="shared" ref="M553:M554" si="1808">+L553*$X$1</f>
        <v>21442.1</v>
      </c>
      <c r="N553" s="92">
        <f>F553+850</f>
        <v>21292.1</v>
      </c>
      <c r="O553" s="283">
        <f t="shared" ref="O553:O554" si="1809">+N553*$X$1</f>
        <v>21292.1</v>
      </c>
      <c r="P553" s="92">
        <f>F553+740</f>
        <v>21182.1</v>
      </c>
      <c r="Q553" s="283">
        <f t="shared" ref="Q553:Q554" si="1810">+P553*$X$1</f>
        <v>21182.1</v>
      </c>
      <c r="R553" s="92">
        <f>F553+650</f>
        <v>21092.1</v>
      </c>
      <c r="S553" s="283">
        <f t="shared" ref="S553:S554" si="1811">+R553*$X$1</f>
        <v>21092.1</v>
      </c>
      <c r="T553" s="92">
        <f>F553+560</f>
        <v>21002.1</v>
      </c>
      <c r="U553" s="283">
        <f t="shared" ref="U553:U554" si="1812">+T553*$X$1</f>
        <v>21002.1</v>
      </c>
      <c r="V553" s="92">
        <f>F553+450</f>
        <v>20892.099999999999</v>
      </c>
      <c r="W553" s="283">
        <f t="shared" ref="W553:W554" si="1813">+V553*$X$1</f>
        <v>20892.099999999999</v>
      </c>
      <c r="X553" s="127"/>
      <c r="Y553" s="122"/>
      <c r="Z553" s="128"/>
      <c r="AA553" s="129"/>
      <c r="AB553" s="353">
        <v>878</v>
      </c>
    </row>
    <row r="554" spans="1:34" ht="12.6" customHeight="1" x14ac:dyDescent="0.2">
      <c r="A554" s="4"/>
      <c r="B554" s="873" t="s">
        <v>615</v>
      </c>
      <c r="C554" s="740"/>
      <c r="D554" s="740"/>
      <c r="E554" s="740"/>
      <c r="F554" s="273">
        <f>22.75*X2</f>
        <v>30257.5</v>
      </c>
      <c r="G554" s="273">
        <f t="shared" ref="G554" si="1814">+F554*$X$1</f>
        <v>30257.5</v>
      </c>
      <c r="H554" s="93">
        <f>F554+6000</f>
        <v>36257.5</v>
      </c>
      <c r="I554" s="273">
        <f t="shared" si="1806"/>
        <v>36257.5</v>
      </c>
      <c r="J554" s="93">
        <f>F554+2000</f>
        <v>32257.5</v>
      </c>
      <c r="K554" s="273">
        <f t="shared" si="1807"/>
        <v>32257.5</v>
      </c>
      <c r="L554" s="93">
        <f>F554+1700</f>
        <v>31957.5</v>
      </c>
      <c r="M554" s="273">
        <f t="shared" si="1808"/>
        <v>31957.5</v>
      </c>
      <c r="N554" s="93">
        <f>F554+1550</f>
        <v>31807.5</v>
      </c>
      <c r="O554" s="273">
        <f t="shared" si="1809"/>
        <v>31807.5</v>
      </c>
      <c r="P554" s="93">
        <f>F554+1350</f>
        <v>31607.5</v>
      </c>
      <c r="Q554" s="273">
        <f t="shared" si="1810"/>
        <v>31607.5</v>
      </c>
      <c r="R554" s="93">
        <f>F554+1200</f>
        <v>31457.5</v>
      </c>
      <c r="S554" s="273">
        <f t="shared" si="1811"/>
        <v>31457.5</v>
      </c>
      <c r="T554" s="93">
        <f>F554+1050</f>
        <v>31307.5</v>
      </c>
      <c r="U554" s="273">
        <f t="shared" si="1812"/>
        <v>31307.5</v>
      </c>
      <c r="V554" s="93">
        <f>F554+900</f>
        <v>31157.5</v>
      </c>
      <c r="W554" s="273">
        <f t="shared" si="1813"/>
        <v>31157.5</v>
      </c>
      <c r="X554" s="127"/>
      <c r="Y554" s="122"/>
      <c r="Z554" s="128"/>
      <c r="AA554" s="129"/>
      <c r="AB554" s="353" t="s">
        <v>547</v>
      </c>
    </row>
    <row r="555" spans="1:34" ht="12.6" customHeight="1" x14ac:dyDescent="0.2">
      <c r="A555" s="4"/>
      <c r="B555" s="669" t="s">
        <v>616</v>
      </c>
      <c r="C555" s="752"/>
      <c r="D555" s="752"/>
      <c r="E555" s="752"/>
      <c r="F555" s="283">
        <f>22.75*X2</f>
        <v>30257.5</v>
      </c>
      <c r="G555" s="283">
        <f t="shared" ref="G555" si="1815">+F555*$X$1</f>
        <v>30257.5</v>
      </c>
      <c r="H555" s="92">
        <f>F555+5000</f>
        <v>35257.5</v>
      </c>
      <c r="I555" s="283">
        <f t="shared" ref="I555" si="1816">+H555*$X$1</f>
        <v>35257.5</v>
      </c>
      <c r="J555" s="92">
        <f>F555+1200</f>
        <v>31457.5</v>
      </c>
      <c r="K555" s="283">
        <f t="shared" ref="K555" si="1817">+J555*$X$1</f>
        <v>31457.5</v>
      </c>
      <c r="L555" s="92">
        <f>F555+1000</f>
        <v>31257.5</v>
      </c>
      <c r="M555" s="283">
        <f t="shared" ref="M555" si="1818">+L555*$X$1</f>
        <v>31257.5</v>
      </c>
      <c r="N555" s="92">
        <f>F555+850</f>
        <v>31107.5</v>
      </c>
      <c r="O555" s="283">
        <f t="shared" ref="O555" si="1819">+N555*$X$1</f>
        <v>31107.5</v>
      </c>
      <c r="P555" s="92">
        <f>F555+740</f>
        <v>30997.5</v>
      </c>
      <c r="Q555" s="283">
        <f t="shared" ref="Q555" si="1820">+P555*$X$1</f>
        <v>30997.5</v>
      </c>
      <c r="R555" s="92">
        <f>F555+650</f>
        <v>30907.5</v>
      </c>
      <c r="S555" s="283">
        <f t="shared" ref="S555" si="1821">+R555*$X$1</f>
        <v>30907.5</v>
      </c>
      <c r="T555" s="92">
        <f>F555+560</f>
        <v>30817.5</v>
      </c>
      <c r="U555" s="283">
        <f t="shared" ref="U555" si="1822">+T555*$X$1</f>
        <v>30817.5</v>
      </c>
      <c r="V555" s="92">
        <f>F555+450</f>
        <v>30707.5</v>
      </c>
      <c r="W555" s="283">
        <f t="shared" ref="W555" si="1823">+V555*$X$1</f>
        <v>30707.5</v>
      </c>
      <c r="X555" s="127"/>
      <c r="Y555" s="122"/>
      <c r="Z555" s="128"/>
      <c r="AA555" s="129"/>
      <c r="AB555" s="353">
        <v>880</v>
      </c>
    </row>
    <row r="556" spans="1:34" ht="12.6" customHeight="1" x14ac:dyDescent="0.2">
      <c r="A556" s="4"/>
      <c r="B556" s="98"/>
      <c r="C556" s="585"/>
      <c r="D556" s="585"/>
      <c r="E556" s="585"/>
      <c r="F556" s="376"/>
      <c r="G556" s="298"/>
      <c r="H556" s="106"/>
      <c r="I556" s="298"/>
      <c r="J556" s="106"/>
      <c r="K556" s="298"/>
      <c r="L556" s="106"/>
      <c r="M556" s="298"/>
      <c r="N556" s="106"/>
      <c r="O556" s="298"/>
      <c r="P556" s="106"/>
      <c r="Q556" s="298"/>
      <c r="R556" s="106"/>
      <c r="S556" s="298"/>
      <c r="T556" s="106"/>
      <c r="U556" s="298"/>
      <c r="V556" s="106"/>
      <c r="W556" s="298"/>
      <c r="X556" s="185"/>
      <c r="Y556" s="71"/>
      <c r="Z556" s="186"/>
      <c r="AA556" s="186"/>
      <c r="AB556" s="584"/>
    </row>
    <row r="557" spans="1:34" ht="12.6" customHeight="1" x14ac:dyDescent="0.2">
      <c r="A557" s="4"/>
      <c r="B557" s="98"/>
      <c r="C557" s="585"/>
      <c r="D557" s="585"/>
      <c r="E557" s="585"/>
      <c r="F557" s="376"/>
      <c r="G557" s="298"/>
      <c r="H557" s="106"/>
      <c r="I557" s="298"/>
      <c r="J557" s="106"/>
      <c r="K557" s="298"/>
      <c r="L557" s="106"/>
      <c r="M557" s="298"/>
      <c r="N557" s="106"/>
      <c r="O557" s="298"/>
      <c r="P557" s="106"/>
      <c r="Q557" s="298"/>
      <c r="R557" s="106"/>
      <c r="S557" s="298"/>
      <c r="T557" s="106"/>
      <c r="U557" s="298"/>
      <c r="V557" s="106"/>
      <c r="W557" s="298"/>
      <c r="X557" s="185"/>
      <c r="Y557" s="71"/>
      <c r="Z557" s="186"/>
      <c r="AA557" s="186"/>
      <c r="AB557" s="584"/>
    </row>
    <row r="558" spans="1:34" ht="12.6" customHeight="1" x14ac:dyDescent="0.2">
      <c r="A558" s="4"/>
      <c r="B558" s="98"/>
      <c r="C558" s="585"/>
      <c r="D558" s="585"/>
      <c r="E558" s="585"/>
      <c r="F558" s="376"/>
      <c r="G558" s="298"/>
      <c r="H558" s="106"/>
      <c r="I558" s="298"/>
      <c r="J558" s="106"/>
      <c r="K558" s="298"/>
      <c r="L558" s="106"/>
      <c r="M558" s="298"/>
      <c r="N558" s="106"/>
      <c r="O558" s="298"/>
      <c r="P558" s="106"/>
      <c r="Q558" s="298"/>
      <c r="R558" s="106"/>
      <c r="S558" s="298"/>
      <c r="T558" s="106"/>
      <c r="U558" s="298"/>
      <c r="V558" s="106"/>
      <c r="W558" s="298"/>
      <c r="X558" s="185"/>
      <c r="Y558" s="71"/>
      <c r="Z558" s="186"/>
      <c r="AA558" s="186"/>
      <c r="AB558" s="584"/>
    </row>
    <row r="559" spans="1:34" ht="12" customHeight="1" x14ac:dyDescent="0.2">
      <c r="B559" s="647" t="s">
        <v>11</v>
      </c>
      <c r="C559" s="647" t="s">
        <v>12</v>
      </c>
      <c r="D559" s="648"/>
      <c r="E559" s="648"/>
      <c r="F559" s="649" t="s">
        <v>265</v>
      </c>
      <c r="G559" s="649" t="s">
        <v>13</v>
      </c>
      <c r="H559" s="651" t="s">
        <v>959</v>
      </c>
      <c r="I559" s="651"/>
      <c r="J559" s="652"/>
      <c r="K559" s="652"/>
      <c r="L559" s="652"/>
      <c r="M559" s="652"/>
      <c r="N559" s="652"/>
      <c r="O559" s="652"/>
      <c r="P559" s="652"/>
      <c r="Q559" s="652"/>
      <c r="R559" s="652"/>
      <c r="S559" s="652"/>
      <c r="T559" s="652"/>
      <c r="U559" s="652"/>
      <c r="V559" s="652"/>
      <c r="W559" s="652"/>
      <c r="X559" s="653" t="s">
        <v>14</v>
      </c>
      <c r="Y559" s="702"/>
      <c r="Z559" s="702"/>
      <c r="AA559" s="703"/>
      <c r="AB559" s="638" t="s">
        <v>15</v>
      </c>
      <c r="AF559" s="640" t="s">
        <v>3</v>
      </c>
      <c r="AG559" s="641"/>
      <c r="AH559" s="641"/>
    </row>
    <row r="560" spans="1:34" ht="12" customHeight="1" x14ac:dyDescent="0.2">
      <c r="B560" s="648"/>
      <c r="C560" s="648"/>
      <c r="D560" s="648"/>
      <c r="E560" s="648"/>
      <c r="F560" s="650"/>
      <c r="G560" s="650"/>
      <c r="H560" s="414"/>
      <c r="I560" s="413" t="s">
        <v>517</v>
      </c>
      <c r="J560" s="414"/>
      <c r="K560" s="413" t="s">
        <v>266</v>
      </c>
      <c r="L560" s="414"/>
      <c r="M560" s="413" t="s">
        <v>267</v>
      </c>
      <c r="N560" s="414"/>
      <c r="O560" s="413" t="s">
        <v>519</v>
      </c>
      <c r="P560" s="414"/>
      <c r="Q560" s="413" t="s">
        <v>17</v>
      </c>
      <c r="R560" s="414"/>
      <c r="S560" s="413" t="s">
        <v>18</v>
      </c>
      <c r="T560" s="414"/>
      <c r="U560" s="413" t="s">
        <v>19</v>
      </c>
      <c r="V560" s="414"/>
      <c r="W560" s="413" t="s">
        <v>520</v>
      </c>
      <c r="X560" s="704"/>
      <c r="Y560" s="705"/>
      <c r="Z560" s="705"/>
      <c r="AA560" s="706"/>
      <c r="AB560" s="639"/>
    </row>
    <row r="561" spans="1:28" ht="12.6" customHeight="1" x14ac:dyDescent="0.2">
      <c r="A561" s="4"/>
      <c r="B561" s="873" t="s">
        <v>617</v>
      </c>
      <c r="C561" s="740"/>
      <c r="D561" s="740"/>
      <c r="E561" s="740"/>
      <c r="F561" s="273">
        <f>31.386*X2</f>
        <v>41743.379999999997</v>
      </c>
      <c r="G561" s="273">
        <f>+F561*$X$1</f>
        <v>41743.379999999997</v>
      </c>
      <c r="H561" s="93">
        <f>F561+6000</f>
        <v>47743.38</v>
      </c>
      <c r="I561" s="273">
        <f>+H561*$X$1</f>
        <v>47743.38</v>
      </c>
      <c r="J561" s="93">
        <f>F561+2000</f>
        <v>43743.38</v>
      </c>
      <c r="K561" s="273">
        <f>+J561*$X$1</f>
        <v>43743.38</v>
      </c>
      <c r="L561" s="93">
        <f>F561+1700</f>
        <v>43443.38</v>
      </c>
      <c r="M561" s="273">
        <f>+L561*$X$1</f>
        <v>43443.38</v>
      </c>
      <c r="N561" s="93">
        <f>F561+1550</f>
        <v>43293.38</v>
      </c>
      <c r="O561" s="273">
        <f>+N561*$X$1</f>
        <v>43293.38</v>
      </c>
      <c r="P561" s="93">
        <f>F561+1350</f>
        <v>43093.38</v>
      </c>
      <c r="Q561" s="273">
        <f>+P561*$X$1</f>
        <v>43093.38</v>
      </c>
      <c r="R561" s="93">
        <f>F561+1200</f>
        <v>42943.38</v>
      </c>
      <c r="S561" s="273">
        <f>+R561*$X$1</f>
        <v>42943.38</v>
      </c>
      <c r="T561" s="93">
        <f>F561+1050</f>
        <v>42793.38</v>
      </c>
      <c r="U561" s="273">
        <f>+T561*$X$1</f>
        <v>42793.38</v>
      </c>
      <c r="V561" s="93">
        <f>F561+900</f>
        <v>42643.38</v>
      </c>
      <c r="W561" s="273">
        <f>+V561*$X$1</f>
        <v>42643.38</v>
      </c>
      <c r="X561" s="127"/>
      <c r="Y561" s="122"/>
      <c r="Z561" s="128"/>
      <c r="AA561" s="129"/>
      <c r="AB561" s="353" t="s">
        <v>548</v>
      </c>
    </row>
    <row r="562" spans="1:28" ht="12.6" customHeight="1" x14ac:dyDescent="0.2">
      <c r="A562" s="4"/>
      <c r="B562" s="669" t="s">
        <v>618</v>
      </c>
      <c r="C562" s="668"/>
      <c r="D562" s="668"/>
      <c r="E562" s="668"/>
      <c r="F562" s="283">
        <f>31.386*X2</f>
        <v>41743.379999999997</v>
      </c>
      <c r="G562" s="283">
        <f t="shared" ref="G562" si="1824">+F562*$X$1</f>
        <v>41743.379999999997</v>
      </c>
      <c r="H562" s="92">
        <f>F562+5000</f>
        <v>46743.38</v>
      </c>
      <c r="I562" s="283">
        <f t="shared" ref="I562" si="1825">+H562*$X$1</f>
        <v>46743.38</v>
      </c>
      <c r="J562" s="92">
        <f>F562+1200</f>
        <v>42943.38</v>
      </c>
      <c r="K562" s="283">
        <f t="shared" ref="K562" si="1826">+J562*$X$1</f>
        <v>42943.38</v>
      </c>
      <c r="L562" s="92">
        <f>F562+1000</f>
        <v>42743.38</v>
      </c>
      <c r="M562" s="283">
        <f t="shared" ref="M562" si="1827">+L562*$X$1</f>
        <v>42743.38</v>
      </c>
      <c r="N562" s="92">
        <f>F562+850</f>
        <v>42593.38</v>
      </c>
      <c r="O562" s="283">
        <f t="shared" ref="O562" si="1828">+N562*$X$1</f>
        <v>42593.38</v>
      </c>
      <c r="P562" s="92">
        <f>F562+740</f>
        <v>42483.38</v>
      </c>
      <c r="Q562" s="283">
        <f t="shared" ref="Q562" si="1829">+P562*$X$1</f>
        <v>42483.38</v>
      </c>
      <c r="R562" s="92">
        <f>F562+650</f>
        <v>42393.38</v>
      </c>
      <c r="S562" s="283">
        <f t="shared" ref="S562" si="1830">+R562*$X$1</f>
        <v>42393.38</v>
      </c>
      <c r="T562" s="92">
        <f>F562+560</f>
        <v>42303.38</v>
      </c>
      <c r="U562" s="283">
        <f t="shared" ref="U562" si="1831">+T562*$X$1</f>
        <v>42303.38</v>
      </c>
      <c r="V562" s="92">
        <f>F562+450</f>
        <v>42193.38</v>
      </c>
      <c r="W562" s="283">
        <f t="shared" ref="W562" si="1832">+V562*$X$1</f>
        <v>42193.38</v>
      </c>
      <c r="X562" s="127"/>
      <c r="Y562" s="122"/>
      <c r="Z562" s="128"/>
      <c r="AA562" s="129"/>
      <c r="AB562" s="353">
        <v>881</v>
      </c>
    </row>
    <row r="563" spans="1:28" ht="12.6" customHeight="1" x14ac:dyDescent="0.2">
      <c r="A563" s="4"/>
      <c r="B563" s="873" t="s">
        <v>619</v>
      </c>
      <c r="C563" s="740"/>
      <c r="D563" s="740"/>
      <c r="E563" s="740"/>
      <c r="F563" s="273">
        <f>19.4*X2</f>
        <v>25801.999999999996</v>
      </c>
      <c r="G563" s="273">
        <f>+F563*$X$1</f>
        <v>25801.999999999996</v>
      </c>
      <c r="H563" s="93">
        <f>F563+5000</f>
        <v>30801.999999999996</v>
      </c>
      <c r="I563" s="273">
        <f>+H563*$X$1</f>
        <v>30801.999999999996</v>
      </c>
      <c r="J563" s="93">
        <f>F563+1200</f>
        <v>27001.999999999996</v>
      </c>
      <c r="K563" s="273">
        <f>+J563*$X$1</f>
        <v>27001.999999999996</v>
      </c>
      <c r="L563" s="93">
        <f>F563+1000</f>
        <v>26801.999999999996</v>
      </c>
      <c r="M563" s="273">
        <f>+L563*$X$1</f>
        <v>26801.999999999996</v>
      </c>
      <c r="N563" s="93">
        <f>F563+850</f>
        <v>26651.999999999996</v>
      </c>
      <c r="O563" s="273">
        <f>+N563*$X$1</f>
        <v>26651.999999999996</v>
      </c>
      <c r="P563" s="93">
        <f>F563+740</f>
        <v>26541.999999999996</v>
      </c>
      <c r="Q563" s="273">
        <f>+P563*$X$1</f>
        <v>26541.999999999996</v>
      </c>
      <c r="R563" s="93">
        <f>F563+650</f>
        <v>26451.999999999996</v>
      </c>
      <c r="S563" s="273">
        <f>+R563*$X$1</f>
        <v>26451.999999999996</v>
      </c>
      <c r="T563" s="93">
        <f>F563+560</f>
        <v>26361.999999999996</v>
      </c>
      <c r="U563" s="273">
        <f>+T563*$X$1</f>
        <v>26361.999999999996</v>
      </c>
      <c r="V563" s="93">
        <f>F563+450</f>
        <v>26251.999999999996</v>
      </c>
      <c r="W563" s="273">
        <f>+V563*$X$1</f>
        <v>26251.999999999996</v>
      </c>
      <c r="X563" s="127"/>
      <c r="Y563" s="122"/>
      <c r="Z563" s="128"/>
      <c r="AA563" s="129"/>
      <c r="AB563" s="353">
        <v>882</v>
      </c>
    </row>
    <row r="564" spans="1:28" ht="12.6" customHeight="1" x14ac:dyDescent="0.2">
      <c r="A564" s="4"/>
      <c r="B564" s="836" t="s">
        <v>420</v>
      </c>
      <c r="C564" s="770"/>
      <c r="D564" s="770"/>
      <c r="E564" s="770"/>
      <c r="F564" s="283">
        <f>24*X2</f>
        <v>31920</v>
      </c>
      <c r="G564" s="283">
        <f t="shared" ref="G564" si="1833">+F564*$X$1</f>
        <v>31920</v>
      </c>
      <c r="H564" s="92">
        <f>F564+5000</f>
        <v>36920</v>
      </c>
      <c r="I564" s="283">
        <f>+H564*$X$1</f>
        <v>36920</v>
      </c>
      <c r="J564" s="92">
        <f>F564+1200</f>
        <v>33120</v>
      </c>
      <c r="K564" s="283">
        <f>+J564*$X$1</f>
        <v>33120</v>
      </c>
      <c r="L564" s="92">
        <f>F564+1000</f>
        <v>32920</v>
      </c>
      <c r="M564" s="283">
        <f>+L564*$X$1</f>
        <v>32920</v>
      </c>
      <c r="N564" s="92">
        <f>F564+850</f>
        <v>32770</v>
      </c>
      <c r="O564" s="283">
        <f>+N564*$X$1</f>
        <v>32770</v>
      </c>
      <c r="P564" s="92">
        <f>F564+740</f>
        <v>32660</v>
      </c>
      <c r="Q564" s="283">
        <f>+P564*$X$1</f>
        <v>32660</v>
      </c>
      <c r="R564" s="92">
        <f>F564+650</f>
        <v>32570</v>
      </c>
      <c r="S564" s="283">
        <f>+R564*$X$1</f>
        <v>32570</v>
      </c>
      <c r="T564" s="92">
        <f>F564+560</f>
        <v>32480</v>
      </c>
      <c r="U564" s="283">
        <f>+T564*$X$1</f>
        <v>32480</v>
      </c>
      <c r="V564" s="92">
        <f>F564+450</f>
        <v>32370</v>
      </c>
      <c r="W564" s="283">
        <f>+V564*$X$1</f>
        <v>32370</v>
      </c>
      <c r="X564" s="127"/>
      <c r="Y564" s="122"/>
      <c r="Z564" s="128"/>
      <c r="AA564" s="129"/>
      <c r="AB564" s="353">
        <v>883</v>
      </c>
    </row>
    <row r="565" spans="1:28" ht="12.6" customHeight="1" x14ac:dyDescent="0.2">
      <c r="A565" s="4"/>
      <c r="B565" s="724" t="s">
        <v>920</v>
      </c>
      <c r="C565" s="725"/>
      <c r="D565" s="725"/>
      <c r="E565" s="725"/>
      <c r="F565" s="257">
        <f>36.4*X2</f>
        <v>48412</v>
      </c>
      <c r="G565" s="257">
        <f>+F565*$X$1</f>
        <v>48412</v>
      </c>
      <c r="H565" s="93">
        <f>F565+5000</f>
        <v>53412</v>
      </c>
      <c r="I565" s="273">
        <f>+H565*$X$1</f>
        <v>53412</v>
      </c>
      <c r="J565" s="93">
        <f>F565+1200</f>
        <v>49612</v>
      </c>
      <c r="K565" s="273">
        <f>+J565*$X$1</f>
        <v>49612</v>
      </c>
      <c r="L565" s="93">
        <f>F565+1000</f>
        <v>49412</v>
      </c>
      <c r="M565" s="273">
        <f>+L565*$X$1</f>
        <v>49412</v>
      </c>
      <c r="N565" s="93">
        <f>F565+850</f>
        <v>49262</v>
      </c>
      <c r="O565" s="273">
        <f>+N565*$X$1</f>
        <v>49262</v>
      </c>
      <c r="P565" s="93">
        <f>F565+740</f>
        <v>49152</v>
      </c>
      <c r="Q565" s="273">
        <f>+P565*$X$1</f>
        <v>49152</v>
      </c>
      <c r="R565" s="93">
        <f>F565+650</f>
        <v>49062</v>
      </c>
      <c r="S565" s="273">
        <f>+R565*$X$1</f>
        <v>49062</v>
      </c>
      <c r="T565" s="93">
        <f>F565+560</f>
        <v>48972</v>
      </c>
      <c r="U565" s="273">
        <f>+T565*$X$1</f>
        <v>48972</v>
      </c>
      <c r="V565" s="93">
        <f>F565+450</f>
        <v>48862</v>
      </c>
      <c r="W565" s="273">
        <f>+V565*$X$1</f>
        <v>48862</v>
      </c>
      <c r="X565" s="127"/>
      <c r="Y565" s="122"/>
      <c r="Z565" s="128"/>
      <c r="AA565" s="129"/>
      <c r="AB565" s="353">
        <v>884</v>
      </c>
    </row>
    <row r="566" spans="1:28" ht="12.6" customHeight="1" x14ac:dyDescent="0.2">
      <c r="A566" s="4"/>
      <c r="B566" s="735" t="s">
        <v>702</v>
      </c>
      <c r="C566" s="688"/>
      <c r="D566" s="688"/>
      <c r="E566" s="689"/>
      <c r="F566" s="283">
        <f>16.15*X2</f>
        <v>21479.499999999996</v>
      </c>
      <c r="G566" s="283">
        <f>+F566*$X$1</f>
        <v>21479.499999999996</v>
      </c>
      <c r="H566" s="92">
        <f>F566+6000</f>
        <v>27479.499999999996</v>
      </c>
      <c r="I566" s="283">
        <f>+H566*$X$1</f>
        <v>27479.499999999996</v>
      </c>
      <c r="J566" s="92">
        <f>F566+2000</f>
        <v>23479.499999999996</v>
      </c>
      <c r="K566" s="283">
        <f>+J566*$X$1</f>
        <v>23479.499999999996</v>
      </c>
      <c r="L566" s="92">
        <f>F566+1700</f>
        <v>23179.499999999996</v>
      </c>
      <c r="M566" s="283">
        <f>+L566*$X$1</f>
        <v>23179.499999999996</v>
      </c>
      <c r="N566" s="92">
        <f>F566+1550</f>
        <v>23029.499999999996</v>
      </c>
      <c r="O566" s="283">
        <f>+N566*$X$1</f>
        <v>23029.499999999996</v>
      </c>
      <c r="P566" s="92">
        <f>F566+1350</f>
        <v>22829.499999999996</v>
      </c>
      <c r="Q566" s="283">
        <f>+P566*$X$1</f>
        <v>22829.499999999996</v>
      </c>
      <c r="R566" s="92">
        <f>F566+1200</f>
        <v>22679.499999999996</v>
      </c>
      <c r="S566" s="283">
        <f>+R566*$X$1</f>
        <v>22679.499999999996</v>
      </c>
      <c r="T566" s="92">
        <f>F566+1050</f>
        <v>22529.499999999996</v>
      </c>
      <c r="U566" s="283">
        <f>+T566*$X$1</f>
        <v>22529.499999999996</v>
      </c>
      <c r="V566" s="92">
        <f>F566+900</f>
        <v>22379.499999999996</v>
      </c>
      <c r="W566" s="283">
        <f>+V566*$X$1</f>
        <v>22379.499999999996</v>
      </c>
      <c r="X566" s="127"/>
      <c r="Y566" s="122"/>
      <c r="Z566" s="128"/>
      <c r="AA566" s="129"/>
      <c r="AB566" s="353" t="s">
        <v>701</v>
      </c>
    </row>
    <row r="567" spans="1:28" ht="12.6" customHeight="1" x14ac:dyDescent="0.2">
      <c r="A567" s="4"/>
      <c r="B567" s="1026" t="s">
        <v>703</v>
      </c>
      <c r="C567" s="758"/>
      <c r="D567" s="758"/>
      <c r="E567" s="759"/>
      <c r="F567" s="273">
        <f>16.15*X2</f>
        <v>21479.499999999996</v>
      </c>
      <c r="G567" s="273">
        <f>+F567*$X$1</f>
        <v>21479.499999999996</v>
      </c>
      <c r="H567" s="93">
        <f>F567+5000</f>
        <v>26479.499999999996</v>
      </c>
      <c r="I567" s="273">
        <f t="shared" ref="I567:I568" si="1834">+H567*$X$1</f>
        <v>26479.499999999996</v>
      </c>
      <c r="J567" s="93">
        <f>F567+1200</f>
        <v>22679.499999999996</v>
      </c>
      <c r="K567" s="273">
        <f t="shared" ref="K567:K568" si="1835">+J567*$X$1</f>
        <v>22679.499999999996</v>
      </c>
      <c r="L567" s="93">
        <f>F567+1000</f>
        <v>22479.499999999996</v>
      </c>
      <c r="M567" s="273">
        <f t="shared" ref="M567:M568" si="1836">+L567*$X$1</f>
        <v>22479.499999999996</v>
      </c>
      <c r="N567" s="93">
        <f>F567+850</f>
        <v>22329.499999999996</v>
      </c>
      <c r="O567" s="273">
        <f t="shared" ref="O567:O568" si="1837">+N567*$X$1</f>
        <v>22329.499999999996</v>
      </c>
      <c r="P567" s="93">
        <f>F567+740</f>
        <v>22219.499999999996</v>
      </c>
      <c r="Q567" s="273">
        <f t="shared" ref="Q567:Q568" si="1838">+P567*$X$1</f>
        <v>22219.499999999996</v>
      </c>
      <c r="R567" s="93">
        <f>F567+650</f>
        <v>22129.499999999996</v>
      </c>
      <c r="S567" s="273">
        <f t="shared" ref="S567:S568" si="1839">+R567*$X$1</f>
        <v>22129.499999999996</v>
      </c>
      <c r="T567" s="93">
        <f>F567+560</f>
        <v>22039.499999999996</v>
      </c>
      <c r="U567" s="273">
        <f t="shared" ref="U567:U568" si="1840">+T567*$X$1</f>
        <v>22039.499999999996</v>
      </c>
      <c r="V567" s="93">
        <f>F567+450</f>
        <v>21929.499999999996</v>
      </c>
      <c r="W567" s="273">
        <f t="shared" ref="W567:W568" si="1841">+V567*$X$1</f>
        <v>21929.499999999996</v>
      </c>
      <c r="X567" s="127"/>
      <c r="Y567" s="122"/>
      <c r="Z567" s="128"/>
      <c r="AA567" s="129"/>
      <c r="AB567" s="353">
        <v>886</v>
      </c>
    </row>
    <row r="568" spans="1:28" ht="12.6" customHeight="1" x14ac:dyDescent="0.2">
      <c r="A568" s="4"/>
      <c r="B568" s="836" t="s">
        <v>649</v>
      </c>
      <c r="C568" s="770"/>
      <c r="D568" s="770"/>
      <c r="E568" s="770"/>
      <c r="F568" s="258">
        <f>22.33*X2</f>
        <v>29698.899999999998</v>
      </c>
      <c r="G568" s="258">
        <f t="shared" ref="G568" si="1842">+F568*$X$1</f>
        <v>29698.899999999998</v>
      </c>
      <c r="H568" s="92">
        <f>F568+6000</f>
        <v>35698.899999999994</v>
      </c>
      <c r="I568" s="283">
        <f t="shared" si="1834"/>
        <v>35698.899999999994</v>
      </c>
      <c r="J568" s="92">
        <f>F568+2000</f>
        <v>31698.899999999998</v>
      </c>
      <c r="K568" s="283">
        <f t="shared" si="1835"/>
        <v>31698.899999999998</v>
      </c>
      <c r="L568" s="92">
        <f>F568+1700</f>
        <v>31398.899999999998</v>
      </c>
      <c r="M568" s="283">
        <f t="shared" si="1836"/>
        <v>31398.899999999998</v>
      </c>
      <c r="N568" s="92">
        <f>F568+1550</f>
        <v>31248.899999999998</v>
      </c>
      <c r="O568" s="283">
        <f t="shared" si="1837"/>
        <v>31248.899999999998</v>
      </c>
      <c r="P568" s="92">
        <f>F568+1350</f>
        <v>31048.899999999998</v>
      </c>
      <c r="Q568" s="283">
        <f t="shared" si="1838"/>
        <v>31048.899999999998</v>
      </c>
      <c r="R568" s="92">
        <f>F568+1200</f>
        <v>30898.899999999998</v>
      </c>
      <c r="S568" s="283">
        <f t="shared" si="1839"/>
        <v>30898.899999999998</v>
      </c>
      <c r="T568" s="92">
        <f>F568+1050</f>
        <v>30748.899999999998</v>
      </c>
      <c r="U568" s="283">
        <f t="shared" si="1840"/>
        <v>30748.899999999998</v>
      </c>
      <c r="V568" s="92">
        <f>F568+900</f>
        <v>30598.899999999998</v>
      </c>
      <c r="W568" s="283">
        <f t="shared" si="1841"/>
        <v>30598.899999999998</v>
      </c>
      <c r="X568" s="127"/>
      <c r="Y568" s="122"/>
      <c r="Z568" s="128"/>
      <c r="AA568" s="129"/>
      <c r="AB568" s="353" t="s">
        <v>633</v>
      </c>
    </row>
    <row r="569" spans="1:28" ht="12.6" customHeight="1" x14ac:dyDescent="0.2">
      <c r="A569" s="4"/>
      <c r="B569" s="873" t="s">
        <v>648</v>
      </c>
      <c r="C569" s="740"/>
      <c r="D569" s="740"/>
      <c r="E569" s="740"/>
      <c r="F569" s="257">
        <f>22.33*X2</f>
        <v>29698.899999999998</v>
      </c>
      <c r="G569" s="257">
        <f t="shared" ref="G569" si="1843">+F569*$X$1</f>
        <v>29698.899999999998</v>
      </c>
      <c r="H569" s="93">
        <f>F569+5000</f>
        <v>34698.899999999994</v>
      </c>
      <c r="I569" s="273">
        <f t="shared" ref="I569" si="1844">+H569*$X$1</f>
        <v>34698.899999999994</v>
      </c>
      <c r="J569" s="93">
        <f>F569+1200</f>
        <v>30898.899999999998</v>
      </c>
      <c r="K569" s="273">
        <f t="shared" ref="K569" si="1845">+J569*$X$1</f>
        <v>30898.899999999998</v>
      </c>
      <c r="L569" s="93">
        <f>F569+1000</f>
        <v>30698.899999999998</v>
      </c>
      <c r="M569" s="273">
        <f t="shared" ref="M569" si="1846">+L569*$X$1</f>
        <v>30698.899999999998</v>
      </c>
      <c r="N569" s="93">
        <f>F569+850</f>
        <v>30548.899999999998</v>
      </c>
      <c r="O569" s="273">
        <f t="shared" ref="O569" si="1847">+N569*$X$1</f>
        <v>30548.899999999998</v>
      </c>
      <c r="P569" s="93">
        <f>F569+740</f>
        <v>30438.899999999998</v>
      </c>
      <c r="Q569" s="273">
        <f t="shared" ref="Q569" si="1848">+P569*$X$1</f>
        <v>30438.899999999998</v>
      </c>
      <c r="R569" s="93">
        <f>F569+650</f>
        <v>30348.899999999998</v>
      </c>
      <c r="S569" s="273">
        <f t="shared" ref="S569" si="1849">+R569*$X$1</f>
        <v>30348.899999999998</v>
      </c>
      <c r="T569" s="93">
        <f>F569+560</f>
        <v>30258.899999999998</v>
      </c>
      <c r="U569" s="273">
        <f t="shared" ref="U569" si="1850">+T569*$X$1</f>
        <v>30258.899999999998</v>
      </c>
      <c r="V569" s="93">
        <f>F569+450</f>
        <v>30148.899999999998</v>
      </c>
      <c r="W569" s="273">
        <f t="shared" ref="W569" si="1851">+V569*$X$1</f>
        <v>30148.899999999998</v>
      </c>
      <c r="X569" s="127"/>
      <c r="Y569" s="122"/>
      <c r="Z569" s="128"/>
      <c r="AA569" s="129"/>
      <c r="AB569" s="353">
        <v>887</v>
      </c>
    </row>
    <row r="570" spans="1:28" ht="12.6" customHeight="1" x14ac:dyDescent="0.2">
      <c r="A570" s="4"/>
      <c r="B570" s="669" t="s">
        <v>577</v>
      </c>
      <c r="C570" s="668"/>
      <c r="D570" s="668"/>
      <c r="E570" s="668"/>
      <c r="F570" s="258">
        <f>14.7*X2</f>
        <v>19551</v>
      </c>
      <c r="G570" s="258">
        <f t="shared" ref="G570" si="1852">+F570*$X$1</f>
        <v>19551</v>
      </c>
      <c r="H570" s="92">
        <f>F570+5000</f>
        <v>24551</v>
      </c>
      <c r="I570" s="283">
        <f>+H570*$X$1</f>
        <v>24551</v>
      </c>
      <c r="J570" s="92">
        <f>F570+1200</f>
        <v>20751</v>
      </c>
      <c r="K570" s="283">
        <f>+J570*$X$1</f>
        <v>20751</v>
      </c>
      <c r="L570" s="92">
        <f>F570+1000</f>
        <v>20551</v>
      </c>
      <c r="M570" s="283">
        <f>+L570*$X$1</f>
        <v>20551</v>
      </c>
      <c r="N570" s="92">
        <f>F570+850</f>
        <v>20401</v>
      </c>
      <c r="O570" s="283">
        <f>+N570*$X$1</f>
        <v>20401</v>
      </c>
      <c r="P570" s="92">
        <f>F570+740</f>
        <v>20291</v>
      </c>
      <c r="Q570" s="283">
        <f>+P570*$X$1</f>
        <v>20291</v>
      </c>
      <c r="R570" s="92">
        <f>F570+650</f>
        <v>20201</v>
      </c>
      <c r="S570" s="283">
        <f>+R570*$X$1</f>
        <v>20201</v>
      </c>
      <c r="T570" s="92">
        <f>F570+560</f>
        <v>20111</v>
      </c>
      <c r="U570" s="283">
        <f>+T570*$X$1</f>
        <v>20111</v>
      </c>
      <c r="V570" s="92">
        <f>F570+450</f>
        <v>20001</v>
      </c>
      <c r="W570" s="283">
        <f>+V570*$X$1</f>
        <v>20001</v>
      </c>
      <c r="X570" s="127"/>
      <c r="Y570" s="122"/>
      <c r="Z570" s="128"/>
      <c r="AA570" s="129"/>
      <c r="AB570" s="353">
        <v>888</v>
      </c>
    </row>
    <row r="571" spans="1:28" ht="12.6" customHeight="1" x14ac:dyDescent="0.2">
      <c r="A571" s="4"/>
      <c r="B571" s="724" t="s">
        <v>611</v>
      </c>
      <c r="C571" s="673"/>
      <c r="D571" s="673"/>
      <c r="E571" s="673"/>
      <c r="F571" s="257">
        <f>15.8*X2</f>
        <v>21014</v>
      </c>
      <c r="G571" s="257">
        <f t="shared" ref="G571:G574" si="1853">+F571*$X$1</f>
        <v>21014</v>
      </c>
      <c r="H571" s="93">
        <f>F571+6000</f>
        <v>27014</v>
      </c>
      <c r="I571" s="273">
        <f>+H571*$X$1</f>
        <v>27014</v>
      </c>
      <c r="J571" s="93">
        <f>F571+2000</f>
        <v>23014</v>
      </c>
      <c r="K571" s="273">
        <f>+J571*$X$1</f>
        <v>23014</v>
      </c>
      <c r="L571" s="93">
        <f>F571+1700</f>
        <v>22714</v>
      </c>
      <c r="M571" s="273">
        <f>+L571*$X$1</f>
        <v>22714</v>
      </c>
      <c r="N571" s="93">
        <f>F571+1550</f>
        <v>22564</v>
      </c>
      <c r="O571" s="273">
        <f>+N571*$X$1</f>
        <v>22564</v>
      </c>
      <c r="P571" s="93">
        <f>F571+1350</f>
        <v>22364</v>
      </c>
      <c r="Q571" s="273">
        <f>+P571*$X$1</f>
        <v>22364</v>
      </c>
      <c r="R571" s="93">
        <f>F571+1200</f>
        <v>22214</v>
      </c>
      <c r="S571" s="273">
        <f>+R571*$X$1</f>
        <v>22214</v>
      </c>
      <c r="T571" s="93">
        <f>F571+1050</f>
        <v>22064</v>
      </c>
      <c r="U571" s="273">
        <f>+T571*$X$1</f>
        <v>22064</v>
      </c>
      <c r="V571" s="93">
        <f>F571+900</f>
        <v>21914</v>
      </c>
      <c r="W571" s="273">
        <f>+V571*$X$1</f>
        <v>21914</v>
      </c>
      <c r="X571" s="127"/>
      <c r="Y571" s="122"/>
      <c r="Z571" s="128"/>
      <c r="AA571" s="129"/>
      <c r="AB571" s="353">
        <v>896</v>
      </c>
    </row>
    <row r="572" spans="1:28" ht="12.6" customHeight="1" x14ac:dyDescent="0.2">
      <c r="A572" s="4"/>
      <c r="B572" s="669" t="s">
        <v>925</v>
      </c>
      <c r="C572" s="668"/>
      <c r="D572" s="668"/>
      <c r="E572" s="668"/>
      <c r="F572" s="258">
        <f>15.8*X2</f>
        <v>21014</v>
      </c>
      <c r="G572" s="258">
        <f t="shared" si="1853"/>
        <v>21014</v>
      </c>
      <c r="H572" s="92">
        <f>F572+5000</f>
        <v>26014</v>
      </c>
      <c r="I572" s="283">
        <f t="shared" ref="I572:I574" si="1854">+H572*$X$1</f>
        <v>26014</v>
      </c>
      <c r="J572" s="92">
        <f>F572+1200</f>
        <v>22214</v>
      </c>
      <c r="K572" s="283">
        <f t="shared" ref="K572:K574" si="1855">+J572*$X$1</f>
        <v>22214</v>
      </c>
      <c r="L572" s="92">
        <f>F572+1000</f>
        <v>22014</v>
      </c>
      <c r="M572" s="283">
        <f t="shared" ref="M572:M574" si="1856">+L572*$X$1</f>
        <v>22014</v>
      </c>
      <c r="N572" s="92">
        <f>F572+850</f>
        <v>21864</v>
      </c>
      <c r="O572" s="283">
        <f t="shared" ref="O572:O574" si="1857">+N572*$X$1</f>
        <v>21864</v>
      </c>
      <c r="P572" s="92">
        <f>F572+740</f>
        <v>21754</v>
      </c>
      <c r="Q572" s="283">
        <f t="shared" ref="Q572:Q574" si="1858">+P572*$X$1</f>
        <v>21754</v>
      </c>
      <c r="R572" s="92">
        <f>F572+650</f>
        <v>21664</v>
      </c>
      <c r="S572" s="283">
        <f t="shared" ref="S572:S574" si="1859">+R572*$X$1</f>
        <v>21664</v>
      </c>
      <c r="T572" s="92">
        <f>F572+560</f>
        <v>21574</v>
      </c>
      <c r="U572" s="283">
        <f t="shared" ref="U572:U574" si="1860">+T572*$X$1</f>
        <v>21574</v>
      </c>
      <c r="V572" s="92">
        <f>F572+450</f>
        <v>21464</v>
      </c>
      <c r="W572" s="283">
        <f t="shared" ref="W572:W574" si="1861">+V572*$X$1</f>
        <v>21464</v>
      </c>
      <c r="X572" s="127"/>
      <c r="Y572" s="122"/>
      <c r="Z572" s="128"/>
      <c r="AA572" s="129"/>
      <c r="AB572" s="353">
        <v>896</v>
      </c>
    </row>
    <row r="573" spans="1:28" ht="12.6" customHeight="1" x14ac:dyDescent="0.2">
      <c r="A573" s="4"/>
      <c r="B573" s="724" t="s">
        <v>830</v>
      </c>
      <c r="C573" s="725"/>
      <c r="D573" s="725"/>
      <c r="E573" s="725"/>
      <c r="F573" s="257">
        <v>20475</v>
      </c>
      <c r="G573" s="257">
        <f t="shared" ref="G573" si="1862">+F573*$X$1</f>
        <v>20475</v>
      </c>
      <c r="H573" s="93">
        <f>F573+6000</f>
        <v>26475</v>
      </c>
      <c r="I573" s="273">
        <f t="shared" si="1854"/>
        <v>26475</v>
      </c>
      <c r="J573" s="93">
        <f>F573+2000</f>
        <v>22475</v>
      </c>
      <c r="K573" s="273">
        <f t="shared" si="1855"/>
        <v>22475</v>
      </c>
      <c r="L573" s="93">
        <f>F573+1700</f>
        <v>22175</v>
      </c>
      <c r="M573" s="273">
        <f t="shared" si="1856"/>
        <v>22175</v>
      </c>
      <c r="N573" s="93">
        <f>F573+1550</f>
        <v>22025</v>
      </c>
      <c r="O573" s="273">
        <f t="shared" si="1857"/>
        <v>22025</v>
      </c>
      <c r="P573" s="93">
        <f>F573+1350</f>
        <v>21825</v>
      </c>
      <c r="Q573" s="273">
        <f t="shared" si="1858"/>
        <v>21825</v>
      </c>
      <c r="R573" s="93">
        <f>F573+1200</f>
        <v>21675</v>
      </c>
      <c r="S573" s="273">
        <f t="shared" si="1859"/>
        <v>21675</v>
      </c>
      <c r="T573" s="93">
        <f>F573+1050</f>
        <v>21525</v>
      </c>
      <c r="U573" s="273">
        <f t="shared" si="1860"/>
        <v>21525</v>
      </c>
      <c r="V573" s="93">
        <f>F573+900</f>
        <v>21375</v>
      </c>
      <c r="W573" s="273">
        <f t="shared" si="1861"/>
        <v>21375</v>
      </c>
      <c r="X573" s="127"/>
      <c r="Y573" s="122"/>
      <c r="Z573" s="128"/>
      <c r="AA573" s="129"/>
      <c r="AB573" s="353"/>
    </row>
    <row r="574" spans="1:28" ht="12.6" customHeight="1" x14ac:dyDescent="0.2">
      <c r="A574" s="4"/>
      <c r="B574" s="669" t="s">
        <v>579</v>
      </c>
      <c r="C574" s="752"/>
      <c r="D574" s="752"/>
      <c r="E574" s="752"/>
      <c r="F574" s="258">
        <f>19*X2</f>
        <v>25270</v>
      </c>
      <c r="G574" s="258">
        <f t="shared" si="1853"/>
        <v>25270</v>
      </c>
      <c r="H574" s="92">
        <f>F574+6000</f>
        <v>31270</v>
      </c>
      <c r="I574" s="283">
        <f t="shared" si="1854"/>
        <v>31270</v>
      </c>
      <c r="J574" s="92">
        <f>F574+2000</f>
        <v>27270</v>
      </c>
      <c r="K574" s="283">
        <f t="shared" si="1855"/>
        <v>27270</v>
      </c>
      <c r="L574" s="92">
        <f>F574+1700</f>
        <v>26970</v>
      </c>
      <c r="M574" s="283">
        <f t="shared" si="1856"/>
        <v>26970</v>
      </c>
      <c r="N574" s="92">
        <f>F574+1550</f>
        <v>26820</v>
      </c>
      <c r="O574" s="283">
        <f t="shared" si="1857"/>
        <v>26820</v>
      </c>
      <c r="P574" s="92">
        <f>F574+1350</f>
        <v>26620</v>
      </c>
      <c r="Q574" s="283">
        <f t="shared" si="1858"/>
        <v>26620</v>
      </c>
      <c r="R574" s="92">
        <f>F574+1200</f>
        <v>26470</v>
      </c>
      <c r="S574" s="283">
        <f t="shared" si="1859"/>
        <v>26470</v>
      </c>
      <c r="T574" s="92">
        <f>F574+1050</f>
        <v>26320</v>
      </c>
      <c r="U574" s="283">
        <f t="shared" si="1860"/>
        <v>26320</v>
      </c>
      <c r="V574" s="92">
        <f>F574+900</f>
        <v>26170</v>
      </c>
      <c r="W574" s="283">
        <f t="shared" si="1861"/>
        <v>26170</v>
      </c>
      <c r="X574" s="127"/>
      <c r="Y574" s="122"/>
      <c r="Z574" s="128"/>
      <c r="AA574" s="129"/>
      <c r="AB574" s="353">
        <v>899</v>
      </c>
    </row>
    <row r="575" spans="1:28" ht="12.6" customHeight="1" x14ac:dyDescent="0.2">
      <c r="A575" s="4"/>
      <c r="B575" s="724" t="s">
        <v>587</v>
      </c>
      <c r="C575" s="725"/>
      <c r="D575" s="725"/>
      <c r="E575" s="725"/>
      <c r="F575" s="257">
        <f>19*X2</f>
        <v>25270</v>
      </c>
      <c r="G575" s="257">
        <f>+F575*$X$1</f>
        <v>25270</v>
      </c>
      <c r="H575" s="93">
        <f>F575+5000</f>
        <v>30270</v>
      </c>
      <c r="I575" s="273">
        <f t="shared" ref="I575:I576" si="1863">+H575*$X$1</f>
        <v>30270</v>
      </c>
      <c r="J575" s="93">
        <f>F575+1200</f>
        <v>26470</v>
      </c>
      <c r="K575" s="273">
        <f t="shared" ref="K575:K578" si="1864">+J575*$X$1</f>
        <v>26470</v>
      </c>
      <c r="L575" s="93">
        <f>F575+1000</f>
        <v>26270</v>
      </c>
      <c r="M575" s="273">
        <f t="shared" ref="M575:M578" si="1865">+L575*$X$1</f>
        <v>26270</v>
      </c>
      <c r="N575" s="93">
        <f>F575+850</f>
        <v>26120</v>
      </c>
      <c r="O575" s="273">
        <f t="shared" ref="O575:O578" si="1866">+N575*$X$1</f>
        <v>26120</v>
      </c>
      <c r="P575" s="93">
        <f>F575+740</f>
        <v>26010</v>
      </c>
      <c r="Q575" s="273">
        <f t="shared" ref="Q575:Q576" si="1867">+P575*$X$1</f>
        <v>26010</v>
      </c>
      <c r="R575" s="93">
        <f>F575+650</f>
        <v>25920</v>
      </c>
      <c r="S575" s="273">
        <f t="shared" ref="S575:S576" si="1868">+R575*$X$1</f>
        <v>25920</v>
      </c>
      <c r="T575" s="93">
        <f>F575+560</f>
        <v>25830</v>
      </c>
      <c r="U575" s="273">
        <f t="shared" ref="U575:U576" si="1869">+T575*$X$1</f>
        <v>25830</v>
      </c>
      <c r="V575" s="93">
        <f>F575+450</f>
        <v>25720</v>
      </c>
      <c r="W575" s="273">
        <f t="shared" ref="W575:W576" si="1870">+V575*$X$1</f>
        <v>25720</v>
      </c>
      <c r="X575" s="127"/>
      <c r="Y575" s="122"/>
      <c r="Z575" s="128"/>
      <c r="AA575" s="129"/>
      <c r="AB575" s="353" t="s">
        <v>588</v>
      </c>
    </row>
    <row r="576" spans="1:28" ht="12.6" customHeight="1" x14ac:dyDescent="0.2">
      <c r="A576" s="4"/>
      <c r="B576" s="669" t="s">
        <v>451</v>
      </c>
      <c r="C576" s="737"/>
      <c r="D576" s="737"/>
      <c r="E576" s="737"/>
      <c r="F576" s="258">
        <f>20*X2</f>
        <v>26600</v>
      </c>
      <c r="G576" s="258">
        <f t="shared" ref="G576" si="1871">+F576*$X$1</f>
        <v>26600</v>
      </c>
      <c r="H576" s="92">
        <f>F576+6000</f>
        <v>32600</v>
      </c>
      <c r="I576" s="283">
        <f t="shared" si="1863"/>
        <v>32600</v>
      </c>
      <c r="J576" s="92">
        <f>F576+2000</f>
        <v>28600</v>
      </c>
      <c r="K576" s="283">
        <f t="shared" si="1864"/>
        <v>28600</v>
      </c>
      <c r="L576" s="92">
        <f>F576+1700</f>
        <v>28300</v>
      </c>
      <c r="M576" s="283">
        <f t="shared" si="1865"/>
        <v>28300</v>
      </c>
      <c r="N576" s="92">
        <f>F576+1550</f>
        <v>28150</v>
      </c>
      <c r="O576" s="283">
        <f t="shared" si="1866"/>
        <v>28150</v>
      </c>
      <c r="P576" s="92">
        <f>F576+1350</f>
        <v>27950</v>
      </c>
      <c r="Q576" s="283">
        <f t="shared" si="1867"/>
        <v>27950</v>
      </c>
      <c r="R576" s="92">
        <f>F576+1200</f>
        <v>27800</v>
      </c>
      <c r="S576" s="283">
        <f t="shared" si="1868"/>
        <v>27800</v>
      </c>
      <c r="T576" s="92">
        <f>F576+1050</f>
        <v>27650</v>
      </c>
      <c r="U576" s="283">
        <f t="shared" si="1869"/>
        <v>27650</v>
      </c>
      <c r="V576" s="92">
        <f>F576+900</f>
        <v>27500</v>
      </c>
      <c r="W576" s="283">
        <f t="shared" si="1870"/>
        <v>27500</v>
      </c>
      <c r="X576" s="127"/>
      <c r="Y576" s="122"/>
      <c r="Z576" s="128"/>
      <c r="AA576" s="129"/>
      <c r="AB576" s="353">
        <v>900</v>
      </c>
    </row>
    <row r="577" spans="1:34" ht="12.6" customHeight="1" x14ac:dyDescent="0.2">
      <c r="A577" s="4"/>
      <c r="B577" s="724" t="s">
        <v>383</v>
      </c>
      <c r="C577" s="684"/>
      <c r="D577" s="684"/>
      <c r="E577" s="684"/>
      <c r="F577" s="257">
        <v>19290</v>
      </c>
      <c r="G577" s="257">
        <f>+F577*$X$1</f>
        <v>19290</v>
      </c>
      <c r="H577" s="93">
        <f>F577+5000</f>
        <v>24290</v>
      </c>
      <c r="I577" s="273">
        <f t="shared" ref="I577:I578" si="1872">+H577*$X$1</f>
        <v>24290</v>
      </c>
      <c r="J577" s="93">
        <f>F577+1200</f>
        <v>20490</v>
      </c>
      <c r="K577" s="273">
        <f t="shared" si="1864"/>
        <v>20490</v>
      </c>
      <c r="L577" s="93">
        <f>F577+1000</f>
        <v>20290</v>
      </c>
      <c r="M577" s="273">
        <f t="shared" si="1865"/>
        <v>20290</v>
      </c>
      <c r="N577" s="93">
        <f>F577+850</f>
        <v>20140</v>
      </c>
      <c r="O577" s="273">
        <f t="shared" si="1866"/>
        <v>20140</v>
      </c>
      <c r="P577" s="93">
        <f>F577+740</f>
        <v>20030</v>
      </c>
      <c r="Q577" s="273">
        <f t="shared" ref="Q577:Q578" si="1873">+P577*$X$1</f>
        <v>20030</v>
      </c>
      <c r="R577" s="93">
        <f>F577+650</f>
        <v>19940</v>
      </c>
      <c r="S577" s="273">
        <f t="shared" ref="S577:S578" si="1874">+R577*$X$1</f>
        <v>19940</v>
      </c>
      <c r="T577" s="93">
        <f>F577+560</f>
        <v>19850</v>
      </c>
      <c r="U577" s="273">
        <f t="shared" ref="U577:U578" si="1875">+T577*$X$1</f>
        <v>19850</v>
      </c>
      <c r="V577" s="93">
        <f>F577+450</f>
        <v>19740</v>
      </c>
      <c r="W577" s="273">
        <f t="shared" ref="W577:W578" si="1876">+V577*$X$1</f>
        <v>19740</v>
      </c>
      <c r="X577" s="127"/>
      <c r="Y577" s="122"/>
      <c r="Z577" s="128"/>
      <c r="AA577" s="129"/>
      <c r="AB577" s="353">
        <v>905</v>
      </c>
    </row>
    <row r="578" spans="1:34" ht="12.6" customHeight="1" x14ac:dyDescent="0.2">
      <c r="A578" s="4"/>
      <c r="B578" s="669" t="s">
        <v>621</v>
      </c>
      <c r="C578" s="737"/>
      <c r="D578" s="737"/>
      <c r="E578" s="737"/>
      <c r="F578" s="258">
        <f>21.3*X2</f>
        <v>28329</v>
      </c>
      <c r="G578" s="258">
        <f>+F578*$X$1</f>
        <v>28329</v>
      </c>
      <c r="H578" s="92">
        <f>F578+6000</f>
        <v>34329</v>
      </c>
      <c r="I578" s="283">
        <f t="shared" si="1872"/>
        <v>34329</v>
      </c>
      <c r="J578" s="92">
        <f>F578+2000</f>
        <v>30329</v>
      </c>
      <c r="K578" s="283">
        <f t="shared" si="1864"/>
        <v>30329</v>
      </c>
      <c r="L578" s="92">
        <f>F578+1700</f>
        <v>30029</v>
      </c>
      <c r="M578" s="283">
        <f t="shared" si="1865"/>
        <v>30029</v>
      </c>
      <c r="N578" s="92">
        <f>F578+1550</f>
        <v>29879</v>
      </c>
      <c r="O578" s="283">
        <f t="shared" si="1866"/>
        <v>29879</v>
      </c>
      <c r="P578" s="92">
        <f>F578+1350</f>
        <v>29679</v>
      </c>
      <c r="Q578" s="283">
        <f t="shared" si="1873"/>
        <v>29679</v>
      </c>
      <c r="R578" s="92">
        <f>F578+1200</f>
        <v>29529</v>
      </c>
      <c r="S578" s="283">
        <f t="shared" si="1874"/>
        <v>29529</v>
      </c>
      <c r="T578" s="92">
        <f>F578+1050</f>
        <v>29379</v>
      </c>
      <c r="U578" s="283">
        <f t="shared" si="1875"/>
        <v>29379</v>
      </c>
      <c r="V578" s="92">
        <f>F578+900</f>
        <v>29229</v>
      </c>
      <c r="W578" s="283">
        <f t="shared" si="1876"/>
        <v>29229</v>
      </c>
      <c r="X578" s="127"/>
      <c r="Y578" s="122"/>
      <c r="Z578" s="128"/>
      <c r="AA578" s="129"/>
      <c r="AB578" s="353">
        <v>906</v>
      </c>
    </row>
    <row r="579" spans="1:34" ht="12.6" customHeight="1" x14ac:dyDescent="0.2">
      <c r="A579" s="4"/>
      <c r="B579" s="724" t="s">
        <v>622</v>
      </c>
      <c r="C579" s="684"/>
      <c r="D579" s="684"/>
      <c r="E579" s="684"/>
      <c r="F579" s="257">
        <f>21.3*X2</f>
        <v>28329</v>
      </c>
      <c r="G579" s="257">
        <f>+F579*$X$1</f>
        <v>28329</v>
      </c>
      <c r="H579" s="93">
        <f>F579+5000</f>
        <v>33329</v>
      </c>
      <c r="I579" s="273">
        <f t="shared" ref="I579:I580" si="1877">+H579*$X$1</f>
        <v>33329</v>
      </c>
      <c r="J579" s="93">
        <f>F579+1200</f>
        <v>29529</v>
      </c>
      <c r="K579" s="273">
        <f t="shared" ref="K579:K580" si="1878">+J579*$X$1</f>
        <v>29529</v>
      </c>
      <c r="L579" s="93">
        <f>F579+1000</f>
        <v>29329</v>
      </c>
      <c r="M579" s="273">
        <f t="shared" ref="M579:M580" si="1879">+L579*$X$1</f>
        <v>29329</v>
      </c>
      <c r="N579" s="93">
        <f>F579+850</f>
        <v>29179</v>
      </c>
      <c r="O579" s="273">
        <f t="shared" ref="O579:O580" si="1880">+N579*$X$1</f>
        <v>29179</v>
      </c>
      <c r="P579" s="93">
        <f>F579+740</f>
        <v>29069</v>
      </c>
      <c r="Q579" s="273">
        <f t="shared" ref="Q579:Q580" si="1881">+P579*$X$1</f>
        <v>29069</v>
      </c>
      <c r="R579" s="93">
        <f>F579+650</f>
        <v>28979</v>
      </c>
      <c r="S579" s="273">
        <f t="shared" ref="S579:S580" si="1882">+R579*$X$1</f>
        <v>28979</v>
      </c>
      <c r="T579" s="93">
        <f>F579+560</f>
        <v>28889</v>
      </c>
      <c r="U579" s="273">
        <f t="shared" ref="U579:U580" si="1883">+T579*$X$1</f>
        <v>28889</v>
      </c>
      <c r="V579" s="93">
        <f>F579+450</f>
        <v>28779</v>
      </c>
      <c r="W579" s="273">
        <f t="shared" ref="W579:W580" si="1884">+V579*$X$1</f>
        <v>28779</v>
      </c>
      <c r="X579" s="127"/>
      <c r="Y579" s="122"/>
      <c r="Z579" s="128"/>
      <c r="AA579" s="129"/>
      <c r="AB579" s="353">
        <v>906</v>
      </c>
    </row>
    <row r="580" spans="1:34" ht="12.6" customHeight="1" x14ac:dyDescent="0.2">
      <c r="A580" s="4"/>
      <c r="B580" s="669" t="s">
        <v>576</v>
      </c>
      <c r="C580" s="668"/>
      <c r="D580" s="668"/>
      <c r="E580" s="668"/>
      <c r="F580" s="285">
        <f>21.1*X2</f>
        <v>28063.000000000004</v>
      </c>
      <c r="G580" s="258">
        <f t="shared" ref="G580" si="1885">+F580*$X$1</f>
        <v>28063.000000000004</v>
      </c>
      <c r="H580" s="92">
        <f>F580+6000</f>
        <v>34063</v>
      </c>
      <c r="I580" s="283">
        <f t="shared" si="1877"/>
        <v>34063</v>
      </c>
      <c r="J580" s="92">
        <f>F580+2000</f>
        <v>30063.000000000004</v>
      </c>
      <c r="K580" s="283">
        <f t="shared" si="1878"/>
        <v>30063.000000000004</v>
      </c>
      <c r="L580" s="92">
        <f>F580+1700</f>
        <v>29763.000000000004</v>
      </c>
      <c r="M580" s="283">
        <f t="shared" si="1879"/>
        <v>29763.000000000004</v>
      </c>
      <c r="N580" s="92">
        <f>F580+1550</f>
        <v>29613.000000000004</v>
      </c>
      <c r="O580" s="283">
        <f t="shared" si="1880"/>
        <v>29613.000000000004</v>
      </c>
      <c r="P580" s="92">
        <f>F580+1350</f>
        <v>29413.000000000004</v>
      </c>
      <c r="Q580" s="283">
        <f t="shared" si="1881"/>
        <v>29413.000000000004</v>
      </c>
      <c r="R580" s="92">
        <f>F580+1200</f>
        <v>29263.000000000004</v>
      </c>
      <c r="S580" s="283">
        <f t="shared" si="1882"/>
        <v>29263.000000000004</v>
      </c>
      <c r="T580" s="92">
        <f>F580+1050</f>
        <v>29113.000000000004</v>
      </c>
      <c r="U580" s="283">
        <f t="shared" si="1883"/>
        <v>29113.000000000004</v>
      </c>
      <c r="V580" s="92">
        <f>F580+900</f>
        <v>28963.000000000004</v>
      </c>
      <c r="W580" s="283">
        <f t="shared" si="1884"/>
        <v>28963.000000000004</v>
      </c>
      <c r="X580" s="127"/>
      <c r="Y580" s="122"/>
      <c r="Z580" s="128"/>
      <c r="AA580" s="129"/>
      <c r="AB580" s="353" t="s">
        <v>589</v>
      </c>
    </row>
    <row r="581" spans="1:34" ht="12.6" customHeight="1" x14ac:dyDescent="0.2">
      <c r="A581" s="4"/>
      <c r="B581" s="724" t="s">
        <v>620</v>
      </c>
      <c r="C581" s="673"/>
      <c r="D581" s="673"/>
      <c r="E581" s="673"/>
      <c r="F581" s="335">
        <f>21.1*X2</f>
        <v>28063.000000000004</v>
      </c>
      <c r="G581" s="257">
        <f t="shared" ref="G581" si="1886">+F581*$X$1</f>
        <v>28063.000000000004</v>
      </c>
      <c r="H581" s="93">
        <f>F581+5000</f>
        <v>33063</v>
      </c>
      <c r="I581" s="273">
        <f t="shared" ref="I581" si="1887">+H581*$X$1</f>
        <v>33063</v>
      </c>
      <c r="J581" s="93">
        <f>F581+1200</f>
        <v>29263.000000000004</v>
      </c>
      <c r="K581" s="273">
        <f t="shared" ref="K581" si="1888">+J581*$X$1</f>
        <v>29263.000000000004</v>
      </c>
      <c r="L581" s="93">
        <f>F581+1000</f>
        <v>29063.000000000004</v>
      </c>
      <c r="M581" s="273">
        <f t="shared" ref="M581" si="1889">+L581*$X$1</f>
        <v>29063.000000000004</v>
      </c>
      <c r="N581" s="93">
        <f>F581+850</f>
        <v>28913.000000000004</v>
      </c>
      <c r="O581" s="273">
        <f t="shared" ref="O581" si="1890">+N581*$X$1</f>
        <v>28913.000000000004</v>
      </c>
      <c r="P581" s="93"/>
      <c r="Q581" s="273"/>
      <c r="R581" s="93"/>
      <c r="S581" s="273"/>
      <c r="T581" s="93"/>
      <c r="U581" s="273"/>
      <c r="V581" s="93"/>
      <c r="W581" s="273"/>
      <c r="X581" s="127"/>
      <c r="Y581" s="122"/>
      <c r="Z581" s="128"/>
      <c r="AA581" s="129"/>
      <c r="AB581" s="353">
        <v>907</v>
      </c>
    </row>
    <row r="582" spans="1:34" ht="12.6" customHeight="1" x14ac:dyDescent="0.2">
      <c r="A582" s="4"/>
      <c r="B582" s="1014" t="s">
        <v>551</v>
      </c>
      <c r="C582" s="1015"/>
      <c r="D582" s="1015"/>
      <c r="E582" s="1015"/>
      <c r="F582" s="1016"/>
      <c r="G582" s="1017"/>
      <c r="H582" s="572">
        <v>1900</v>
      </c>
      <c r="I582" s="258">
        <f t="shared" ref="I582" si="1891">+H582*$X$1</f>
        <v>1900</v>
      </c>
      <c r="J582" s="572">
        <v>1000</v>
      </c>
      <c r="K582" s="258">
        <f t="shared" ref="K582" si="1892">+J582*$X$1</f>
        <v>1000</v>
      </c>
      <c r="L582" s="572">
        <v>800</v>
      </c>
      <c r="M582" s="258">
        <f t="shared" ref="M582" si="1893">+L582*$X$1</f>
        <v>800</v>
      </c>
      <c r="N582" s="572">
        <v>700</v>
      </c>
      <c r="O582" s="258">
        <f t="shared" ref="O582" si="1894">+N582*$X$1</f>
        <v>700</v>
      </c>
      <c r="P582" s="572">
        <v>650</v>
      </c>
      <c r="Q582" s="258">
        <f t="shared" ref="Q582" si="1895">+P582*$X$1</f>
        <v>650</v>
      </c>
      <c r="R582" s="572">
        <v>550</v>
      </c>
      <c r="S582" s="258">
        <f t="shared" ref="S582" si="1896">+R582*$X$1</f>
        <v>550</v>
      </c>
      <c r="T582" s="572">
        <v>500</v>
      </c>
      <c r="U582" s="258">
        <f t="shared" ref="U582" si="1897">+T582*$X$1</f>
        <v>500</v>
      </c>
      <c r="V582" s="572">
        <v>460</v>
      </c>
      <c r="W582" s="258">
        <f t="shared" ref="W582" si="1898">+V582*$X$1</f>
        <v>460</v>
      </c>
      <c r="X582" s="127"/>
      <c r="Y582" s="122"/>
      <c r="Z582" s="128"/>
      <c r="AA582" s="129"/>
      <c r="AB582" s="30"/>
    </row>
    <row r="583" spans="1:34" ht="12.6" customHeight="1" x14ac:dyDescent="0.2">
      <c r="A583" s="4"/>
      <c r="B583" s="1018" t="s">
        <v>552</v>
      </c>
      <c r="C583" s="1019"/>
      <c r="D583" s="1019"/>
      <c r="E583" s="1019"/>
      <c r="F583" s="1016"/>
      <c r="G583" s="1017"/>
      <c r="H583" s="559">
        <v>900</v>
      </c>
      <c r="I583" s="257">
        <f t="shared" ref="I583" si="1899">+H583*$X$1</f>
        <v>900</v>
      </c>
      <c r="J583" s="559">
        <v>750</v>
      </c>
      <c r="K583" s="257">
        <f t="shared" ref="K583" si="1900">+J583*$X$1</f>
        <v>750</v>
      </c>
      <c r="L583" s="559">
        <v>600</v>
      </c>
      <c r="M583" s="257">
        <f t="shared" ref="M583" si="1901">+L583*$X$1</f>
        <v>600</v>
      </c>
      <c r="N583" s="559">
        <v>550</v>
      </c>
      <c r="O583" s="257">
        <f t="shared" ref="O583" si="1902">+N583*$X$1</f>
        <v>550</v>
      </c>
      <c r="P583" s="559">
        <v>500</v>
      </c>
      <c r="Q583" s="257">
        <f t="shared" ref="Q583" si="1903">+P583*$X$1</f>
        <v>500</v>
      </c>
      <c r="R583" s="559">
        <v>450</v>
      </c>
      <c r="S583" s="257">
        <f t="shared" ref="S583" si="1904">+R583*$X$1</f>
        <v>450</v>
      </c>
      <c r="T583" s="559">
        <v>400</v>
      </c>
      <c r="U583" s="257">
        <f t="shared" ref="U583" si="1905">+T583*$X$1</f>
        <v>400</v>
      </c>
      <c r="V583" s="559">
        <v>370</v>
      </c>
      <c r="W583" s="257">
        <f t="shared" ref="W583" si="1906">+V583*$X$1</f>
        <v>370</v>
      </c>
      <c r="X583" s="127"/>
      <c r="Y583" s="122"/>
      <c r="Z583" s="128"/>
      <c r="AA583" s="129"/>
      <c r="AB583" s="30"/>
    </row>
    <row r="584" spans="1:34" ht="12.6" customHeight="1" x14ac:dyDescent="0.2">
      <c r="A584" s="88"/>
      <c r="B584" s="73"/>
      <c r="C584" s="74"/>
      <c r="D584" s="74"/>
      <c r="E584" s="74"/>
      <c r="F584" s="74"/>
      <c r="G584" s="74"/>
      <c r="H584" s="74"/>
      <c r="I584" s="298"/>
      <c r="J584" s="106"/>
      <c r="K584" s="298"/>
      <c r="L584" s="106"/>
      <c r="M584" s="298"/>
      <c r="N584" s="106"/>
      <c r="O584" s="298"/>
      <c r="P584" s="106"/>
      <c r="Q584" s="298"/>
      <c r="R584" s="106"/>
      <c r="S584" s="298"/>
      <c r="T584" s="106"/>
      <c r="U584" s="298"/>
      <c r="V584" s="106"/>
      <c r="W584" s="298"/>
      <c r="AB584" s="75"/>
    </row>
    <row r="585" spans="1:34" ht="15" customHeight="1" x14ac:dyDescent="0.2">
      <c r="B585" s="1020" t="s">
        <v>530</v>
      </c>
      <c r="C585" s="1021"/>
      <c r="D585" s="1021"/>
      <c r="E585" s="1021"/>
      <c r="F585" s="1021"/>
      <c r="G585" s="1021"/>
      <c r="H585" s="1021"/>
      <c r="I585" s="1021"/>
      <c r="J585" s="1021"/>
      <c r="K585" s="1021"/>
      <c r="L585" s="1021"/>
      <c r="M585" s="1021"/>
      <c r="N585" s="1021"/>
      <c r="O585" s="1021"/>
      <c r="P585" s="1021"/>
      <c r="Q585" s="1021"/>
      <c r="R585" s="1021"/>
      <c r="S585" s="1021"/>
      <c r="T585" s="1021"/>
      <c r="U585" s="1021"/>
      <c r="V585" s="1021"/>
      <c r="W585" s="1021"/>
      <c r="AB585" s="4"/>
      <c r="AF585" s="640"/>
      <c r="AG585" s="641"/>
      <c r="AH585" s="641"/>
    </row>
    <row r="586" spans="1:34" ht="14.25" customHeight="1" x14ac:dyDescent="0.2">
      <c r="B586" s="692" t="s">
        <v>11</v>
      </c>
      <c r="C586" s="694" t="s">
        <v>12</v>
      </c>
      <c r="D586" s="695"/>
      <c r="E586" s="695"/>
      <c r="F586" s="697" t="s">
        <v>265</v>
      </c>
      <c r="G586" s="697" t="s">
        <v>13</v>
      </c>
      <c r="H586" s="699" t="s">
        <v>750</v>
      </c>
      <c r="I586" s="699"/>
      <c r="J586" s="700"/>
      <c r="K586" s="700"/>
      <c r="L586" s="700"/>
      <c r="M586" s="700"/>
      <c r="N586" s="700"/>
      <c r="O586" s="700"/>
      <c r="P586" s="700"/>
      <c r="Q586" s="700"/>
      <c r="R586" s="700"/>
      <c r="S586" s="700"/>
      <c r="T586" s="700"/>
      <c r="U586" s="700"/>
      <c r="V586" s="700"/>
      <c r="W586" s="701"/>
      <c r="X586" s="653" t="s">
        <v>14</v>
      </c>
      <c r="Y586" s="702"/>
      <c r="Z586" s="702"/>
      <c r="AA586" s="703"/>
      <c r="AB586" s="638" t="s">
        <v>15</v>
      </c>
      <c r="AF586" s="640" t="s">
        <v>3</v>
      </c>
      <c r="AG586" s="641"/>
      <c r="AH586" s="641"/>
    </row>
    <row r="587" spans="1:34" ht="12" customHeight="1" x14ac:dyDescent="0.2">
      <c r="B587" s="693"/>
      <c r="C587" s="696"/>
      <c r="D587" s="696"/>
      <c r="E587" s="696"/>
      <c r="F587" s="698"/>
      <c r="G587" s="698"/>
      <c r="H587" s="423"/>
      <c r="I587" s="424" t="s">
        <v>517</v>
      </c>
      <c r="J587" s="423"/>
      <c r="K587" s="424" t="s">
        <v>266</v>
      </c>
      <c r="L587" s="423"/>
      <c r="M587" s="424" t="s">
        <v>267</v>
      </c>
      <c r="N587" s="423"/>
      <c r="O587" s="424" t="s">
        <v>519</v>
      </c>
      <c r="P587" s="423"/>
      <c r="Q587" s="424" t="s">
        <v>17</v>
      </c>
      <c r="R587" s="423"/>
      <c r="S587" s="424" t="s">
        <v>18</v>
      </c>
      <c r="T587" s="423"/>
      <c r="U587" s="424" t="s">
        <v>19</v>
      </c>
      <c r="V587" s="423"/>
      <c r="W587" s="425" t="s">
        <v>520</v>
      </c>
      <c r="X587" s="704"/>
      <c r="Y587" s="705"/>
      <c r="Z587" s="705"/>
      <c r="AA587" s="706"/>
      <c r="AB587" s="639"/>
    </row>
    <row r="588" spans="1:34" ht="12" customHeight="1" x14ac:dyDescent="0.2">
      <c r="A588" s="4"/>
      <c r="B588" s="672" t="s">
        <v>799</v>
      </c>
      <c r="C588" s="684"/>
      <c r="D588" s="684"/>
      <c r="E588" s="684"/>
      <c r="F588" s="273">
        <f>10.44*X2</f>
        <v>13885.199999999999</v>
      </c>
      <c r="G588" s="273">
        <f t="shared" ref="G588:G589" si="1907">+F588*$X$1</f>
        <v>13885.199999999999</v>
      </c>
      <c r="H588" s="93"/>
      <c r="I588" s="273"/>
      <c r="J588" s="93">
        <f>F588+1200</f>
        <v>15085.199999999999</v>
      </c>
      <c r="K588" s="273">
        <f t="shared" ref="K588" si="1908">+J588*$X$1</f>
        <v>15085.199999999999</v>
      </c>
      <c r="L588" s="93">
        <f t="shared" ref="L588:L593" si="1909">F588+800</f>
        <v>14685.199999999999</v>
      </c>
      <c r="M588" s="273">
        <f t="shared" ref="M588" si="1910">+L588*$X$1</f>
        <v>14685.199999999999</v>
      </c>
      <c r="N588" s="93">
        <f t="shared" ref="N588:N593" si="1911">F588+700</f>
        <v>14585.199999999999</v>
      </c>
      <c r="O588" s="273">
        <f t="shared" ref="O588" si="1912">+N588*$X$1</f>
        <v>14585.199999999999</v>
      </c>
      <c r="P588" s="93">
        <f t="shared" ref="P588:P593" si="1913">F588+600</f>
        <v>14485.199999999999</v>
      </c>
      <c r="Q588" s="273">
        <f t="shared" ref="Q588" si="1914">+P588*$X$1</f>
        <v>14485.199999999999</v>
      </c>
      <c r="R588" s="93">
        <f t="shared" ref="R588:R611" si="1915">F588+500</f>
        <v>14385.199999999999</v>
      </c>
      <c r="S588" s="273">
        <f t="shared" ref="S588" si="1916">+R588*$X$1</f>
        <v>14385.199999999999</v>
      </c>
      <c r="T588" s="93">
        <f t="shared" ref="T588:T611" si="1917">F588+450</f>
        <v>14335.199999999999</v>
      </c>
      <c r="U588" s="273">
        <f t="shared" ref="U588" si="1918">+T588*$X$1</f>
        <v>14335.199999999999</v>
      </c>
      <c r="V588" s="93">
        <f t="shared" ref="V588:V611" si="1919">F588+360</f>
        <v>14245.199999999999</v>
      </c>
      <c r="W588" s="273">
        <f t="shared" ref="W588" si="1920">+V588*$X$1</f>
        <v>14245.199999999999</v>
      </c>
      <c r="X588" s="127"/>
      <c r="Y588" s="122"/>
      <c r="Z588" s="128"/>
      <c r="AA588" s="129"/>
      <c r="AB588" s="353">
        <v>533</v>
      </c>
    </row>
    <row r="589" spans="1:34" ht="12" customHeight="1" x14ac:dyDescent="0.2">
      <c r="A589" s="4"/>
      <c r="B589" s="707" t="s">
        <v>876</v>
      </c>
      <c r="C589" s="708"/>
      <c r="D589" s="708"/>
      <c r="E589" s="708"/>
      <c r="F589" s="283">
        <f>6.6*X2</f>
        <v>8778</v>
      </c>
      <c r="G589" s="283">
        <f t="shared" si="1907"/>
        <v>8778</v>
      </c>
      <c r="H589" s="92"/>
      <c r="I589" s="283"/>
      <c r="J589" s="92"/>
      <c r="K589" s="283"/>
      <c r="L589" s="92">
        <f t="shared" si="1909"/>
        <v>9578</v>
      </c>
      <c r="M589" s="283">
        <f t="shared" ref="M589:M593" si="1921">+L589*$X$1</f>
        <v>9578</v>
      </c>
      <c r="N589" s="92">
        <f t="shared" si="1911"/>
        <v>9478</v>
      </c>
      <c r="O589" s="283">
        <f t="shared" ref="O589:O593" si="1922">+N589*$X$1</f>
        <v>9478</v>
      </c>
      <c r="P589" s="92">
        <f t="shared" si="1913"/>
        <v>9378</v>
      </c>
      <c r="Q589" s="283">
        <f t="shared" ref="Q589:Q593" si="1923">+P589*$X$1</f>
        <v>9378</v>
      </c>
      <c r="R589" s="92">
        <f t="shared" si="1915"/>
        <v>9278</v>
      </c>
      <c r="S589" s="283">
        <f t="shared" ref="S589:S595" si="1924">+R589*$X$1</f>
        <v>9278</v>
      </c>
      <c r="T589" s="92">
        <f t="shared" si="1917"/>
        <v>9228</v>
      </c>
      <c r="U589" s="283">
        <f t="shared" ref="U589:U595" si="1925">+T589*$X$1</f>
        <v>9228</v>
      </c>
      <c r="V589" s="92">
        <f t="shared" si="1919"/>
        <v>9138</v>
      </c>
      <c r="W589" s="283">
        <f t="shared" ref="W589:W595" si="1926">+V589*$X$1</f>
        <v>9138</v>
      </c>
      <c r="X589" s="127"/>
      <c r="Y589" s="122"/>
      <c r="Z589" s="128"/>
      <c r="AA589" s="129"/>
      <c r="AB589" s="367">
        <v>556</v>
      </c>
    </row>
    <row r="590" spans="1:34" ht="12" customHeight="1" x14ac:dyDescent="0.2">
      <c r="A590" s="4"/>
      <c r="B590" s="690" t="s">
        <v>802</v>
      </c>
      <c r="C590" s="1012"/>
      <c r="D590" s="1012"/>
      <c r="E590" s="1012"/>
      <c r="F590" s="273">
        <f>7.82*X2</f>
        <v>10400.6</v>
      </c>
      <c r="G590" s="273">
        <f t="shared" ref="G590" si="1927">+F590*$X$1</f>
        <v>10400.6</v>
      </c>
      <c r="H590" s="93"/>
      <c r="I590" s="273"/>
      <c r="J590" s="93"/>
      <c r="K590" s="273"/>
      <c r="L590" s="93"/>
      <c r="M590" s="273"/>
      <c r="N590" s="93">
        <f t="shared" si="1911"/>
        <v>11100.6</v>
      </c>
      <c r="O590" s="273">
        <f t="shared" si="1922"/>
        <v>11100.6</v>
      </c>
      <c r="P590" s="93">
        <f t="shared" si="1913"/>
        <v>11000.6</v>
      </c>
      <c r="Q590" s="273">
        <f t="shared" si="1923"/>
        <v>11000.6</v>
      </c>
      <c r="R590" s="93">
        <f t="shared" si="1915"/>
        <v>10900.6</v>
      </c>
      <c r="S590" s="273">
        <f t="shared" si="1924"/>
        <v>10900.6</v>
      </c>
      <c r="T590" s="93">
        <f t="shared" si="1917"/>
        <v>10850.6</v>
      </c>
      <c r="U590" s="273">
        <f t="shared" si="1925"/>
        <v>10850.6</v>
      </c>
      <c r="V590" s="93">
        <f t="shared" si="1919"/>
        <v>10760.6</v>
      </c>
      <c r="W590" s="273">
        <f t="shared" si="1926"/>
        <v>10760.6</v>
      </c>
      <c r="X590" s="127"/>
      <c r="Y590" s="122"/>
      <c r="Z590" s="128"/>
      <c r="AA590" s="129"/>
      <c r="AB590" s="367">
        <v>566</v>
      </c>
    </row>
    <row r="591" spans="1:34" ht="12" customHeight="1" x14ac:dyDescent="0.2">
      <c r="A591" s="4"/>
      <c r="B591" s="707" t="s">
        <v>803</v>
      </c>
      <c r="C591" s="708"/>
      <c r="D591" s="708"/>
      <c r="E591" s="708"/>
      <c r="F591" s="283">
        <f>9.65*X2</f>
        <v>12834.5</v>
      </c>
      <c r="G591" s="283">
        <f t="shared" ref="G591" si="1928">+F591*$X$1</f>
        <v>12834.5</v>
      </c>
      <c r="H591" s="92"/>
      <c r="I591" s="283"/>
      <c r="J591" s="92"/>
      <c r="K591" s="283"/>
      <c r="L591" s="92"/>
      <c r="M591" s="283"/>
      <c r="N591" s="92">
        <f t="shared" si="1911"/>
        <v>13534.5</v>
      </c>
      <c r="O591" s="283">
        <f t="shared" si="1922"/>
        <v>13534.5</v>
      </c>
      <c r="P591" s="92">
        <f t="shared" si="1913"/>
        <v>13434.5</v>
      </c>
      <c r="Q591" s="283">
        <f t="shared" si="1923"/>
        <v>13434.5</v>
      </c>
      <c r="R591" s="92">
        <f t="shared" si="1915"/>
        <v>13334.5</v>
      </c>
      <c r="S591" s="283">
        <f t="shared" si="1924"/>
        <v>13334.5</v>
      </c>
      <c r="T591" s="92">
        <f t="shared" si="1917"/>
        <v>13284.5</v>
      </c>
      <c r="U591" s="283">
        <f t="shared" si="1925"/>
        <v>13284.5</v>
      </c>
      <c r="V591" s="92">
        <f t="shared" si="1919"/>
        <v>13194.5</v>
      </c>
      <c r="W591" s="283">
        <f t="shared" si="1926"/>
        <v>13194.5</v>
      </c>
      <c r="X591" s="127"/>
      <c r="Y591" s="122"/>
      <c r="Z591" s="128"/>
      <c r="AA591" s="129"/>
      <c r="AB591" s="367">
        <v>567</v>
      </c>
    </row>
    <row r="592" spans="1:34" ht="12" customHeight="1" x14ac:dyDescent="0.2">
      <c r="A592" s="4"/>
      <c r="B592" s="690" t="s">
        <v>804</v>
      </c>
      <c r="C592" s="1012"/>
      <c r="D592" s="1012"/>
      <c r="E592" s="1012"/>
      <c r="F592" s="273">
        <f>9.36*X2</f>
        <v>12448.8</v>
      </c>
      <c r="G592" s="273">
        <f t="shared" ref="G592" si="1929">+F592*$X$1</f>
        <v>12448.8</v>
      </c>
      <c r="H592" s="93"/>
      <c r="I592" s="273"/>
      <c r="J592" s="93"/>
      <c r="K592" s="273"/>
      <c r="L592" s="93"/>
      <c r="M592" s="273"/>
      <c r="N592" s="93">
        <f t="shared" si="1911"/>
        <v>13148.8</v>
      </c>
      <c r="O592" s="273">
        <f t="shared" si="1922"/>
        <v>13148.8</v>
      </c>
      <c r="P592" s="93">
        <f t="shared" si="1913"/>
        <v>13048.8</v>
      </c>
      <c r="Q592" s="273">
        <f t="shared" si="1923"/>
        <v>13048.8</v>
      </c>
      <c r="R592" s="93">
        <f t="shared" si="1915"/>
        <v>12948.8</v>
      </c>
      <c r="S592" s="273">
        <f t="shared" si="1924"/>
        <v>12948.8</v>
      </c>
      <c r="T592" s="93">
        <f t="shared" si="1917"/>
        <v>12898.8</v>
      </c>
      <c r="U592" s="273">
        <f t="shared" si="1925"/>
        <v>12898.8</v>
      </c>
      <c r="V592" s="93">
        <f t="shared" si="1919"/>
        <v>12808.8</v>
      </c>
      <c r="W592" s="273">
        <f t="shared" si="1926"/>
        <v>12808.8</v>
      </c>
      <c r="X592" s="127"/>
      <c r="Y592" s="122"/>
      <c r="Z592" s="128"/>
      <c r="AA592" s="129"/>
      <c r="AB592" s="367">
        <v>569</v>
      </c>
    </row>
    <row r="593" spans="1:28" ht="12" customHeight="1" x14ac:dyDescent="0.2">
      <c r="A593" s="4"/>
      <c r="B593" s="977" t="s">
        <v>687</v>
      </c>
      <c r="C593" s="1008"/>
      <c r="D593" s="1008"/>
      <c r="E593" s="1008"/>
      <c r="F593" s="468">
        <f>18.1*X2</f>
        <v>24073.000000000004</v>
      </c>
      <c r="G593" s="468">
        <f t="shared" ref="G593:I593" si="1930">+F593*$X$1</f>
        <v>24073.000000000004</v>
      </c>
      <c r="H593" s="549">
        <f>F593+5000</f>
        <v>29073.000000000004</v>
      </c>
      <c r="I593" s="468">
        <f t="shared" si="1930"/>
        <v>29073.000000000004</v>
      </c>
      <c r="J593" s="549">
        <f>F593+1200</f>
        <v>25273.000000000004</v>
      </c>
      <c r="K593" s="468">
        <f t="shared" ref="K593" si="1931">+J593*$X$1</f>
        <v>25273.000000000004</v>
      </c>
      <c r="L593" s="549">
        <f t="shared" si="1909"/>
        <v>24873.000000000004</v>
      </c>
      <c r="M593" s="468">
        <f t="shared" si="1921"/>
        <v>24873.000000000004</v>
      </c>
      <c r="N593" s="549">
        <f t="shared" si="1911"/>
        <v>24773.000000000004</v>
      </c>
      <c r="O593" s="468">
        <f t="shared" si="1922"/>
        <v>24773.000000000004</v>
      </c>
      <c r="P593" s="549">
        <f t="shared" si="1913"/>
        <v>24673.000000000004</v>
      </c>
      <c r="Q593" s="468">
        <f t="shared" si="1923"/>
        <v>24673.000000000004</v>
      </c>
      <c r="R593" s="549">
        <f t="shared" si="1915"/>
        <v>24573.000000000004</v>
      </c>
      <c r="S593" s="468">
        <f t="shared" si="1924"/>
        <v>24573.000000000004</v>
      </c>
      <c r="T593" s="549">
        <f t="shared" si="1917"/>
        <v>24523.000000000004</v>
      </c>
      <c r="U593" s="468">
        <f t="shared" si="1925"/>
        <v>24523.000000000004</v>
      </c>
      <c r="V593" s="549">
        <f t="shared" si="1919"/>
        <v>24433.000000000004</v>
      </c>
      <c r="W593" s="468">
        <f t="shared" si="1926"/>
        <v>24433.000000000004</v>
      </c>
      <c r="X593" s="127"/>
      <c r="Y593" s="122"/>
      <c r="Z593" s="128"/>
      <c r="AA593" s="129"/>
      <c r="AB593" s="367">
        <v>570</v>
      </c>
    </row>
    <row r="594" spans="1:28" ht="12" customHeight="1" x14ac:dyDescent="0.2">
      <c r="A594" s="4"/>
      <c r="B594" s="977" t="s">
        <v>1013</v>
      </c>
      <c r="C594" s="1008"/>
      <c r="D594" s="1008"/>
      <c r="E594" s="1008"/>
      <c r="F594" s="553">
        <v>15300</v>
      </c>
      <c r="G594" s="469">
        <f>+F594*$X$1</f>
        <v>15300</v>
      </c>
      <c r="H594" s="549"/>
      <c r="I594" s="468"/>
      <c r="J594" s="549"/>
      <c r="K594" s="468"/>
      <c r="L594" s="549"/>
      <c r="M594" s="468"/>
      <c r="N594" s="549">
        <f t="shared" ref="N594" si="1932">F594+700</f>
        <v>16000</v>
      </c>
      <c r="O594" s="468">
        <f t="shared" ref="O594" si="1933">+N594*$X$1</f>
        <v>16000</v>
      </c>
      <c r="P594" s="549">
        <f t="shared" ref="P594" si="1934">F594+600</f>
        <v>15900</v>
      </c>
      <c r="Q594" s="468">
        <f t="shared" ref="Q594" si="1935">+P594*$X$1</f>
        <v>15900</v>
      </c>
      <c r="R594" s="549">
        <f t="shared" ref="R594" si="1936">F594+500</f>
        <v>15800</v>
      </c>
      <c r="S594" s="468">
        <f t="shared" ref="S594" si="1937">+R594*$X$1</f>
        <v>15800</v>
      </c>
      <c r="T594" s="549">
        <f t="shared" ref="T594" si="1938">F594+450</f>
        <v>15750</v>
      </c>
      <c r="U594" s="468">
        <f t="shared" ref="U594" si="1939">+T594*$X$1</f>
        <v>15750</v>
      </c>
      <c r="V594" s="549">
        <f t="shared" ref="V594" si="1940">F594+360</f>
        <v>15660</v>
      </c>
      <c r="W594" s="468">
        <f t="shared" ref="W594" si="1941">+V594*$X$1</f>
        <v>15660</v>
      </c>
      <c r="X594" s="127"/>
      <c r="Y594" s="122"/>
      <c r="Z594" s="128"/>
      <c r="AA594" s="129"/>
      <c r="AB594" s="367" t="s">
        <v>1012</v>
      </c>
    </row>
    <row r="595" spans="1:28" ht="12" customHeight="1" x14ac:dyDescent="0.2">
      <c r="A595" s="4"/>
      <c r="B595" s="707" t="s">
        <v>873</v>
      </c>
      <c r="C595" s="708"/>
      <c r="D595" s="708"/>
      <c r="E595" s="708"/>
      <c r="F595" s="283">
        <v>4910</v>
      </c>
      <c r="G595" s="283">
        <f>+F595*$X$1</f>
        <v>4910</v>
      </c>
      <c r="H595" s="92"/>
      <c r="I595" s="283"/>
      <c r="J595" s="92"/>
      <c r="K595" s="283"/>
      <c r="L595" s="92"/>
      <c r="M595" s="283"/>
      <c r="N595" s="92"/>
      <c r="O595" s="283"/>
      <c r="P595" s="92"/>
      <c r="Q595" s="283"/>
      <c r="R595" s="92">
        <f t="shared" si="1915"/>
        <v>5410</v>
      </c>
      <c r="S595" s="283">
        <f t="shared" si="1924"/>
        <v>5410</v>
      </c>
      <c r="T595" s="92">
        <f t="shared" si="1917"/>
        <v>5360</v>
      </c>
      <c r="U595" s="283">
        <f t="shared" si="1925"/>
        <v>5360</v>
      </c>
      <c r="V595" s="92">
        <f t="shared" si="1919"/>
        <v>5270</v>
      </c>
      <c r="W595" s="283">
        <f t="shared" si="1926"/>
        <v>5270</v>
      </c>
      <c r="X595" s="127"/>
      <c r="Y595" s="122"/>
      <c r="Z595" s="128"/>
      <c r="AA595" s="129"/>
      <c r="AB595" s="353">
        <v>572</v>
      </c>
    </row>
    <row r="596" spans="1:28" ht="12" customHeight="1" x14ac:dyDescent="0.2">
      <c r="A596" s="4"/>
      <c r="B596" s="690" t="s">
        <v>872</v>
      </c>
      <c r="C596" s="1012"/>
      <c r="D596" s="1012"/>
      <c r="E596" s="1012"/>
      <c r="F596" s="273">
        <f>5.08*X2</f>
        <v>6756.4000000000005</v>
      </c>
      <c r="G596" s="273">
        <f t="shared" ref="G596" si="1942">+F596*$X$1</f>
        <v>6756.4000000000005</v>
      </c>
      <c r="H596" s="93"/>
      <c r="I596" s="273"/>
      <c r="J596" s="93"/>
      <c r="K596" s="273"/>
      <c r="L596" s="93"/>
      <c r="M596" s="273"/>
      <c r="N596" s="93">
        <f t="shared" ref="N596:N611" si="1943">F596+700</f>
        <v>7456.4000000000005</v>
      </c>
      <c r="O596" s="273">
        <f t="shared" ref="O596:O597" si="1944">+N596*$X$1</f>
        <v>7456.4000000000005</v>
      </c>
      <c r="P596" s="93">
        <f t="shared" ref="P596:P611" si="1945">F596+600</f>
        <v>7356.4000000000005</v>
      </c>
      <c r="Q596" s="273">
        <f t="shared" ref="Q596:Q597" si="1946">+P596*$X$1</f>
        <v>7356.4000000000005</v>
      </c>
      <c r="R596" s="93">
        <f t="shared" si="1915"/>
        <v>7256.4000000000005</v>
      </c>
      <c r="S596" s="273">
        <f t="shared" ref="S596:S597" si="1947">+R596*$X$1</f>
        <v>7256.4000000000005</v>
      </c>
      <c r="T596" s="93">
        <f t="shared" si="1917"/>
        <v>7206.4000000000005</v>
      </c>
      <c r="U596" s="273">
        <f t="shared" ref="U596:U597" si="1948">+T596*$X$1</f>
        <v>7206.4000000000005</v>
      </c>
      <c r="V596" s="93">
        <f t="shared" si="1919"/>
        <v>7116.4000000000005</v>
      </c>
      <c r="W596" s="273">
        <f t="shared" ref="W596:W597" si="1949">+V596*$X$1</f>
        <v>7116.4000000000005</v>
      </c>
      <c r="X596" s="127"/>
      <c r="Y596" s="122"/>
      <c r="Z596" s="128"/>
      <c r="AA596" s="129"/>
      <c r="AB596" s="353" t="s">
        <v>723</v>
      </c>
    </row>
    <row r="597" spans="1:28" ht="12" customHeight="1" x14ac:dyDescent="0.2">
      <c r="A597" s="4"/>
      <c r="B597" s="707" t="s">
        <v>825</v>
      </c>
      <c r="C597" s="708"/>
      <c r="D597" s="708"/>
      <c r="E597" s="708"/>
      <c r="F597" s="283">
        <f>1.7*X2</f>
        <v>2261</v>
      </c>
      <c r="G597" s="283">
        <f t="shared" ref="G597" si="1950">+F597*$X$1</f>
        <v>2261</v>
      </c>
      <c r="H597" s="92"/>
      <c r="I597" s="283"/>
      <c r="J597" s="92"/>
      <c r="K597" s="283"/>
      <c r="L597" s="92"/>
      <c r="M597" s="283"/>
      <c r="N597" s="92">
        <f t="shared" si="1943"/>
        <v>2961</v>
      </c>
      <c r="O597" s="283">
        <f t="shared" si="1944"/>
        <v>2961</v>
      </c>
      <c r="P597" s="92">
        <f t="shared" si="1945"/>
        <v>2861</v>
      </c>
      <c r="Q597" s="283">
        <f t="shared" si="1946"/>
        <v>2861</v>
      </c>
      <c r="R597" s="92">
        <f t="shared" si="1915"/>
        <v>2761</v>
      </c>
      <c r="S597" s="283">
        <f t="shared" si="1947"/>
        <v>2761</v>
      </c>
      <c r="T597" s="92">
        <f t="shared" si="1917"/>
        <v>2711</v>
      </c>
      <c r="U597" s="283">
        <f t="shared" si="1948"/>
        <v>2711</v>
      </c>
      <c r="V597" s="92">
        <f t="shared" si="1919"/>
        <v>2621</v>
      </c>
      <c r="W597" s="283">
        <f t="shared" si="1949"/>
        <v>2621</v>
      </c>
      <c r="X597" s="127"/>
      <c r="Y597" s="122"/>
      <c r="Z597" s="128"/>
      <c r="AA597" s="129"/>
      <c r="AB597" s="353">
        <v>575</v>
      </c>
    </row>
    <row r="598" spans="1:28" ht="12" customHeight="1" x14ac:dyDescent="0.2">
      <c r="A598" s="4"/>
      <c r="B598" s="977" t="s">
        <v>677</v>
      </c>
      <c r="C598" s="1008"/>
      <c r="D598" s="1008"/>
      <c r="E598" s="1008"/>
      <c r="F598" s="468">
        <v>13850</v>
      </c>
      <c r="G598" s="468">
        <f t="shared" ref="G598:G599" si="1951">+F598*$X$1</f>
        <v>13850</v>
      </c>
      <c r="H598" s="549"/>
      <c r="I598" s="468"/>
      <c r="J598" s="549"/>
      <c r="K598" s="468"/>
      <c r="L598" s="549">
        <f t="shared" ref="L598:L611" si="1952">F598+800</f>
        <v>14650</v>
      </c>
      <c r="M598" s="468">
        <f t="shared" ref="M598:M604" si="1953">+L598*$X$1</f>
        <v>14650</v>
      </c>
      <c r="N598" s="549">
        <f t="shared" si="1943"/>
        <v>14550</v>
      </c>
      <c r="O598" s="468">
        <f t="shared" ref="O598:O604" si="1954">+N598*$X$1</f>
        <v>14550</v>
      </c>
      <c r="P598" s="549">
        <f t="shared" si="1945"/>
        <v>14450</v>
      </c>
      <c r="Q598" s="468">
        <f t="shared" ref="Q598:Q604" si="1955">+P598*$X$1</f>
        <v>14450</v>
      </c>
      <c r="R598" s="549">
        <f t="shared" si="1915"/>
        <v>14350</v>
      </c>
      <c r="S598" s="468">
        <f t="shared" ref="S598:S604" si="1956">+R598*$X$1</f>
        <v>14350</v>
      </c>
      <c r="T598" s="549">
        <f t="shared" si="1917"/>
        <v>14300</v>
      </c>
      <c r="U598" s="468">
        <f t="shared" ref="U598:U604" si="1957">+T598*$X$1</f>
        <v>14300</v>
      </c>
      <c r="V598" s="549">
        <f t="shared" si="1919"/>
        <v>14210</v>
      </c>
      <c r="W598" s="468">
        <f t="shared" ref="W598:W604" si="1958">+V598*$X$1</f>
        <v>14210</v>
      </c>
      <c r="X598" s="127"/>
      <c r="Y598" s="122"/>
      <c r="Z598" s="128"/>
      <c r="AA598" s="129"/>
      <c r="AB598" s="353">
        <v>577</v>
      </c>
    </row>
    <row r="599" spans="1:28" ht="12" customHeight="1" x14ac:dyDescent="0.2">
      <c r="A599" s="4"/>
      <c r="B599" s="790" t="s">
        <v>974</v>
      </c>
      <c r="C599" s="791"/>
      <c r="D599" s="791"/>
      <c r="E599" s="791"/>
      <c r="F599" s="283">
        <f>9.18*X2</f>
        <v>12209.4</v>
      </c>
      <c r="G599" s="283">
        <f t="shared" si="1951"/>
        <v>12209.4</v>
      </c>
      <c r="H599" s="92"/>
      <c r="I599" s="283"/>
      <c r="J599" s="92"/>
      <c r="K599" s="283"/>
      <c r="L599" s="92">
        <f t="shared" si="1952"/>
        <v>13009.4</v>
      </c>
      <c r="M599" s="283">
        <f t="shared" si="1953"/>
        <v>13009.4</v>
      </c>
      <c r="N599" s="92">
        <f t="shared" si="1943"/>
        <v>12909.4</v>
      </c>
      <c r="O599" s="283">
        <f t="shared" si="1954"/>
        <v>12909.4</v>
      </c>
      <c r="P599" s="92">
        <f t="shared" si="1945"/>
        <v>12809.4</v>
      </c>
      <c r="Q599" s="283">
        <f t="shared" si="1955"/>
        <v>12809.4</v>
      </c>
      <c r="R599" s="92">
        <f t="shared" ref="R599" si="1959">F599+500</f>
        <v>12709.4</v>
      </c>
      <c r="S599" s="283">
        <f t="shared" si="1956"/>
        <v>12709.4</v>
      </c>
      <c r="T599" s="92">
        <f t="shared" ref="T599" si="1960">F599+450</f>
        <v>12659.4</v>
      </c>
      <c r="U599" s="283">
        <f t="shared" si="1957"/>
        <v>12659.4</v>
      </c>
      <c r="V599" s="92">
        <f t="shared" ref="V599" si="1961">F599+360</f>
        <v>12569.4</v>
      </c>
      <c r="W599" s="283">
        <f t="shared" si="1958"/>
        <v>12569.4</v>
      </c>
      <c r="X599" s="127"/>
      <c r="Y599" s="122"/>
      <c r="Z599" s="128"/>
      <c r="AA599" s="129"/>
      <c r="AB599" s="367">
        <v>579</v>
      </c>
    </row>
    <row r="600" spans="1:28" ht="12" customHeight="1" x14ac:dyDescent="0.2">
      <c r="A600" s="4"/>
      <c r="B600" s="672" t="s">
        <v>676</v>
      </c>
      <c r="C600" s="684"/>
      <c r="D600" s="684"/>
      <c r="E600" s="684"/>
      <c r="F600" s="273">
        <f>27.7*X2</f>
        <v>36841</v>
      </c>
      <c r="G600" s="273">
        <f>+F600*$X$1</f>
        <v>36841</v>
      </c>
      <c r="H600" s="93">
        <f>F600+5000</f>
        <v>41841</v>
      </c>
      <c r="I600" s="273">
        <f t="shared" ref="I600:I603" si="1962">+H600*$X$1</f>
        <v>41841</v>
      </c>
      <c r="J600" s="93">
        <f>F600+1200</f>
        <v>38041</v>
      </c>
      <c r="K600" s="273">
        <f t="shared" ref="K600:K603" si="1963">+J600*$X$1</f>
        <v>38041</v>
      </c>
      <c r="L600" s="93">
        <f t="shared" si="1952"/>
        <v>37641</v>
      </c>
      <c r="M600" s="273">
        <f t="shared" si="1953"/>
        <v>37641</v>
      </c>
      <c r="N600" s="93">
        <f t="shared" si="1943"/>
        <v>37541</v>
      </c>
      <c r="O600" s="273">
        <f t="shared" si="1954"/>
        <v>37541</v>
      </c>
      <c r="P600" s="93">
        <f t="shared" si="1945"/>
        <v>37441</v>
      </c>
      <c r="Q600" s="273">
        <f t="shared" si="1955"/>
        <v>37441</v>
      </c>
      <c r="R600" s="93">
        <f t="shared" si="1915"/>
        <v>37341</v>
      </c>
      <c r="S600" s="273">
        <f t="shared" si="1956"/>
        <v>37341</v>
      </c>
      <c r="T600" s="93">
        <f t="shared" si="1917"/>
        <v>37291</v>
      </c>
      <c r="U600" s="273">
        <f t="shared" si="1957"/>
        <v>37291</v>
      </c>
      <c r="V600" s="93">
        <f t="shared" si="1919"/>
        <v>37201</v>
      </c>
      <c r="W600" s="273">
        <f t="shared" si="1958"/>
        <v>37201</v>
      </c>
      <c r="X600" s="127"/>
      <c r="Y600" s="122"/>
      <c r="Z600" s="128"/>
      <c r="AA600" s="129"/>
      <c r="AB600" s="353">
        <v>580</v>
      </c>
    </row>
    <row r="601" spans="1:28" ht="12" customHeight="1" x14ac:dyDescent="0.2">
      <c r="A601" s="4"/>
      <c r="B601" s="667" t="s">
        <v>675</v>
      </c>
      <c r="C601" s="737"/>
      <c r="D601" s="737"/>
      <c r="E601" s="737"/>
      <c r="F601" s="285">
        <f>23.4*X2</f>
        <v>31121.999999999996</v>
      </c>
      <c r="G601" s="258">
        <f>+F601*$X$1</f>
        <v>31121.999999999996</v>
      </c>
      <c r="H601" s="92">
        <f>F601+5000</f>
        <v>36122</v>
      </c>
      <c r="I601" s="283">
        <f t="shared" si="1962"/>
        <v>36122</v>
      </c>
      <c r="J601" s="92">
        <f>F601+1200</f>
        <v>32321.999999999996</v>
      </c>
      <c r="K601" s="283">
        <f t="shared" si="1963"/>
        <v>32321.999999999996</v>
      </c>
      <c r="L601" s="92">
        <f t="shared" si="1952"/>
        <v>31921.999999999996</v>
      </c>
      <c r="M601" s="283">
        <f t="shared" si="1953"/>
        <v>31921.999999999996</v>
      </c>
      <c r="N601" s="92">
        <f t="shared" si="1943"/>
        <v>31821.999999999996</v>
      </c>
      <c r="O601" s="283">
        <f t="shared" si="1954"/>
        <v>31821.999999999996</v>
      </c>
      <c r="P601" s="92">
        <f t="shared" si="1945"/>
        <v>31721.999999999996</v>
      </c>
      <c r="Q601" s="283">
        <f t="shared" si="1955"/>
        <v>31721.999999999996</v>
      </c>
      <c r="R601" s="92">
        <f t="shared" si="1915"/>
        <v>31621.999999999996</v>
      </c>
      <c r="S601" s="283">
        <f t="shared" si="1956"/>
        <v>31621.999999999996</v>
      </c>
      <c r="T601" s="92">
        <f t="shared" si="1917"/>
        <v>31571.999999999996</v>
      </c>
      <c r="U601" s="283">
        <f t="shared" si="1957"/>
        <v>31571.999999999996</v>
      </c>
      <c r="V601" s="92">
        <f t="shared" si="1919"/>
        <v>31481.999999999996</v>
      </c>
      <c r="W601" s="283">
        <f t="shared" si="1958"/>
        <v>31481.999999999996</v>
      </c>
      <c r="X601" s="127"/>
      <c r="Y601" s="122"/>
      <c r="Z601" s="128"/>
      <c r="AA601" s="129"/>
      <c r="AB601" s="353">
        <v>582</v>
      </c>
    </row>
    <row r="602" spans="1:28" ht="12" customHeight="1" x14ac:dyDescent="0.2">
      <c r="A602" s="4"/>
      <c r="B602" s="672" t="s">
        <v>674</v>
      </c>
      <c r="C602" s="684"/>
      <c r="D602" s="684"/>
      <c r="E602" s="684"/>
      <c r="F602" s="273">
        <v>33200</v>
      </c>
      <c r="G602" s="273">
        <f>+F602*$X$1</f>
        <v>33200</v>
      </c>
      <c r="H602" s="93">
        <f>F602+5000</f>
        <v>38200</v>
      </c>
      <c r="I602" s="273">
        <f t="shared" si="1962"/>
        <v>38200</v>
      </c>
      <c r="J602" s="93">
        <f>F602+1200</f>
        <v>34400</v>
      </c>
      <c r="K602" s="273">
        <f t="shared" si="1963"/>
        <v>34400</v>
      </c>
      <c r="L602" s="93">
        <f t="shared" si="1952"/>
        <v>34000</v>
      </c>
      <c r="M602" s="273">
        <f t="shared" si="1953"/>
        <v>34000</v>
      </c>
      <c r="N602" s="93">
        <f t="shared" si="1943"/>
        <v>33900</v>
      </c>
      <c r="O602" s="273">
        <f t="shared" si="1954"/>
        <v>33900</v>
      </c>
      <c r="P602" s="93">
        <f t="shared" si="1945"/>
        <v>33800</v>
      </c>
      <c r="Q602" s="273">
        <f t="shared" si="1955"/>
        <v>33800</v>
      </c>
      <c r="R602" s="93">
        <f t="shared" si="1915"/>
        <v>33700</v>
      </c>
      <c r="S602" s="273">
        <f t="shared" si="1956"/>
        <v>33700</v>
      </c>
      <c r="T602" s="93">
        <f t="shared" si="1917"/>
        <v>33650</v>
      </c>
      <c r="U602" s="273">
        <f t="shared" si="1957"/>
        <v>33650</v>
      </c>
      <c r="V602" s="93">
        <f t="shared" si="1919"/>
        <v>33560</v>
      </c>
      <c r="W602" s="273">
        <f t="shared" si="1958"/>
        <v>33560</v>
      </c>
      <c r="X602" s="127"/>
      <c r="Y602" s="122"/>
      <c r="Z602" s="128"/>
      <c r="AA602" s="129"/>
      <c r="AB602" s="353">
        <v>584</v>
      </c>
    </row>
    <row r="603" spans="1:28" ht="12" customHeight="1" x14ac:dyDescent="0.2">
      <c r="A603" s="4"/>
      <c r="B603" s="735" t="s">
        <v>724</v>
      </c>
      <c r="C603" s="750"/>
      <c r="D603" s="750"/>
      <c r="E603" s="751"/>
      <c r="F603" s="285">
        <f>25.5*X2</f>
        <v>33915</v>
      </c>
      <c r="G603" s="258">
        <f>+F603*$X$1</f>
        <v>33915</v>
      </c>
      <c r="H603" s="92">
        <f>F603+5000</f>
        <v>38915</v>
      </c>
      <c r="I603" s="283">
        <f t="shared" si="1962"/>
        <v>38915</v>
      </c>
      <c r="J603" s="92">
        <f>F603+1200</f>
        <v>35115</v>
      </c>
      <c r="K603" s="283">
        <f t="shared" si="1963"/>
        <v>35115</v>
      </c>
      <c r="L603" s="92">
        <f t="shared" si="1952"/>
        <v>34715</v>
      </c>
      <c r="M603" s="283">
        <f t="shared" si="1953"/>
        <v>34715</v>
      </c>
      <c r="N603" s="92">
        <f t="shared" si="1943"/>
        <v>34615</v>
      </c>
      <c r="O603" s="283">
        <f t="shared" si="1954"/>
        <v>34615</v>
      </c>
      <c r="P603" s="92">
        <f t="shared" si="1945"/>
        <v>34515</v>
      </c>
      <c r="Q603" s="283">
        <f t="shared" si="1955"/>
        <v>34515</v>
      </c>
      <c r="R603" s="92">
        <f t="shared" si="1915"/>
        <v>34415</v>
      </c>
      <c r="S603" s="283">
        <f t="shared" si="1956"/>
        <v>34415</v>
      </c>
      <c r="T603" s="92">
        <f t="shared" si="1917"/>
        <v>34365</v>
      </c>
      <c r="U603" s="283">
        <f t="shared" si="1957"/>
        <v>34365</v>
      </c>
      <c r="V603" s="92">
        <f t="shared" si="1919"/>
        <v>34275</v>
      </c>
      <c r="W603" s="283">
        <f t="shared" si="1958"/>
        <v>34275</v>
      </c>
      <c r="X603" s="127"/>
      <c r="Y603" s="122"/>
      <c r="Z603" s="128"/>
      <c r="AA603" s="129"/>
      <c r="AB603" s="353">
        <v>586</v>
      </c>
    </row>
    <row r="604" spans="1:28" ht="12" customHeight="1" x14ac:dyDescent="0.2">
      <c r="A604" s="4"/>
      <c r="B604" s="883" t="s">
        <v>805</v>
      </c>
      <c r="C604" s="884"/>
      <c r="D604" s="884"/>
      <c r="E604" s="885"/>
      <c r="F604" s="273">
        <v>14490</v>
      </c>
      <c r="G604" s="273">
        <f t="shared" ref="G604" si="1964">+F604*$X$1</f>
        <v>14490</v>
      </c>
      <c r="H604" s="93"/>
      <c r="I604" s="273"/>
      <c r="J604" s="93"/>
      <c r="K604" s="273"/>
      <c r="L604" s="93">
        <f t="shared" si="1952"/>
        <v>15290</v>
      </c>
      <c r="M604" s="273">
        <f t="shared" si="1953"/>
        <v>15290</v>
      </c>
      <c r="N604" s="93">
        <f t="shared" si="1943"/>
        <v>15190</v>
      </c>
      <c r="O604" s="273">
        <f t="shared" si="1954"/>
        <v>15190</v>
      </c>
      <c r="P604" s="93">
        <f t="shared" si="1945"/>
        <v>15090</v>
      </c>
      <c r="Q604" s="273">
        <f t="shared" si="1955"/>
        <v>15090</v>
      </c>
      <c r="R604" s="93">
        <f t="shared" si="1915"/>
        <v>14990</v>
      </c>
      <c r="S604" s="273">
        <f t="shared" si="1956"/>
        <v>14990</v>
      </c>
      <c r="T604" s="93">
        <f t="shared" si="1917"/>
        <v>14940</v>
      </c>
      <c r="U604" s="273">
        <f t="shared" si="1957"/>
        <v>14940</v>
      </c>
      <c r="V604" s="93">
        <f t="shared" si="1919"/>
        <v>14850</v>
      </c>
      <c r="W604" s="273">
        <f t="shared" si="1958"/>
        <v>14850</v>
      </c>
      <c r="X604" s="127"/>
      <c r="Y604" s="122"/>
      <c r="Z604" s="128"/>
      <c r="AA604" s="129"/>
      <c r="AB604" s="353">
        <v>590</v>
      </c>
    </row>
    <row r="605" spans="1:28" ht="12" customHeight="1" x14ac:dyDescent="0.2">
      <c r="A605" s="4"/>
      <c r="B605" s="1005" t="s">
        <v>812</v>
      </c>
      <c r="C605" s="1006"/>
      <c r="D605" s="1006"/>
      <c r="E605" s="1007"/>
      <c r="F605" s="553">
        <f>3.8*X2</f>
        <v>5054</v>
      </c>
      <c r="G605" s="469">
        <f>+F605*$X$1</f>
        <v>5054</v>
      </c>
      <c r="H605" s="549">
        <f>F605+5000</f>
        <v>10054</v>
      </c>
      <c r="I605" s="468">
        <f t="shared" ref="I605:I606" si="1965">+H605*$X$1</f>
        <v>10054</v>
      </c>
      <c r="J605" s="549">
        <f>F605+1200</f>
        <v>6254</v>
      </c>
      <c r="K605" s="468">
        <f t="shared" ref="K605:K606" si="1966">+J605*$X$1</f>
        <v>6254</v>
      </c>
      <c r="L605" s="549">
        <f t="shared" si="1952"/>
        <v>5854</v>
      </c>
      <c r="M605" s="468">
        <f t="shared" ref="M605:M607" si="1967">+L605*$X$1</f>
        <v>5854</v>
      </c>
      <c r="N605" s="549">
        <f t="shared" si="1943"/>
        <v>5754</v>
      </c>
      <c r="O605" s="468">
        <f t="shared" ref="O605:O607" si="1968">+N605*$X$1</f>
        <v>5754</v>
      </c>
      <c r="P605" s="549">
        <f t="shared" si="1945"/>
        <v>5654</v>
      </c>
      <c r="Q605" s="468">
        <f t="shared" ref="Q605:Q607" si="1969">+P605*$X$1</f>
        <v>5654</v>
      </c>
      <c r="R605" s="549">
        <f t="shared" si="1915"/>
        <v>5554</v>
      </c>
      <c r="S605" s="468">
        <f t="shared" ref="S605:S607" si="1970">+R605*$X$1</f>
        <v>5554</v>
      </c>
      <c r="T605" s="549">
        <f t="shared" si="1917"/>
        <v>5504</v>
      </c>
      <c r="U605" s="468">
        <f t="shared" ref="U605:U607" si="1971">+T605*$X$1</f>
        <v>5504</v>
      </c>
      <c r="V605" s="549">
        <f t="shared" si="1919"/>
        <v>5414</v>
      </c>
      <c r="W605" s="468">
        <f t="shared" ref="W605:W607" si="1972">+V605*$X$1</f>
        <v>5414</v>
      </c>
      <c r="X605" s="127"/>
      <c r="Y605" s="122"/>
      <c r="Z605" s="128"/>
      <c r="AA605" s="129"/>
      <c r="AB605" s="178">
        <v>593</v>
      </c>
    </row>
    <row r="606" spans="1:28" ht="12" customHeight="1" x14ac:dyDescent="0.2">
      <c r="A606" s="4"/>
      <c r="B606" s="681" t="s">
        <v>919</v>
      </c>
      <c r="C606" s="682"/>
      <c r="D606" s="682"/>
      <c r="E606" s="683"/>
      <c r="F606" s="257">
        <f>15.98*X2</f>
        <v>21253.4</v>
      </c>
      <c r="G606" s="257">
        <f>+F606*$X$1</f>
        <v>21253.4</v>
      </c>
      <c r="H606" s="93">
        <f t="shared" ref="H606" si="1973">F606+5000</f>
        <v>26253.4</v>
      </c>
      <c r="I606" s="273">
        <f t="shared" si="1965"/>
        <v>26253.4</v>
      </c>
      <c r="J606" s="93">
        <f>F606+1200</f>
        <v>22453.4</v>
      </c>
      <c r="K606" s="273">
        <f t="shared" si="1966"/>
        <v>22453.4</v>
      </c>
      <c r="L606" s="93">
        <f t="shared" si="1952"/>
        <v>22053.4</v>
      </c>
      <c r="M606" s="273">
        <f t="shared" si="1967"/>
        <v>22053.4</v>
      </c>
      <c r="N606" s="93">
        <f t="shared" si="1943"/>
        <v>21953.4</v>
      </c>
      <c r="O606" s="273">
        <f t="shared" si="1968"/>
        <v>21953.4</v>
      </c>
      <c r="P606" s="93">
        <f t="shared" si="1945"/>
        <v>21853.4</v>
      </c>
      <c r="Q606" s="273">
        <f t="shared" si="1969"/>
        <v>21853.4</v>
      </c>
      <c r="R606" s="93">
        <f t="shared" si="1915"/>
        <v>21753.4</v>
      </c>
      <c r="S606" s="273">
        <f t="shared" si="1970"/>
        <v>21753.4</v>
      </c>
      <c r="T606" s="93">
        <f t="shared" si="1917"/>
        <v>21703.4</v>
      </c>
      <c r="U606" s="273">
        <f t="shared" si="1971"/>
        <v>21703.4</v>
      </c>
      <c r="V606" s="93">
        <f t="shared" si="1919"/>
        <v>21613.4</v>
      </c>
      <c r="W606" s="273">
        <f t="shared" si="1972"/>
        <v>21613.4</v>
      </c>
      <c r="X606" s="127"/>
      <c r="Y606" s="122"/>
      <c r="Z606" s="128"/>
      <c r="AA606" s="129"/>
      <c r="AB606" s="353">
        <v>598</v>
      </c>
    </row>
    <row r="607" spans="1:28" ht="12" customHeight="1" x14ac:dyDescent="0.2">
      <c r="A607" s="4"/>
      <c r="B607" s="735" t="s">
        <v>686</v>
      </c>
      <c r="C607" s="750"/>
      <c r="D607" s="750"/>
      <c r="E607" s="751"/>
      <c r="F607" s="285">
        <v>26100</v>
      </c>
      <c r="G607" s="258">
        <f>+F607*$X$1</f>
        <v>26100</v>
      </c>
      <c r="H607" s="92"/>
      <c r="I607" s="283"/>
      <c r="J607" s="92">
        <f>F607+1200</f>
        <v>27300</v>
      </c>
      <c r="K607" s="283">
        <f t="shared" ref="K607" si="1974">+J607*$X$1</f>
        <v>27300</v>
      </c>
      <c r="L607" s="92">
        <f t="shared" si="1952"/>
        <v>26900</v>
      </c>
      <c r="M607" s="283">
        <f t="shared" si="1967"/>
        <v>26900</v>
      </c>
      <c r="N607" s="92">
        <f t="shared" si="1943"/>
        <v>26800</v>
      </c>
      <c r="O607" s="283">
        <f t="shared" si="1968"/>
        <v>26800</v>
      </c>
      <c r="P607" s="92">
        <f t="shared" si="1945"/>
        <v>26700</v>
      </c>
      <c r="Q607" s="283">
        <f t="shared" si="1969"/>
        <v>26700</v>
      </c>
      <c r="R607" s="92">
        <f t="shared" si="1915"/>
        <v>26600</v>
      </c>
      <c r="S607" s="283">
        <f t="shared" si="1970"/>
        <v>26600</v>
      </c>
      <c r="T607" s="92">
        <f t="shared" si="1917"/>
        <v>26550</v>
      </c>
      <c r="U607" s="283">
        <f t="shared" si="1971"/>
        <v>26550</v>
      </c>
      <c r="V607" s="92">
        <f t="shared" si="1919"/>
        <v>26460</v>
      </c>
      <c r="W607" s="283">
        <f t="shared" si="1972"/>
        <v>26460</v>
      </c>
      <c r="X607" s="127"/>
      <c r="Y607" s="122"/>
      <c r="Z607" s="128"/>
      <c r="AA607" s="129"/>
      <c r="AB607" s="353">
        <v>599</v>
      </c>
    </row>
    <row r="608" spans="1:28" ht="12" customHeight="1" x14ac:dyDescent="0.2">
      <c r="A608" s="4"/>
      <c r="B608" s="1005" t="s">
        <v>673</v>
      </c>
      <c r="C608" s="1006"/>
      <c r="D608" s="1006"/>
      <c r="E608" s="1007"/>
      <c r="F608" s="469">
        <f>17*X2</f>
        <v>22610</v>
      </c>
      <c r="G608" s="469">
        <f>+F608*$X$1</f>
        <v>22610</v>
      </c>
      <c r="H608" s="549">
        <f>F608+5000</f>
        <v>27610</v>
      </c>
      <c r="I608" s="468">
        <f t="shared" ref="I608:I611" si="1975">+H608*$X$1</f>
        <v>27610</v>
      </c>
      <c r="J608" s="549">
        <f t="shared" ref="J608:J626" si="1976">F608+1200</f>
        <v>23810</v>
      </c>
      <c r="K608" s="468">
        <f t="shared" ref="K608:K611" si="1977">+J608*$X$1</f>
        <v>23810</v>
      </c>
      <c r="L608" s="549">
        <f t="shared" si="1952"/>
        <v>23410</v>
      </c>
      <c r="M608" s="468">
        <f t="shared" ref="M608:M611" si="1978">+L608*$X$1</f>
        <v>23410</v>
      </c>
      <c r="N608" s="549">
        <f t="shared" si="1943"/>
        <v>23310</v>
      </c>
      <c r="O608" s="468">
        <f t="shared" ref="O608:O611" si="1979">+N608*$X$1</f>
        <v>23310</v>
      </c>
      <c r="P608" s="549">
        <f t="shared" si="1945"/>
        <v>23210</v>
      </c>
      <c r="Q608" s="468">
        <f t="shared" ref="Q608:Q611" si="1980">+P608*$X$1</f>
        <v>23210</v>
      </c>
      <c r="R608" s="549">
        <f t="shared" si="1915"/>
        <v>23110</v>
      </c>
      <c r="S608" s="468">
        <f t="shared" ref="S608:S611" si="1981">+R608*$X$1</f>
        <v>23110</v>
      </c>
      <c r="T608" s="549">
        <f t="shared" si="1917"/>
        <v>23060</v>
      </c>
      <c r="U608" s="468">
        <f t="shared" ref="U608:U611" si="1982">+T608*$X$1</f>
        <v>23060</v>
      </c>
      <c r="V608" s="549">
        <f t="shared" si="1919"/>
        <v>22970</v>
      </c>
      <c r="W608" s="468">
        <f t="shared" ref="W608:W611" si="1983">+V608*$X$1</f>
        <v>22970</v>
      </c>
      <c r="X608" s="127"/>
      <c r="Y608" s="122"/>
      <c r="Z608" s="128"/>
      <c r="AA608" s="129"/>
      <c r="AB608" s="353">
        <v>600</v>
      </c>
    </row>
    <row r="609" spans="1:28" ht="12" customHeight="1" x14ac:dyDescent="0.2">
      <c r="A609" s="4"/>
      <c r="B609" s="735" t="s">
        <v>811</v>
      </c>
      <c r="C609" s="750"/>
      <c r="D609" s="750"/>
      <c r="E609" s="751"/>
      <c r="F609" s="285">
        <f>62*X2</f>
        <v>82460</v>
      </c>
      <c r="G609" s="258">
        <f t="shared" ref="G609" si="1984">+F609*$X$1</f>
        <v>82460</v>
      </c>
      <c r="H609" s="92">
        <f>F609+5000</f>
        <v>87460</v>
      </c>
      <c r="I609" s="283">
        <f t="shared" si="1975"/>
        <v>87460</v>
      </c>
      <c r="J609" s="92">
        <f t="shared" si="1976"/>
        <v>83660</v>
      </c>
      <c r="K609" s="283">
        <f t="shared" si="1977"/>
        <v>83660</v>
      </c>
      <c r="L609" s="92">
        <f t="shared" si="1952"/>
        <v>83260</v>
      </c>
      <c r="M609" s="283">
        <f t="shared" si="1978"/>
        <v>83260</v>
      </c>
      <c r="N609" s="92">
        <f t="shared" si="1943"/>
        <v>83160</v>
      </c>
      <c r="O609" s="283">
        <f t="shared" si="1979"/>
        <v>83160</v>
      </c>
      <c r="P609" s="92">
        <f t="shared" si="1945"/>
        <v>83060</v>
      </c>
      <c r="Q609" s="283">
        <f t="shared" si="1980"/>
        <v>83060</v>
      </c>
      <c r="R609" s="92">
        <f t="shared" si="1915"/>
        <v>82960</v>
      </c>
      <c r="S609" s="283">
        <f t="shared" si="1981"/>
        <v>82960</v>
      </c>
      <c r="T609" s="92">
        <f t="shared" si="1917"/>
        <v>82910</v>
      </c>
      <c r="U609" s="283">
        <f t="shared" si="1982"/>
        <v>82910</v>
      </c>
      <c r="V609" s="92">
        <f t="shared" si="1919"/>
        <v>82820</v>
      </c>
      <c r="W609" s="283">
        <f t="shared" si="1983"/>
        <v>82820</v>
      </c>
      <c r="X609" s="127"/>
      <c r="Y609" s="122"/>
      <c r="Z609" s="128"/>
      <c r="AA609" s="129"/>
      <c r="AB609" s="353">
        <v>605</v>
      </c>
    </row>
    <row r="610" spans="1:28" ht="12" customHeight="1" x14ac:dyDescent="0.2">
      <c r="A610" s="4"/>
      <c r="B610" s="883" t="s">
        <v>801</v>
      </c>
      <c r="C610" s="884"/>
      <c r="D610" s="884"/>
      <c r="E610" s="885"/>
      <c r="F610" s="286">
        <f>48.7*X2</f>
        <v>64771.000000000007</v>
      </c>
      <c r="G610" s="257">
        <f>+F610*$X$1</f>
        <v>64771.000000000007</v>
      </c>
      <c r="H610" s="93">
        <f>F610+5000</f>
        <v>69771</v>
      </c>
      <c r="I610" s="273">
        <f t="shared" si="1975"/>
        <v>69771</v>
      </c>
      <c r="J610" s="93">
        <f t="shared" si="1976"/>
        <v>65971</v>
      </c>
      <c r="K610" s="273">
        <f t="shared" si="1977"/>
        <v>65971</v>
      </c>
      <c r="L610" s="93">
        <f t="shared" si="1952"/>
        <v>65571</v>
      </c>
      <c r="M610" s="273">
        <f t="shared" si="1978"/>
        <v>65571</v>
      </c>
      <c r="N610" s="93">
        <f t="shared" si="1943"/>
        <v>65471.000000000007</v>
      </c>
      <c r="O610" s="273">
        <f t="shared" si="1979"/>
        <v>65471.000000000007</v>
      </c>
      <c r="P610" s="93">
        <f t="shared" si="1945"/>
        <v>65371.000000000007</v>
      </c>
      <c r="Q610" s="273">
        <f t="shared" si="1980"/>
        <v>65371.000000000007</v>
      </c>
      <c r="R610" s="93">
        <f t="shared" si="1915"/>
        <v>65271.000000000007</v>
      </c>
      <c r="S610" s="273">
        <f t="shared" si="1981"/>
        <v>65271.000000000007</v>
      </c>
      <c r="T610" s="93">
        <f t="shared" si="1917"/>
        <v>65221.000000000007</v>
      </c>
      <c r="U610" s="273">
        <f t="shared" si="1982"/>
        <v>65221.000000000007</v>
      </c>
      <c r="V610" s="93">
        <f t="shared" si="1919"/>
        <v>65131.000000000007</v>
      </c>
      <c r="W610" s="273">
        <f t="shared" si="1983"/>
        <v>65131.000000000007</v>
      </c>
      <c r="X610" s="127"/>
      <c r="Y610" s="122"/>
      <c r="Z610" s="128"/>
      <c r="AA610" s="129"/>
      <c r="AB610" s="353">
        <v>608</v>
      </c>
    </row>
    <row r="611" spans="1:28" ht="12" customHeight="1" x14ac:dyDescent="0.2">
      <c r="A611" s="4"/>
      <c r="B611" s="735" t="s">
        <v>678</v>
      </c>
      <c r="C611" s="750"/>
      <c r="D611" s="750"/>
      <c r="E611" s="751"/>
      <c r="F611" s="285">
        <f>34*X2</f>
        <v>45220</v>
      </c>
      <c r="G611" s="258">
        <f t="shared" ref="G611:G612" si="1985">+F611*$X$1</f>
        <v>45220</v>
      </c>
      <c r="H611" s="92">
        <f>F611+5000</f>
        <v>50220</v>
      </c>
      <c r="I611" s="283">
        <f t="shared" si="1975"/>
        <v>50220</v>
      </c>
      <c r="J611" s="92">
        <f t="shared" si="1976"/>
        <v>46420</v>
      </c>
      <c r="K611" s="283">
        <f t="shared" si="1977"/>
        <v>46420</v>
      </c>
      <c r="L611" s="92">
        <f t="shared" si="1952"/>
        <v>46020</v>
      </c>
      <c r="M611" s="283">
        <f t="shared" si="1978"/>
        <v>46020</v>
      </c>
      <c r="N611" s="92">
        <f t="shared" si="1943"/>
        <v>45920</v>
      </c>
      <c r="O611" s="283">
        <f t="shared" si="1979"/>
        <v>45920</v>
      </c>
      <c r="P611" s="92">
        <f t="shared" si="1945"/>
        <v>45820</v>
      </c>
      <c r="Q611" s="283">
        <f t="shared" si="1980"/>
        <v>45820</v>
      </c>
      <c r="R611" s="92">
        <f t="shared" si="1915"/>
        <v>45720</v>
      </c>
      <c r="S611" s="283">
        <f t="shared" si="1981"/>
        <v>45720</v>
      </c>
      <c r="T611" s="92">
        <f t="shared" si="1917"/>
        <v>45670</v>
      </c>
      <c r="U611" s="283">
        <f t="shared" si="1982"/>
        <v>45670</v>
      </c>
      <c r="V611" s="92">
        <f t="shared" si="1919"/>
        <v>45580</v>
      </c>
      <c r="W611" s="283">
        <f t="shared" si="1983"/>
        <v>45580</v>
      </c>
      <c r="X611" s="127"/>
      <c r="Y611" s="122"/>
      <c r="Z611" s="128"/>
      <c r="AA611" s="129"/>
      <c r="AB611" s="353">
        <v>609</v>
      </c>
    </row>
    <row r="612" spans="1:28" ht="12" customHeight="1" x14ac:dyDescent="0.2">
      <c r="A612" s="4"/>
      <c r="B612" s="883" t="s">
        <v>679</v>
      </c>
      <c r="C612" s="884"/>
      <c r="D612" s="884"/>
      <c r="E612" s="885"/>
      <c r="F612" s="286">
        <f>40.2*X2</f>
        <v>53466.000000000007</v>
      </c>
      <c r="G612" s="257">
        <f t="shared" si="1985"/>
        <v>53466.000000000007</v>
      </c>
      <c r="H612" s="93">
        <f t="shared" ref="H612:H637" si="1986">F612+5000</f>
        <v>58466.000000000007</v>
      </c>
      <c r="I612" s="273">
        <f t="shared" ref="I612:I637" si="1987">+H612*$X$1</f>
        <v>58466.000000000007</v>
      </c>
      <c r="J612" s="93">
        <f t="shared" si="1976"/>
        <v>54666.000000000007</v>
      </c>
      <c r="K612" s="273">
        <f t="shared" ref="K612:K637" si="1988">+J612*$X$1</f>
        <v>54666.000000000007</v>
      </c>
      <c r="L612" s="93">
        <f t="shared" ref="L612:L637" si="1989">F612+800</f>
        <v>54266.000000000007</v>
      </c>
      <c r="M612" s="273">
        <f t="shared" ref="M612:M637" si="1990">+L612*$X$1</f>
        <v>54266.000000000007</v>
      </c>
      <c r="N612" s="93">
        <f t="shared" ref="N612:N637" si="1991">F612+700</f>
        <v>54166.000000000007</v>
      </c>
      <c r="O612" s="273">
        <f t="shared" ref="O612:O637" si="1992">+N612*$X$1</f>
        <v>54166.000000000007</v>
      </c>
      <c r="P612" s="93">
        <f t="shared" ref="P612:P637" si="1993">F612+600</f>
        <v>54066.000000000007</v>
      </c>
      <c r="Q612" s="273">
        <f t="shared" ref="Q612:Q637" si="1994">+P612*$X$1</f>
        <v>54066.000000000007</v>
      </c>
      <c r="R612" s="93">
        <f t="shared" ref="R612:R637" si="1995">F612+500</f>
        <v>53966.000000000007</v>
      </c>
      <c r="S612" s="273">
        <f t="shared" ref="S612:S637" si="1996">+R612*$X$1</f>
        <v>53966.000000000007</v>
      </c>
      <c r="T612" s="93">
        <f t="shared" ref="T612:T637" si="1997">F612+450</f>
        <v>53916.000000000007</v>
      </c>
      <c r="U612" s="273">
        <f t="shared" ref="U612:U637" si="1998">+T612*$X$1</f>
        <v>53916.000000000007</v>
      </c>
      <c r="V612" s="93">
        <f t="shared" ref="V612:V637" si="1999">F612+360</f>
        <v>53826.000000000007</v>
      </c>
      <c r="W612" s="273">
        <f t="shared" ref="W612:W637" si="2000">+V612*$X$1</f>
        <v>53826.000000000007</v>
      </c>
      <c r="X612" s="127"/>
      <c r="Y612" s="122"/>
      <c r="Z612" s="128"/>
      <c r="AA612" s="129"/>
      <c r="AB612" s="353">
        <v>611</v>
      </c>
    </row>
    <row r="613" spans="1:28" ht="12" customHeight="1" x14ac:dyDescent="0.2">
      <c r="A613" s="4"/>
      <c r="B613" s="735" t="s">
        <v>571</v>
      </c>
      <c r="C613" s="750"/>
      <c r="D613" s="750"/>
      <c r="E613" s="751"/>
      <c r="F613" s="285">
        <f>5.62*X2</f>
        <v>7474.6</v>
      </c>
      <c r="G613" s="258">
        <f t="shared" ref="G613" si="2001">+F613*$X$1</f>
        <v>7474.6</v>
      </c>
      <c r="H613" s="92">
        <f t="shared" si="1986"/>
        <v>12474.6</v>
      </c>
      <c r="I613" s="283">
        <f t="shared" si="1987"/>
        <v>12474.6</v>
      </c>
      <c r="J613" s="92">
        <f t="shared" si="1976"/>
        <v>8674.6</v>
      </c>
      <c r="K613" s="283">
        <f t="shared" si="1988"/>
        <v>8674.6</v>
      </c>
      <c r="L613" s="92">
        <f t="shared" si="1989"/>
        <v>8274.6</v>
      </c>
      <c r="M613" s="283">
        <f t="shared" si="1990"/>
        <v>8274.6</v>
      </c>
      <c r="N613" s="92">
        <f t="shared" si="1991"/>
        <v>8174.6</v>
      </c>
      <c r="O613" s="283">
        <f t="shared" si="1992"/>
        <v>8174.6</v>
      </c>
      <c r="P613" s="92">
        <f t="shared" si="1993"/>
        <v>8074.6</v>
      </c>
      <c r="Q613" s="283">
        <f t="shared" si="1994"/>
        <v>8074.6</v>
      </c>
      <c r="R613" s="92">
        <f t="shared" si="1995"/>
        <v>7974.6</v>
      </c>
      <c r="S613" s="283">
        <f t="shared" si="1996"/>
        <v>7974.6</v>
      </c>
      <c r="T613" s="92">
        <f t="shared" si="1997"/>
        <v>7924.6</v>
      </c>
      <c r="U613" s="283">
        <f t="shared" si="1998"/>
        <v>7924.6</v>
      </c>
      <c r="V613" s="92">
        <f t="shared" si="1999"/>
        <v>7834.6</v>
      </c>
      <c r="W613" s="283">
        <f t="shared" si="2000"/>
        <v>7834.6</v>
      </c>
      <c r="X613" s="127"/>
      <c r="Y613" s="122"/>
      <c r="Z613" s="128"/>
      <c r="AA613" s="129"/>
      <c r="AB613" s="178">
        <v>642</v>
      </c>
    </row>
    <row r="614" spans="1:28" ht="12" customHeight="1" x14ac:dyDescent="0.2">
      <c r="A614" s="4"/>
      <c r="B614" s="883" t="s">
        <v>572</v>
      </c>
      <c r="C614" s="884"/>
      <c r="D614" s="884"/>
      <c r="E614" s="885"/>
      <c r="F614" s="286">
        <f>22.9*X2</f>
        <v>30456.999999999996</v>
      </c>
      <c r="G614" s="257">
        <f t="shared" ref="G614" si="2002">+F614*$X$1</f>
        <v>30456.999999999996</v>
      </c>
      <c r="H614" s="93">
        <f t="shared" si="1986"/>
        <v>35457</v>
      </c>
      <c r="I614" s="273">
        <f t="shared" si="1987"/>
        <v>35457</v>
      </c>
      <c r="J614" s="93">
        <f t="shared" si="1976"/>
        <v>31656.999999999996</v>
      </c>
      <c r="K614" s="273">
        <f t="shared" si="1988"/>
        <v>31656.999999999996</v>
      </c>
      <c r="L614" s="93">
        <f t="shared" si="1989"/>
        <v>31256.999999999996</v>
      </c>
      <c r="M614" s="273">
        <f t="shared" si="1990"/>
        <v>31256.999999999996</v>
      </c>
      <c r="N614" s="93">
        <f t="shared" si="1991"/>
        <v>31156.999999999996</v>
      </c>
      <c r="O614" s="273">
        <f t="shared" si="1992"/>
        <v>31156.999999999996</v>
      </c>
      <c r="P614" s="93">
        <f t="shared" si="1993"/>
        <v>31056.999999999996</v>
      </c>
      <c r="Q614" s="273">
        <f t="shared" si="1994"/>
        <v>31056.999999999996</v>
      </c>
      <c r="R614" s="93">
        <f t="shared" si="1995"/>
        <v>30956.999999999996</v>
      </c>
      <c r="S614" s="273">
        <f t="shared" si="1996"/>
        <v>30956.999999999996</v>
      </c>
      <c r="T614" s="93">
        <f t="shared" si="1997"/>
        <v>30906.999999999996</v>
      </c>
      <c r="U614" s="273">
        <f t="shared" si="1998"/>
        <v>30906.999999999996</v>
      </c>
      <c r="V614" s="93">
        <f t="shared" si="1999"/>
        <v>30816.999999999996</v>
      </c>
      <c r="W614" s="273">
        <f t="shared" si="2000"/>
        <v>30816.999999999996</v>
      </c>
      <c r="X614" s="127"/>
      <c r="Y614" s="122"/>
      <c r="Z614" s="128"/>
      <c r="AA614" s="129"/>
      <c r="AB614" s="178">
        <v>643</v>
      </c>
    </row>
    <row r="615" spans="1:28" ht="12" customHeight="1" x14ac:dyDescent="0.2">
      <c r="A615" s="4"/>
      <c r="B615" s="735" t="s">
        <v>680</v>
      </c>
      <c r="C615" s="750"/>
      <c r="D615" s="750"/>
      <c r="E615" s="751"/>
      <c r="F615" s="258">
        <f>42.34*X2</f>
        <v>56312.200000000004</v>
      </c>
      <c r="G615" s="258">
        <f>+F615*$X$1</f>
        <v>56312.200000000004</v>
      </c>
      <c r="H615" s="92">
        <f t="shared" si="1986"/>
        <v>61312.200000000004</v>
      </c>
      <c r="I615" s="283">
        <f t="shared" si="1987"/>
        <v>61312.200000000004</v>
      </c>
      <c r="J615" s="92">
        <f t="shared" si="1976"/>
        <v>57512.200000000004</v>
      </c>
      <c r="K615" s="283">
        <f t="shared" si="1988"/>
        <v>57512.200000000004</v>
      </c>
      <c r="L615" s="92">
        <f t="shared" si="1989"/>
        <v>57112.200000000004</v>
      </c>
      <c r="M615" s="283">
        <f t="shared" si="1990"/>
        <v>57112.200000000004</v>
      </c>
      <c r="N615" s="92">
        <f t="shared" si="1991"/>
        <v>57012.200000000004</v>
      </c>
      <c r="O615" s="283">
        <f t="shared" si="1992"/>
        <v>57012.200000000004</v>
      </c>
      <c r="P615" s="92">
        <f t="shared" si="1993"/>
        <v>56912.200000000004</v>
      </c>
      <c r="Q615" s="283">
        <f t="shared" si="1994"/>
        <v>56912.200000000004</v>
      </c>
      <c r="R615" s="92">
        <f t="shared" si="1995"/>
        <v>56812.200000000004</v>
      </c>
      <c r="S615" s="283">
        <f t="shared" si="1996"/>
        <v>56812.200000000004</v>
      </c>
      <c r="T615" s="92">
        <f t="shared" si="1997"/>
        <v>56762.200000000004</v>
      </c>
      <c r="U615" s="283">
        <f t="shared" si="1998"/>
        <v>56762.200000000004</v>
      </c>
      <c r="V615" s="92">
        <f t="shared" si="1999"/>
        <v>56672.200000000004</v>
      </c>
      <c r="W615" s="283">
        <f t="shared" si="2000"/>
        <v>56672.200000000004</v>
      </c>
      <c r="X615" s="127"/>
      <c r="Y615" s="122"/>
      <c r="Z615" s="128"/>
      <c r="AA615" s="129"/>
      <c r="AB615" s="353">
        <v>657</v>
      </c>
    </row>
    <row r="616" spans="1:28" ht="12" customHeight="1" x14ac:dyDescent="0.2">
      <c r="A616" s="4"/>
      <c r="B616" s="883" t="s">
        <v>681</v>
      </c>
      <c r="C616" s="884"/>
      <c r="D616" s="884"/>
      <c r="E616" s="885"/>
      <c r="F616" s="257">
        <f>36.05*X2</f>
        <v>47946.499999999993</v>
      </c>
      <c r="G616" s="257">
        <f t="shared" ref="G616:G618" si="2003">+F616*$X$1</f>
        <v>47946.499999999993</v>
      </c>
      <c r="H616" s="93">
        <f t="shared" si="1986"/>
        <v>52946.499999999993</v>
      </c>
      <c r="I616" s="273">
        <f t="shared" si="1987"/>
        <v>52946.499999999993</v>
      </c>
      <c r="J616" s="93">
        <f t="shared" si="1976"/>
        <v>49146.499999999993</v>
      </c>
      <c r="K616" s="273">
        <f t="shared" si="1988"/>
        <v>49146.499999999993</v>
      </c>
      <c r="L616" s="93">
        <f t="shared" si="1989"/>
        <v>48746.499999999993</v>
      </c>
      <c r="M616" s="273">
        <f t="shared" si="1990"/>
        <v>48746.499999999993</v>
      </c>
      <c r="N616" s="93">
        <f t="shared" si="1991"/>
        <v>48646.499999999993</v>
      </c>
      <c r="O616" s="273">
        <f t="shared" si="1992"/>
        <v>48646.499999999993</v>
      </c>
      <c r="P616" s="93">
        <f t="shared" si="1993"/>
        <v>48546.499999999993</v>
      </c>
      <c r="Q616" s="273">
        <f t="shared" si="1994"/>
        <v>48546.499999999993</v>
      </c>
      <c r="R616" s="93">
        <f t="shared" si="1995"/>
        <v>48446.499999999993</v>
      </c>
      <c r="S616" s="273">
        <f t="shared" si="1996"/>
        <v>48446.499999999993</v>
      </c>
      <c r="T616" s="93">
        <f t="shared" si="1997"/>
        <v>48396.499999999993</v>
      </c>
      <c r="U616" s="273">
        <f t="shared" si="1998"/>
        <v>48396.499999999993</v>
      </c>
      <c r="V616" s="93">
        <f t="shared" si="1999"/>
        <v>48306.499999999993</v>
      </c>
      <c r="W616" s="273">
        <f t="shared" si="2000"/>
        <v>48306.499999999993</v>
      </c>
      <c r="X616" s="127"/>
      <c r="Y616" s="122"/>
      <c r="Z616" s="128"/>
      <c r="AA616" s="129"/>
      <c r="AB616" s="353">
        <v>658</v>
      </c>
    </row>
    <row r="617" spans="1:28" ht="12" customHeight="1" x14ac:dyDescent="0.2">
      <c r="A617" s="4"/>
      <c r="B617" s="735" t="s">
        <v>682</v>
      </c>
      <c r="C617" s="750"/>
      <c r="D617" s="750"/>
      <c r="E617" s="751"/>
      <c r="F617" s="258">
        <f>28.5*X2</f>
        <v>37905</v>
      </c>
      <c r="G617" s="258">
        <f t="shared" si="2003"/>
        <v>37905</v>
      </c>
      <c r="H617" s="92">
        <f t="shared" si="1986"/>
        <v>42905</v>
      </c>
      <c r="I617" s="283">
        <f t="shared" si="1987"/>
        <v>42905</v>
      </c>
      <c r="J617" s="92">
        <f t="shared" si="1976"/>
        <v>39105</v>
      </c>
      <c r="K617" s="283">
        <f t="shared" si="1988"/>
        <v>39105</v>
      </c>
      <c r="L617" s="92">
        <f t="shared" si="1989"/>
        <v>38705</v>
      </c>
      <c r="M617" s="283">
        <f t="shared" si="1990"/>
        <v>38705</v>
      </c>
      <c r="N617" s="92">
        <f t="shared" si="1991"/>
        <v>38605</v>
      </c>
      <c r="O617" s="283">
        <f t="shared" si="1992"/>
        <v>38605</v>
      </c>
      <c r="P617" s="92">
        <f t="shared" si="1993"/>
        <v>38505</v>
      </c>
      <c r="Q617" s="283">
        <f t="shared" si="1994"/>
        <v>38505</v>
      </c>
      <c r="R617" s="92">
        <f t="shared" si="1995"/>
        <v>38405</v>
      </c>
      <c r="S617" s="283">
        <f t="shared" si="1996"/>
        <v>38405</v>
      </c>
      <c r="T617" s="92">
        <f t="shared" si="1997"/>
        <v>38355</v>
      </c>
      <c r="U617" s="283">
        <f t="shared" si="1998"/>
        <v>38355</v>
      </c>
      <c r="V617" s="92">
        <f t="shared" si="1999"/>
        <v>38265</v>
      </c>
      <c r="W617" s="283">
        <f t="shared" si="2000"/>
        <v>38265</v>
      </c>
      <c r="X617" s="127"/>
      <c r="Y617" s="122"/>
      <c r="Z617" s="128"/>
      <c r="AA617" s="129"/>
      <c r="AB617" s="353">
        <v>659</v>
      </c>
    </row>
    <row r="618" spans="1:28" ht="12" customHeight="1" x14ac:dyDescent="0.2">
      <c r="A618" s="4"/>
      <c r="B618" s="883" t="s">
        <v>683</v>
      </c>
      <c r="C618" s="884"/>
      <c r="D618" s="884"/>
      <c r="E618" s="885"/>
      <c r="F618" s="257">
        <f>12.6*X2</f>
        <v>16758</v>
      </c>
      <c r="G618" s="257">
        <f t="shared" si="2003"/>
        <v>16758</v>
      </c>
      <c r="H618" s="93">
        <f t="shared" si="1986"/>
        <v>21758</v>
      </c>
      <c r="I618" s="273">
        <f t="shared" si="1987"/>
        <v>21758</v>
      </c>
      <c r="J618" s="93">
        <f t="shared" si="1976"/>
        <v>17958</v>
      </c>
      <c r="K618" s="273">
        <f t="shared" si="1988"/>
        <v>17958</v>
      </c>
      <c r="L618" s="93">
        <f t="shared" si="1989"/>
        <v>17558</v>
      </c>
      <c r="M618" s="273">
        <f t="shared" si="1990"/>
        <v>17558</v>
      </c>
      <c r="N618" s="93">
        <f t="shared" si="1991"/>
        <v>17458</v>
      </c>
      <c r="O618" s="273">
        <f t="shared" si="1992"/>
        <v>17458</v>
      </c>
      <c r="P618" s="93">
        <f t="shared" si="1993"/>
        <v>17358</v>
      </c>
      <c r="Q618" s="273">
        <f t="shared" si="1994"/>
        <v>17358</v>
      </c>
      <c r="R618" s="93">
        <f t="shared" si="1995"/>
        <v>17258</v>
      </c>
      <c r="S618" s="273">
        <f t="shared" si="1996"/>
        <v>17258</v>
      </c>
      <c r="T618" s="93">
        <f t="shared" si="1997"/>
        <v>17208</v>
      </c>
      <c r="U618" s="273">
        <f t="shared" si="1998"/>
        <v>17208</v>
      </c>
      <c r="V618" s="93">
        <f t="shared" si="1999"/>
        <v>17118</v>
      </c>
      <c r="W618" s="273">
        <f t="shared" si="2000"/>
        <v>17118</v>
      </c>
      <c r="X618" s="127"/>
      <c r="Y618" s="122"/>
      <c r="Z618" s="128"/>
      <c r="AA618" s="129"/>
      <c r="AB618" s="353">
        <v>660</v>
      </c>
    </row>
    <row r="619" spans="1:28" ht="12" customHeight="1" x14ac:dyDescent="0.2">
      <c r="A619" s="4"/>
      <c r="B619" s="735" t="s">
        <v>705</v>
      </c>
      <c r="C619" s="750"/>
      <c r="D619" s="750"/>
      <c r="E619" s="751"/>
      <c r="F619" s="258">
        <f>19.42*X2</f>
        <v>25828.600000000002</v>
      </c>
      <c r="G619" s="258">
        <f t="shared" ref="G619:G624" si="2004">+F619*$X$1</f>
        <v>25828.600000000002</v>
      </c>
      <c r="H619" s="92">
        <f t="shared" si="1986"/>
        <v>30828.600000000002</v>
      </c>
      <c r="I619" s="283">
        <f t="shared" si="1987"/>
        <v>30828.600000000002</v>
      </c>
      <c r="J619" s="92">
        <f t="shared" si="1976"/>
        <v>27028.600000000002</v>
      </c>
      <c r="K619" s="283">
        <f t="shared" si="1988"/>
        <v>27028.600000000002</v>
      </c>
      <c r="L619" s="92">
        <f t="shared" si="1989"/>
        <v>26628.600000000002</v>
      </c>
      <c r="M619" s="283">
        <f t="shared" si="1990"/>
        <v>26628.600000000002</v>
      </c>
      <c r="N619" s="92">
        <f t="shared" si="1991"/>
        <v>26528.600000000002</v>
      </c>
      <c r="O619" s="283">
        <f t="shared" si="1992"/>
        <v>26528.600000000002</v>
      </c>
      <c r="P619" s="92">
        <f t="shared" si="1993"/>
        <v>26428.600000000002</v>
      </c>
      <c r="Q619" s="283">
        <f t="shared" si="1994"/>
        <v>26428.600000000002</v>
      </c>
      <c r="R619" s="92">
        <f t="shared" si="1995"/>
        <v>26328.600000000002</v>
      </c>
      <c r="S619" s="283">
        <f t="shared" si="1996"/>
        <v>26328.600000000002</v>
      </c>
      <c r="T619" s="92">
        <f t="shared" si="1997"/>
        <v>26278.600000000002</v>
      </c>
      <c r="U619" s="283">
        <f t="shared" si="1998"/>
        <v>26278.600000000002</v>
      </c>
      <c r="V619" s="92">
        <f t="shared" si="1999"/>
        <v>26188.600000000002</v>
      </c>
      <c r="W619" s="283">
        <f t="shared" si="2000"/>
        <v>26188.600000000002</v>
      </c>
      <c r="X619" s="127"/>
      <c r="Y619" s="122"/>
      <c r="Z619" s="128"/>
      <c r="AA619" s="129"/>
      <c r="AB619" s="353">
        <v>667</v>
      </c>
    </row>
    <row r="620" spans="1:28" ht="12" customHeight="1" x14ac:dyDescent="0.2">
      <c r="A620" s="4"/>
      <c r="B620" s="883" t="s">
        <v>704</v>
      </c>
      <c r="C620" s="884"/>
      <c r="D620" s="884"/>
      <c r="E620" s="885"/>
      <c r="F620" s="257">
        <f>11.7*X2</f>
        <v>15560.999999999998</v>
      </c>
      <c r="G620" s="257">
        <f t="shared" ref="G620:G621" si="2005">+F620*$X$1</f>
        <v>15560.999999999998</v>
      </c>
      <c r="H620" s="93">
        <f t="shared" si="1986"/>
        <v>20561</v>
      </c>
      <c r="I620" s="273">
        <f t="shared" si="1987"/>
        <v>20561</v>
      </c>
      <c r="J620" s="93">
        <f t="shared" si="1976"/>
        <v>16761</v>
      </c>
      <c r="K620" s="273">
        <f t="shared" si="1988"/>
        <v>16761</v>
      </c>
      <c r="L620" s="93">
        <f t="shared" si="1989"/>
        <v>16360.999999999998</v>
      </c>
      <c r="M620" s="273">
        <f t="shared" si="1990"/>
        <v>16360.999999999998</v>
      </c>
      <c r="N620" s="93">
        <f t="shared" si="1991"/>
        <v>16260.999999999998</v>
      </c>
      <c r="O620" s="273">
        <f t="shared" si="1992"/>
        <v>16260.999999999998</v>
      </c>
      <c r="P620" s="93">
        <f t="shared" si="1993"/>
        <v>16160.999999999998</v>
      </c>
      <c r="Q620" s="273">
        <f t="shared" si="1994"/>
        <v>16160.999999999998</v>
      </c>
      <c r="R620" s="93">
        <f t="shared" si="1995"/>
        <v>16060.999999999998</v>
      </c>
      <c r="S620" s="273">
        <f t="shared" si="1996"/>
        <v>16060.999999999998</v>
      </c>
      <c r="T620" s="93">
        <f t="shared" si="1997"/>
        <v>16010.999999999998</v>
      </c>
      <c r="U620" s="273">
        <f t="shared" si="1998"/>
        <v>16010.999999999998</v>
      </c>
      <c r="V620" s="93">
        <f t="shared" si="1999"/>
        <v>15920.999999999998</v>
      </c>
      <c r="W620" s="273">
        <f t="shared" si="2000"/>
        <v>15920.999999999998</v>
      </c>
      <c r="X620" s="127"/>
      <c r="Y620" s="122"/>
      <c r="Z620" s="128"/>
      <c r="AA620" s="129"/>
      <c r="AB620" s="353">
        <v>668</v>
      </c>
    </row>
    <row r="621" spans="1:28" ht="12" customHeight="1" x14ac:dyDescent="0.2">
      <c r="A621" s="4"/>
      <c r="B621" s="735" t="s">
        <v>771</v>
      </c>
      <c r="C621" s="750"/>
      <c r="D621" s="750"/>
      <c r="E621" s="751"/>
      <c r="F621" s="258">
        <f>15.3*X2</f>
        <v>20349</v>
      </c>
      <c r="G621" s="258">
        <f t="shared" si="2005"/>
        <v>20349</v>
      </c>
      <c r="H621" s="92">
        <f t="shared" si="1986"/>
        <v>25349</v>
      </c>
      <c r="I621" s="283">
        <f t="shared" si="1987"/>
        <v>25349</v>
      </c>
      <c r="J621" s="92">
        <f t="shared" si="1976"/>
        <v>21549</v>
      </c>
      <c r="K621" s="283">
        <f t="shared" si="1988"/>
        <v>21549</v>
      </c>
      <c r="L621" s="92">
        <f t="shared" si="1989"/>
        <v>21149</v>
      </c>
      <c r="M621" s="283">
        <f t="shared" si="1990"/>
        <v>21149</v>
      </c>
      <c r="N621" s="92">
        <f t="shared" si="1991"/>
        <v>21049</v>
      </c>
      <c r="O621" s="283">
        <f t="shared" si="1992"/>
        <v>21049</v>
      </c>
      <c r="P621" s="92">
        <f t="shared" si="1993"/>
        <v>20949</v>
      </c>
      <c r="Q621" s="283">
        <f t="shared" si="1994"/>
        <v>20949</v>
      </c>
      <c r="R621" s="92">
        <f t="shared" si="1995"/>
        <v>20849</v>
      </c>
      <c r="S621" s="283">
        <f t="shared" si="1996"/>
        <v>20849</v>
      </c>
      <c r="T621" s="92">
        <f t="shared" si="1997"/>
        <v>20799</v>
      </c>
      <c r="U621" s="283">
        <f t="shared" si="1998"/>
        <v>20799</v>
      </c>
      <c r="V621" s="92">
        <f t="shared" si="1999"/>
        <v>20709</v>
      </c>
      <c r="W621" s="283">
        <f t="shared" si="2000"/>
        <v>20709</v>
      </c>
      <c r="X621" s="127"/>
      <c r="Y621" s="122"/>
      <c r="Z621" s="128"/>
      <c r="AA621" s="129"/>
      <c r="AB621" s="178">
        <v>675</v>
      </c>
    </row>
    <row r="622" spans="1:28" ht="12" customHeight="1" x14ac:dyDescent="0.2">
      <c r="A622" s="4"/>
      <c r="B622" s="883" t="s">
        <v>478</v>
      </c>
      <c r="C622" s="884"/>
      <c r="D622" s="884"/>
      <c r="E622" s="885"/>
      <c r="F622" s="257">
        <f>10.5*X2</f>
        <v>13965</v>
      </c>
      <c r="G622" s="257">
        <f t="shared" si="2004"/>
        <v>13965</v>
      </c>
      <c r="H622" s="93">
        <f t="shared" si="1986"/>
        <v>18965</v>
      </c>
      <c r="I622" s="273">
        <f t="shared" si="1987"/>
        <v>18965</v>
      </c>
      <c r="J622" s="549">
        <f t="shared" si="1976"/>
        <v>15165</v>
      </c>
      <c r="K622" s="273">
        <f t="shared" si="1988"/>
        <v>15165</v>
      </c>
      <c r="L622" s="93">
        <f t="shared" si="1989"/>
        <v>14765</v>
      </c>
      <c r="M622" s="273">
        <f t="shared" si="1990"/>
        <v>14765</v>
      </c>
      <c r="N622" s="93">
        <f t="shared" si="1991"/>
        <v>14665</v>
      </c>
      <c r="O622" s="273">
        <f t="shared" si="1992"/>
        <v>14665</v>
      </c>
      <c r="P622" s="93">
        <f t="shared" si="1993"/>
        <v>14565</v>
      </c>
      <c r="Q622" s="273">
        <f t="shared" si="1994"/>
        <v>14565</v>
      </c>
      <c r="R622" s="93">
        <f t="shared" si="1995"/>
        <v>14465</v>
      </c>
      <c r="S622" s="273">
        <f t="shared" si="1996"/>
        <v>14465</v>
      </c>
      <c r="T622" s="93">
        <f t="shared" si="1997"/>
        <v>14415</v>
      </c>
      <c r="U622" s="273">
        <f t="shared" si="1998"/>
        <v>14415</v>
      </c>
      <c r="V622" s="93">
        <f t="shared" si="1999"/>
        <v>14325</v>
      </c>
      <c r="W622" s="273">
        <f t="shared" si="2000"/>
        <v>14325</v>
      </c>
      <c r="X622" s="127"/>
      <c r="Y622" s="122"/>
      <c r="Z622" s="128"/>
      <c r="AA622" s="129"/>
      <c r="AB622" s="178">
        <v>686</v>
      </c>
    </row>
    <row r="623" spans="1:28" ht="12" customHeight="1" x14ac:dyDescent="0.2">
      <c r="A623" s="4"/>
      <c r="B623" s="735" t="s">
        <v>518</v>
      </c>
      <c r="C623" s="750"/>
      <c r="D623" s="750"/>
      <c r="E623" s="751"/>
      <c r="F623" s="285">
        <f>24.3*X2</f>
        <v>32319</v>
      </c>
      <c r="G623" s="258">
        <f t="shared" si="2004"/>
        <v>32319</v>
      </c>
      <c r="H623" s="92">
        <f t="shared" si="1986"/>
        <v>37319</v>
      </c>
      <c r="I623" s="283">
        <f t="shared" si="1987"/>
        <v>37319</v>
      </c>
      <c r="J623" s="92">
        <f t="shared" si="1976"/>
        <v>33519</v>
      </c>
      <c r="K623" s="283">
        <f t="shared" si="1988"/>
        <v>33519</v>
      </c>
      <c r="L623" s="92">
        <f t="shared" si="1989"/>
        <v>33119</v>
      </c>
      <c r="M623" s="283">
        <f t="shared" si="1990"/>
        <v>33119</v>
      </c>
      <c r="N623" s="92">
        <f t="shared" si="1991"/>
        <v>33019</v>
      </c>
      <c r="O623" s="283">
        <f t="shared" si="1992"/>
        <v>33019</v>
      </c>
      <c r="P623" s="92">
        <f t="shared" si="1993"/>
        <v>32919</v>
      </c>
      <c r="Q623" s="283">
        <f t="shared" si="1994"/>
        <v>32919</v>
      </c>
      <c r="R623" s="92">
        <f t="shared" si="1995"/>
        <v>32819</v>
      </c>
      <c r="S623" s="283">
        <f t="shared" si="1996"/>
        <v>32819</v>
      </c>
      <c r="T623" s="92">
        <f t="shared" si="1997"/>
        <v>32769</v>
      </c>
      <c r="U623" s="283">
        <f t="shared" si="1998"/>
        <v>32769</v>
      </c>
      <c r="V623" s="92">
        <f t="shared" si="1999"/>
        <v>32679</v>
      </c>
      <c r="W623" s="283">
        <f t="shared" si="2000"/>
        <v>32679</v>
      </c>
      <c r="X623" s="127"/>
      <c r="Y623" s="122"/>
      <c r="Z623" s="128"/>
      <c r="AA623" s="129"/>
      <c r="AB623" s="353">
        <v>687</v>
      </c>
    </row>
    <row r="624" spans="1:28" ht="12" customHeight="1" x14ac:dyDescent="0.2">
      <c r="A624" s="4"/>
      <c r="B624" s="883" t="s">
        <v>684</v>
      </c>
      <c r="C624" s="884"/>
      <c r="D624" s="884"/>
      <c r="E624" s="885"/>
      <c r="F624" s="286">
        <f>15.4*X2</f>
        <v>20482</v>
      </c>
      <c r="G624" s="257">
        <f t="shared" si="2004"/>
        <v>20482</v>
      </c>
      <c r="H624" s="93">
        <f t="shared" si="1986"/>
        <v>25482</v>
      </c>
      <c r="I624" s="273">
        <f t="shared" si="1987"/>
        <v>25482</v>
      </c>
      <c r="J624" s="549">
        <f t="shared" si="1976"/>
        <v>21682</v>
      </c>
      <c r="K624" s="273">
        <f t="shared" si="1988"/>
        <v>21682</v>
      </c>
      <c r="L624" s="93">
        <f t="shared" si="1989"/>
        <v>21282</v>
      </c>
      <c r="M624" s="273">
        <f t="shared" si="1990"/>
        <v>21282</v>
      </c>
      <c r="N624" s="93">
        <f t="shared" si="1991"/>
        <v>21182</v>
      </c>
      <c r="O624" s="273">
        <f t="shared" si="1992"/>
        <v>21182</v>
      </c>
      <c r="P624" s="93">
        <f t="shared" si="1993"/>
        <v>21082</v>
      </c>
      <c r="Q624" s="273">
        <f t="shared" si="1994"/>
        <v>21082</v>
      </c>
      <c r="R624" s="93">
        <f t="shared" si="1995"/>
        <v>20982</v>
      </c>
      <c r="S624" s="273">
        <f t="shared" si="1996"/>
        <v>20982</v>
      </c>
      <c r="T624" s="93">
        <f t="shared" si="1997"/>
        <v>20932</v>
      </c>
      <c r="U624" s="273">
        <f t="shared" si="1998"/>
        <v>20932</v>
      </c>
      <c r="V624" s="93">
        <f t="shared" si="1999"/>
        <v>20842</v>
      </c>
      <c r="W624" s="273">
        <f t="shared" si="2000"/>
        <v>20842</v>
      </c>
      <c r="X624" s="127"/>
      <c r="Y624" s="122"/>
      <c r="Z624" s="128"/>
      <c r="AA624" s="129"/>
      <c r="AB624" s="353">
        <v>694</v>
      </c>
    </row>
    <row r="625" spans="1:28" ht="12" customHeight="1" x14ac:dyDescent="0.2">
      <c r="A625" s="4"/>
      <c r="B625" s="735" t="s">
        <v>810</v>
      </c>
      <c r="C625" s="750"/>
      <c r="D625" s="750"/>
      <c r="E625" s="751"/>
      <c r="F625" s="285">
        <f>12.8*X2</f>
        <v>17024</v>
      </c>
      <c r="G625" s="258">
        <f t="shared" ref="G625" si="2006">+F625*$X$1</f>
        <v>17024</v>
      </c>
      <c r="H625" s="92">
        <f t="shared" si="1986"/>
        <v>22024</v>
      </c>
      <c r="I625" s="283">
        <f t="shared" si="1987"/>
        <v>22024</v>
      </c>
      <c r="J625" s="92">
        <f t="shared" si="1976"/>
        <v>18224</v>
      </c>
      <c r="K625" s="283">
        <f t="shared" si="1988"/>
        <v>18224</v>
      </c>
      <c r="L625" s="92">
        <f t="shared" si="1989"/>
        <v>17824</v>
      </c>
      <c r="M625" s="283">
        <f t="shared" si="1990"/>
        <v>17824</v>
      </c>
      <c r="N625" s="92">
        <f t="shared" si="1991"/>
        <v>17724</v>
      </c>
      <c r="O625" s="283">
        <f t="shared" si="1992"/>
        <v>17724</v>
      </c>
      <c r="P625" s="92">
        <f t="shared" si="1993"/>
        <v>17624</v>
      </c>
      <c r="Q625" s="283">
        <f t="shared" si="1994"/>
        <v>17624</v>
      </c>
      <c r="R625" s="92">
        <f t="shared" si="1995"/>
        <v>17524</v>
      </c>
      <c r="S625" s="283">
        <f t="shared" si="1996"/>
        <v>17524</v>
      </c>
      <c r="T625" s="92">
        <f t="shared" si="1997"/>
        <v>17474</v>
      </c>
      <c r="U625" s="283">
        <f t="shared" si="1998"/>
        <v>17474</v>
      </c>
      <c r="V625" s="92">
        <f t="shared" si="1999"/>
        <v>17384</v>
      </c>
      <c r="W625" s="283">
        <f t="shared" si="2000"/>
        <v>17384</v>
      </c>
      <c r="X625" s="127"/>
      <c r="Y625" s="122"/>
      <c r="Z625" s="128"/>
      <c r="AA625" s="129"/>
      <c r="AB625" s="353">
        <v>696</v>
      </c>
    </row>
    <row r="626" spans="1:28" ht="12" customHeight="1" x14ac:dyDescent="0.2">
      <c r="A626" s="4"/>
      <c r="B626" s="883" t="s">
        <v>685</v>
      </c>
      <c r="C626" s="884"/>
      <c r="D626" s="884"/>
      <c r="E626" s="885"/>
      <c r="F626" s="257">
        <f>26.5*X2</f>
        <v>35245</v>
      </c>
      <c r="G626" s="257">
        <f t="shared" ref="G626" si="2007">+F626*$X$1</f>
        <v>35245</v>
      </c>
      <c r="H626" s="93">
        <f t="shared" si="1986"/>
        <v>40245</v>
      </c>
      <c r="I626" s="273">
        <f t="shared" si="1987"/>
        <v>40245</v>
      </c>
      <c r="J626" s="549">
        <f t="shared" si="1976"/>
        <v>36445</v>
      </c>
      <c r="K626" s="273">
        <f t="shared" si="1988"/>
        <v>36445</v>
      </c>
      <c r="L626" s="93">
        <f t="shared" si="1989"/>
        <v>36045</v>
      </c>
      <c r="M626" s="273">
        <f t="shared" si="1990"/>
        <v>36045</v>
      </c>
      <c r="N626" s="93">
        <f t="shared" si="1991"/>
        <v>35945</v>
      </c>
      <c r="O626" s="273">
        <f t="shared" si="1992"/>
        <v>35945</v>
      </c>
      <c r="P626" s="93">
        <f t="shared" si="1993"/>
        <v>35845</v>
      </c>
      <c r="Q626" s="273">
        <f t="shared" si="1994"/>
        <v>35845</v>
      </c>
      <c r="R626" s="93">
        <f t="shared" si="1995"/>
        <v>35745</v>
      </c>
      <c r="S626" s="273">
        <f t="shared" si="1996"/>
        <v>35745</v>
      </c>
      <c r="T626" s="93">
        <f t="shared" si="1997"/>
        <v>35695</v>
      </c>
      <c r="U626" s="273">
        <f t="shared" si="1998"/>
        <v>35695</v>
      </c>
      <c r="V626" s="93">
        <f t="shared" si="1999"/>
        <v>35605</v>
      </c>
      <c r="W626" s="273">
        <f t="shared" si="2000"/>
        <v>35605</v>
      </c>
      <c r="X626" s="127"/>
      <c r="Y626" s="122"/>
      <c r="Z626" s="128"/>
      <c r="AA626" s="129"/>
      <c r="AB626" s="353">
        <v>698</v>
      </c>
    </row>
    <row r="627" spans="1:28" ht="12" customHeight="1" x14ac:dyDescent="0.2">
      <c r="A627" s="4"/>
      <c r="B627" s="681" t="s">
        <v>916</v>
      </c>
      <c r="C627" s="682"/>
      <c r="D627" s="682"/>
      <c r="E627" s="683"/>
      <c r="F627" s="258">
        <f>48.2*X2</f>
        <v>64106.000000000007</v>
      </c>
      <c r="G627" s="258">
        <f>+F627*$X$1</f>
        <v>64106.000000000007</v>
      </c>
      <c r="H627" s="92">
        <f>F627+7000</f>
        <v>71106</v>
      </c>
      <c r="I627" s="283">
        <f t="shared" ref="I627" si="2008">+H627*$X$1</f>
        <v>71106</v>
      </c>
      <c r="J627" s="92">
        <f>F627+3600</f>
        <v>67706</v>
      </c>
      <c r="K627" s="283">
        <f t="shared" ref="K627" si="2009">+J627*$X$1</f>
        <v>67706</v>
      </c>
      <c r="L627" s="92">
        <f>F627+2400</f>
        <v>66506</v>
      </c>
      <c r="M627" s="283">
        <f t="shared" ref="M627" si="2010">+L627*$X$1</f>
        <v>66506</v>
      </c>
      <c r="N627" s="92">
        <f>F627+2100</f>
        <v>66206</v>
      </c>
      <c r="O627" s="283">
        <f t="shared" ref="O627" si="2011">+N627*$X$1</f>
        <v>66206</v>
      </c>
      <c r="P627" s="92">
        <f>F627+1800</f>
        <v>65906</v>
      </c>
      <c r="Q627" s="283">
        <f t="shared" ref="Q627" si="2012">+P627*$X$1</f>
        <v>65906</v>
      </c>
      <c r="R627" s="92">
        <f>F627+1500</f>
        <v>65606</v>
      </c>
      <c r="S627" s="283">
        <f t="shared" ref="S627" si="2013">+R627*$X$1</f>
        <v>65606</v>
      </c>
      <c r="T627" s="92">
        <f>F627+1350</f>
        <v>65456.000000000007</v>
      </c>
      <c r="U627" s="283">
        <f t="shared" ref="U627" si="2014">+T627*$X$1</f>
        <v>65456.000000000007</v>
      </c>
      <c r="V627" s="92">
        <f>F627+1100</f>
        <v>65206.000000000007</v>
      </c>
      <c r="W627" s="283">
        <f t="shared" ref="W627" si="2015">+V627*$X$1</f>
        <v>65206.000000000007</v>
      </c>
      <c r="X627" s="127"/>
      <c r="Y627" s="122"/>
      <c r="Z627" s="128"/>
      <c r="AA627" s="129"/>
      <c r="AB627" s="353">
        <v>702</v>
      </c>
    </row>
    <row r="628" spans="1:28" ht="12" customHeight="1" x14ac:dyDescent="0.2">
      <c r="A628" s="4"/>
      <c r="B628" s="883" t="s">
        <v>875</v>
      </c>
      <c r="C628" s="884"/>
      <c r="D628" s="884"/>
      <c r="E628" s="885"/>
      <c r="F628" s="257">
        <f>23.4*X2</f>
        <v>31121.999999999996</v>
      </c>
      <c r="G628" s="257">
        <f>+F628*$X$1</f>
        <v>31121.999999999996</v>
      </c>
      <c r="H628" s="93">
        <f t="shared" si="1986"/>
        <v>36122</v>
      </c>
      <c r="I628" s="273">
        <f t="shared" si="1987"/>
        <v>36122</v>
      </c>
      <c r="J628" s="93">
        <f>F628+1200</f>
        <v>32321.999999999996</v>
      </c>
      <c r="K628" s="273">
        <f t="shared" si="1988"/>
        <v>32321.999999999996</v>
      </c>
      <c r="L628" s="93">
        <f t="shared" si="1989"/>
        <v>31921.999999999996</v>
      </c>
      <c r="M628" s="273">
        <f t="shared" si="1990"/>
        <v>31921.999999999996</v>
      </c>
      <c r="N628" s="93">
        <f t="shared" si="1991"/>
        <v>31821.999999999996</v>
      </c>
      <c r="O628" s="273">
        <f t="shared" si="1992"/>
        <v>31821.999999999996</v>
      </c>
      <c r="P628" s="93">
        <f t="shared" si="1993"/>
        <v>31721.999999999996</v>
      </c>
      <c r="Q628" s="273">
        <f t="shared" si="1994"/>
        <v>31721.999999999996</v>
      </c>
      <c r="R628" s="93">
        <f t="shared" si="1995"/>
        <v>31621.999999999996</v>
      </c>
      <c r="S628" s="273">
        <f t="shared" si="1996"/>
        <v>31621.999999999996</v>
      </c>
      <c r="T628" s="93">
        <f t="shared" si="1997"/>
        <v>31571.999999999996</v>
      </c>
      <c r="U628" s="273">
        <f t="shared" si="1998"/>
        <v>31571.999999999996</v>
      </c>
      <c r="V628" s="93">
        <f t="shared" si="1999"/>
        <v>31481.999999999996</v>
      </c>
      <c r="W628" s="273">
        <f t="shared" si="2000"/>
        <v>31481.999999999996</v>
      </c>
      <c r="X628" s="127"/>
      <c r="Y628" s="122"/>
      <c r="Z628" s="128"/>
      <c r="AA628" s="129"/>
      <c r="AB628" s="353">
        <v>703</v>
      </c>
    </row>
    <row r="629" spans="1:28" ht="12" customHeight="1" x14ac:dyDescent="0.2">
      <c r="A629" s="4"/>
      <c r="B629" s="1005" t="s">
        <v>857</v>
      </c>
      <c r="C629" s="1006"/>
      <c r="D629" s="1006"/>
      <c r="E629" s="1007"/>
      <c r="F629" s="469">
        <f>24.3*X2</f>
        <v>32319</v>
      </c>
      <c r="G629" s="469">
        <f>+F629*$X$1</f>
        <v>32319</v>
      </c>
      <c r="H629" s="549">
        <f t="shared" si="1986"/>
        <v>37319</v>
      </c>
      <c r="I629" s="468">
        <f t="shared" si="1987"/>
        <v>37319</v>
      </c>
      <c r="J629" s="549">
        <f t="shared" ref="J629:J637" si="2016">F629+1200</f>
        <v>33519</v>
      </c>
      <c r="K629" s="468">
        <f t="shared" si="1988"/>
        <v>33519</v>
      </c>
      <c r="L629" s="549">
        <f t="shared" si="1989"/>
        <v>33119</v>
      </c>
      <c r="M629" s="468">
        <f t="shared" si="1990"/>
        <v>33119</v>
      </c>
      <c r="N629" s="549">
        <f t="shared" si="1991"/>
        <v>33019</v>
      </c>
      <c r="O629" s="468">
        <f t="shared" si="1992"/>
        <v>33019</v>
      </c>
      <c r="P629" s="549">
        <f t="shared" si="1993"/>
        <v>32919</v>
      </c>
      <c r="Q629" s="468">
        <f t="shared" si="1994"/>
        <v>32919</v>
      </c>
      <c r="R629" s="549">
        <f t="shared" si="1995"/>
        <v>32819</v>
      </c>
      <c r="S629" s="468">
        <f t="shared" si="1996"/>
        <v>32819</v>
      </c>
      <c r="T629" s="549">
        <f t="shared" si="1997"/>
        <v>32769</v>
      </c>
      <c r="U629" s="468">
        <f t="shared" si="1998"/>
        <v>32769</v>
      </c>
      <c r="V629" s="549">
        <f t="shared" si="1999"/>
        <v>32679</v>
      </c>
      <c r="W629" s="468">
        <f t="shared" si="2000"/>
        <v>32679</v>
      </c>
      <c r="X629" s="127"/>
      <c r="Y629" s="122"/>
      <c r="Z629" s="128"/>
      <c r="AA629" s="129"/>
      <c r="AB629" s="353">
        <v>704</v>
      </c>
    </row>
    <row r="630" spans="1:28" ht="12" customHeight="1" x14ac:dyDescent="0.2">
      <c r="A630" s="4"/>
      <c r="B630" s="681" t="s">
        <v>813</v>
      </c>
      <c r="C630" s="682"/>
      <c r="D630" s="682"/>
      <c r="E630" s="683"/>
      <c r="F630" s="257">
        <f>31.2*X2</f>
        <v>41496</v>
      </c>
      <c r="G630" s="257">
        <f>+F630*$X$1</f>
        <v>41496</v>
      </c>
      <c r="H630" s="93">
        <f t="shared" si="1986"/>
        <v>46496</v>
      </c>
      <c r="I630" s="273">
        <f t="shared" si="1987"/>
        <v>46496</v>
      </c>
      <c r="J630" s="93">
        <f t="shared" si="2016"/>
        <v>42696</v>
      </c>
      <c r="K630" s="273">
        <f t="shared" si="1988"/>
        <v>42696</v>
      </c>
      <c r="L630" s="93">
        <f t="shared" si="1989"/>
        <v>42296</v>
      </c>
      <c r="M630" s="273">
        <f t="shared" si="1990"/>
        <v>42296</v>
      </c>
      <c r="N630" s="93">
        <f t="shared" si="1991"/>
        <v>42196</v>
      </c>
      <c r="O630" s="273">
        <f t="shared" si="1992"/>
        <v>42196</v>
      </c>
      <c r="P630" s="93">
        <f t="shared" si="1993"/>
        <v>42096</v>
      </c>
      <c r="Q630" s="273">
        <f t="shared" si="1994"/>
        <v>42096</v>
      </c>
      <c r="R630" s="93">
        <f t="shared" si="1995"/>
        <v>41996</v>
      </c>
      <c r="S630" s="273">
        <f t="shared" si="1996"/>
        <v>41996</v>
      </c>
      <c r="T630" s="93">
        <f t="shared" si="1997"/>
        <v>41946</v>
      </c>
      <c r="U630" s="273">
        <f t="shared" si="1998"/>
        <v>41946</v>
      </c>
      <c r="V630" s="93">
        <f t="shared" si="1999"/>
        <v>41856</v>
      </c>
      <c r="W630" s="273">
        <f t="shared" si="2000"/>
        <v>41856</v>
      </c>
      <c r="X630" s="127"/>
      <c r="Y630" s="122"/>
      <c r="Z630" s="128"/>
      <c r="AA630" s="129"/>
      <c r="AB630" s="353">
        <v>708</v>
      </c>
    </row>
    <row r="631" spans="1:28" ht="12" customHeight="1" x14ac:dyDescent="0.2">
      <c r="A631" s="4"/>
      <c r="B631" s="735" t="s">
        <v>549</v>
      </c>
      <c r="C631" s="750"/>
      <c r="D631" s="750"/>
      <c r="E631" s="751"/>
      <c r="F631" s="258">
        <f>40.8*X2</f>
        <v>54263.999999999993</v>
      </c>
      <c r="G631" s="258">
        <f>+F631*$X$1</f>
        <v>54263.999999999993</v>
      </c>
      <c r="H631" s="92">
        <f t="shared" si="1986"/>
        <v>59263.999999999993</v>
      </c>
      <c r="I631" s="283">
        <f t="shared" si="1987"/>
        <v>59263.999999999993</v>
      </c>
      <c r="J631" s="92">
        <f t="shared" si="2016"/>
        <v>55463.999999999993</v>
      </c>
      <c r="K631" s="283">
        <f t="shared" si="1988"/>
        <v>55463.999999999993</v>
      </c>
      <c r="L631" s="92">
        <f t="shared" si="1989"/>
        <v>55063.999999999993</v>
      </c>
      <c r="M631" s="283">
        <f t="shared" si="1990"/>
        <v>55063.999999999993</v>
      </c>
      <c r="N631" s="92">
        <f t="shared" si="1991"/>
        <v>54963.999999999993</v>
      </c>
      <c r="O631" s="283">
        <f t="shared" si="1992"/>
        <v>54963.999999999993</v>
      </c>
      <c r="P631" s="92">
        <f t="shared" si="1993"/>
        <v>54863.999999999993</v>
      </c>
      <c r="Q631" s="283">
        <f t="shared" si="1994"/>
        <v>54863.999999999993</v>
      </c>
      <c r="R631" s="92">
        <f t="shared" si="1995"/>
        <v>54763.999999999993</v>
      </c>
      <c r="S631" s="283">
        <f t="shared" si="1996"/>
        <v>54763.999999999993</v>
      </c>
      <c r="T631" s="92">
        <f t="shared" si="1997"/>
        <v>54713.999999999993</v>
      </c>
      <c r="U631" s="283">
        <f t="shared" si="1998"/>
        <v>54713.999999999993</v>
      </c>
      <c r="V631" s="92">
        <f t="shared" si="1999"/>
        <v>54623.999999999993</v>
      </c>
      <c r="W631" s="283">
        <f t="shared" si="2000"/>
        <v>54623.999999999993</v>
      </c>
      <c r="X631" s="127"/>
      <c r="Y631" s="122"/>
      <c r="Z631" s="128"/>
      <c r="AA631" s="129"/>
      <c r="AB631" s="353">
        <v>710</v>
      </c>
    </row>
    <row r="632" spans="1:28" ht="12" customHeight="1" x14ac:dyDescent="0.2">
      <c r="A632" s="4"/>
      <c r="B632" s="883" t="s">
        <v>523</v>
      </c>
      <c r="C632" s="884"/>
      <c r="D632" s="884"/>
      <c r="E632" s="885"/>
      <c r="F632" s="257">
        <f>48.2*X2</f>
        <v>64106.000000000007</v>
      </c>
      <c r="G632" s="257">
        <f t="shared" ref="G632" si="2017">+F632*$X$1</f>
        <v>64106.000000000007</v>
      </c>
      <c r="H632" s="93">
        <f t="shared" si="1986"/>
        <v>69106</v>
      </c>
      <c r="I632" s="273">
        <f t="shared" si="1987"/>
        <v>69106</v>
      </c>
      <c r="J632" s="93">
        <f t="shared" si="2016"/>
        <v>65306.000000000007</v>
      </c>
      <c r="K632" s="273">
        <f t="shared" si="1988"/>
        <v>65306.000000000007</v>
      </c>
      <c r="L632" s="93">
        <f t="shared" si="1989"/>
        <v>64906.000000000007</v>
      </c>
      <c r="M632" s="273">
        <f t="shared" si="1990"/>
        <v>64906.000000000007</v>
      </c>
      <c r="N632" s="93">
        <f t="shared" si="1991"/>
        <v>64806.000000000007</v>
      </c>
      <c r="O632" s="273">
        <f t="shared" si="1992"/>
        <v>64806.000000000007</v>
      </c>
      <c r="P632" s="93">
        <f t="shared" si="1993"/>
        <v>64706.000000000007</v>
      </c>
      <c r="Q632" s="273">
        <f t="shared" si="1994"/>
        <v>64706.000000000007</v>
      </c>
      <c r="R632" s="93">
        <f t="shared" si="1995"/>
        <v>64606.000000000007</v>
      </c>
      <c r="S632" s="273">
        <f t="shared" si="1996"/>
        <v>64606.000000000007</v>
      </c>
      <c r="T632" s="93">
        <f t="shared" si="1997"/>
        <v>64556.000000000007</v>
      </c>
      <c r="U632" s="273">
        <f t="shared" si="1998"/>
        <v>64556.000000000007</v>
      </c>
      <c r="V632" s="93">
        <f t="shared" si="1999"/>
        <v>64466.000000000007</v>
      </c>
      <c r="W632" s="273">
        <f t="shared" si="2000"/>
        <v>64466.000000000007</v>
      </c>
      <c r="X632" s="127"/>
      <c r="Y632" s="122"/>
      <c r="Z632" s="128"/>
      <c r="AA632" s="129"/>
      <c r="AB632" s="353">
        <v>711</v>
      </c>
    </row>
    <row r="633" spans="1:28" ht="12" customHeight="1" x14ac:dyDescent="0.2">
      <c r="A633" s="4"/>
      <c r="B633" s="735" t="s">
        <v>550</v>
      </c>
      <c r="C633" s="750"/>
      <c r="D633" s="750"/>
      <c r="E633" s="751"/>
      <c r="F633" s="258">
        <f>50*X2</f>
        <v>66500</v>
      </c>
      <c r="G633" s="258">
        <f t="shared" ref="G633" si="2018">+F633*$X$1</f>
        <v>66500</v>
      </c>
      <c r="H633" s="92">
        <f t="shared" si="1986"/>
        <v>71500</v>
      </c>
      <c r="I633" s="283">
        <f t="shared" si="1987"/>
        <v>71500</v>
      </c>
      <c r="J633" s="92">
        <f t="shared" si="2016"/>
        <v>67700</v>
      </c>
      <c r="K633" s="283">
        <f t="shared" si="1988"/>
        <v>67700</v>
      </c>
      <c r="L633" s="92">
        <f t="shared" si="1989"/>
        <v>67300</v>
      </c>
      <c r="M633" s="283">
        <f t="shared" si="1990"/>
        <v>67300</v>
      </c>
      <c r="N633" s="92">
        <f t="shared" si="1991"/>
        <v>67200</v>
      </c>
      <c r="O633" s="283">
        <f t="shared" si="1992"/>
        <v>67200</v>
      </c>
      <c r="P633" s="92">
        <f t="shared" si="1993"/>
        <v>67100</v>
      </c>
      <c r="Q633" s="283">
        <f t="shared" si="1994"/>
        <v>67100</v>
      </c>
      <c r="R633" s="92">
        <f t="shared" si="1995"/>
        <v>67000</v>
      </c>
      <c r="S633" s="283">
        <f t="shared" si="1996"/>
        <v>67000</v>
      </c>
      <c r="T633" s="92">
        <f t="shared" si="1997"/>
        <v>66950</v>
      </c>
      <c r="U633" s="283">
        <f t="shared" si="1998"/>
        <v>66950</v>
      </c>
      <c r="V633" s="92">
        <f t="shared" si="1999"/>
        <v>66860</v>
      </c>
      <c r="W633" s="283">
        <f t="shared" si="2000"/>
        <v>66860</v>
      </c>
      <c r="X633" s="127"/>
      <c r="Y633" s="122"/>
      <c r="Z633" s="128"/>
      <c r="AA633" s="129"/>
      <c r="AB633" s="353">
        <v>714</v>
      </c>
    </row>
    <row r="634" spans="1:28" ht="12" customHeight="1" x14ac:dyDescent="0.2">
      <c r="A634" s="4"/>
      <c r="B634" s="1005" t="s">
        <v>670</v>
      </c>
      <c r="C634" s="1006"/>
      <c r="D634" s="1006"/>
      <c r="E634" s="1007"/>
      <c r="F634" s="469">
        <f>11.4*X2</f>
        <v>15162</v>
      </c>
      <c r="G634" s="469">
        <f t="shared" ref="G634" si="2019">+F634*$X$1</f>
        <v>15162</v>
      </c>
      <c r="H634" s="549">
        <f t="shared" si="1986"/>
        <v>20162</v>
      </c>
      <c r="I634" s="468">
        <f t="shared" si="1987"/>
        <v>20162</v>
      </c>
      <c r="J634" s="549">
        <f t="shared" si="2016"/>
        <v>16362</v>
      </c>
      <c r="K634" s="468">
        <f t="shared" si="1988"/>
        <v>16362</v>
      </c>
      <c r="L634" s="549">
        <f t="shared" si="1989"/>
        <v>15962</v>
      </c>
      <c r="M634" s="468">
        <f t="shared" si="1990"/>
        <v>15962</v>
      </c>
      <c r="N634" s="549">
        <f t="shared" si="1991"/>
        <v>15862</v>
      </c>
      <c r="O634" s="468">
        <f t="shared" si="1992"/>
        <v>15862</v>
      </c>
      <c r="P634" s="549">
        <f t="shared" si="1993"/>
        <v>15762</v>
      </c>
      <c r="Q634" s="468">
        <f t="shared" si="1994"/>
        <v>15762</v>
      </c>
      <c r="R634" s="549">
        <f t="shared" si="1995"/>
        <v>15662</v>
      </c>
      <c r="S634" s="468">
        <f t="shared" si="1996"/>
        <v>15662</v>
      </c>
      <c r="T634" s="549">
        <f t="shared" si="1997"/>
        <v>15612</v>
      </c>
      <c r="U634" s="468">
        <f t="shared" si="1998"/>
        <v>15612</v>
      </c>
      <c r="V634" s="549">
        <f t="shared" si="1999"/>
        <v>15522</v>
      </c>
      <c r="W634" s="468">
        <f t="shared" si="2000"/>
        <v>15522</v>
      </c>
      <c r="X634" s="127"/>
      <c r="Y634" s="122"/>
      <c r="Z634" s="128"/>
      <c r="AA634" s="129"/>
      <c r="AB634" s="353">
        <v>716</v>
      </c>
    </row>
    <row r="635" spans="1:28" ht="12" customHeight="1" x14ac:dyDescent="0.2">
      <c r="A635" s="4"/>
      <c r="B635" s="1005" t="s">
        <v>672</v>
      </c>
      <c r="C635" s="1006"/>
      <c r="D635" s="1006"/>
      <c r="E635" s="1007"/>
      <c r="F635" s="469">
        <f>42.15*X2</f>
        <v>56059.5</v>
      </c>
      <c r="G635" s="469">
        <f t="shared" ref="G635" si="2020">+F635*$X$1</f>
        <v>56059.5</v>
      </c>
      <c r="H635" s="549">
        <f t="shared" si="1986"/>
        <v>61059.5</v>
      </c>
      <c r="I635" s="468">
        <f t="shared" si="1987"/>
        <v>61059.5</v>
      </c>
      <c r="J635" s="549">
        <f t="shared" si="2016"/>
        <v>57259.5</v>
      </c>
      <c r="K635" s="468">
        <f t="shared" si="1988"/>
        <v>57259.5</v>
      </c>
      <c r="L635" s="549">
        <f t="shared" si="1989"/>
        <v>56859.5</v>
      </c>
      <c r="M635" s="468">
        <f t="shared" si="1990"/>
        <v>56859.5</v>
      </c>
      <c r="N635" s="549">
        <f t="shared" si="1991"/>
        <v>56759.5</v>
      </c>
      <c r="O635" s="468">
        <f t="shared" si="1992"/>
        <v>56759.5</v>
      </c>
      <c r="P635" s="549">
        <f t="shared" si="1993"/>
        <v>56659.5</v>
      </c>
      <c r="Q635" s="468">
        <f t="shared" si="1994"/>
        <v>56659.5</v>
      </c>
      <c r="R635" s="549">
        <f t="shared" si="1995"/>
        <v>56559.5</v>
      </c>
      <c r="S635" s="468">
        <f t="shared" si="1996"/>
        <v>56559.5</v>
      </c>
      <c r="T635" s="549">
        <f t="shared" si="1997"/>
        <v>56509.5</v>
      </c>
      <c r="U635" s="468">
        <f t="shared" si="1998"/>
        <v>56509.5</v>
      </c>
      <c r="V635" s="549">
        <f t="shared" si="1999"/>
        <v>56419.5</v>
      </c>
      <c r="W635" s="468">
        <f t="shared" si="2000"/>
        <v>56419.5</v>
      </c>
      <c r="X635" s="127"/>
      <c r="Y635" s="122"/>
      <c r="Z635" s="128"/>
      <c r="AA635" s="129"/>
      <c r="AB635" s="353">
        <v>717</v>
      </c>
    </row>
    <row r="636" spans="1:28" ht="12" customHeight="1" x14ac:dyDescent="0.2">
      <c r="A636" s="4"/>
      <c r="B636" s="681" t="s">
        <v>671</v>
      </c>
      <c r="C636" s="682"/>
      <c r="D636" s="682"/>
      <c r="E636" s="683"/>
      <c r="F636" s="257">
        <f>97.31*X2</f>
        <v>129422.3</v>
      </c>
      <c r="G636" s="257">
        <f t="shared" ref="G636" si="2021">+F636*$X$1</f>
        <v>129422.3</v>
      </c>
      <c r="H636" s="93">
        <f t="shared" si="1986"/>
        <v>134422.29999999999</v>
      </c>
      <c r="I636" s="273">
        <f t="shared" si="1987"/>
        <v>134422.29999999999</v>
      </c>
      <c r="J636" s="93">
        <f t="shared" si="2016"/>
        <v>130622.3</v>
      </c>
      <c r="K636" s="273">
        <f t="shared" si="1988"/>
        <v>130622.3</v>
      </c>
      <c r="L636" s="93">
        <f t="shared" si="1989"/>
        <v>130222.3</v>
      </c>
      <c r="M636" s="273">
        <f t="shared" si="1990"/>
        <v>130222.3</v>
      </c>
      <c r="N636" s="93">
        <f t="shared" si="1991"/>
        <v>130122.3</v>
      </c>
      <c r="O636" s="273">
        <f t="shared" si="1992"/>
        <v>130122.3</v>
      </c>
      <c r="P636" s="93">
        <f t="shared" si="1993"/>
        <v>130022.3</v>
      </c>
      <c r="Q636" s="273">
        <f t="shared" si="1994"/>
        <v>130022.3</v>
      </c>
      <c r="R636" s="93">
        <f t="shared" si="1995"/>
        <v>129922.3</v>
      </c>
      <c r="S636" s="273">
        <f t="shared" si="1996"/>
        <v>129922.3</v>
      </c>
      <c r="T636" s="93">
        <f t="shared" si="1997"/>
        <v>129872.3</v>
      </c>
      <c r="U636" s="273">
        <f t="shared" si="1998"/>
        <v>129872.3</v>
      </c>
      <c r="V636" s="93">
        <f t="shared" si="1999"/>
        <v>129782.3</v>
      </c>
      <c r="W636" s="273">
        <f t="shared" si="2000"/>
        <v>129782.3</v>
      </c>
      <c r="X636" s="127"/>
      <c r="Y636" s="122"/>
      <c r="Z636" s="128"/>
      <c r="AA636" s="129"/>
      <c r="AB636" s="353">
        <v>718</v>
      </c>
    </row>
    <row r="637" spans="1:28" ht="12" customHeight="1" x14ac:dyDescent="0.2">
      <c r="A637" s="4"/>
      <c r="B637" s="1005" t="s">
        <v>773</v>
      </c>
      <c r="C637" s="1006"/>
      <c r="D637" s="1006"/>
      <c r="E637" s="1007"/>
      <c r="F637" s="469">
        <f>22.5*X2</f>
        <v>29925</v>
      </c>
      <c r="G637" s="469">
        <f t="shared" ref="G637" si="2022">+F637*$X$1</f>
        <v>29925</v>
      </c>
      <c r="H637" s="549">
        <f t="shared" si="1986"/>
        <v>34925</v>
      </c>
      <c r="I637" s="468">
        <f t="shared" si="1987"/>
        <v>34925</v>
      </c>
      <c r="J637" s="549">
        <f t="shared" si="2016"/>
        <v>31125</v>
      </c>
      <c r="K637" s="468">
        <f t="shared" si="1988"/>
        <v>31125</v>
      </c>
      <c r="L637" s="549">
        <f t="shared" si="1989"/>
        <v>30725</v>
      </c>
      <c r="M637" s="468">
        <f t="shared" si="1990"/>
        <v>30725</v>
      </c>
      <c r="N637" s="549">
        <f t="shared" si="1991"/>
        <v>30625</v>
      </c>
      <c r="O637" s="468">
        <f t="shared" si="1992"/>
        <v>30625</v>
      </c>
      <c r="P637" s="549">
        <f t="shared" si="1993"/>
        <v>30525</v>
      </c>
      <c r="Q637" s="468">
        <f t="shared" si="1994"/>
        <v>30525</v>
      </c>
      <c r="R637" s="549">
        <f t="shared" si="1995"/>
        <v>30425</v>
      </c>
      <c r="S637" s="468">
        <f t="shared" si="1996"/>
        <v>30425</v>
      </c>
      <c r="T637" s="549">
        <f t="shared" si="1997"/>
        <v>30375</v>
      </c>
      <c r="U637" s="468">
        <f t="shared" si="1998"/>
        <v>30375</v>
      </c>
      <c r="V637" s="549">
        <f t="shared" si="1999"/>
        <v>30285</v>
      </c>
      <c r="W637" s="468">
        <f t="shared" si="2000"/>
        <v>30285</v>
      </c>
      <c r="X637" s="127"/>
      <c r="Y637" s="122"/>
      <c r="Z637" s="128"/>
      <c r="AA637" s="129"/>
      <c r="AB637" s="353">
        <v>719</v>
      </c>
    </row>
    <row r="638" spans="1:28" ht="12" customHeight="1" x14ac:dyDescent="0.2">
      <c r="A638" s="71"/>
      <c r="B638" s="98"/>
      <c r="C638" s="408"/>
      <c r="D638" s="408"/>
      <c r="E638" s="408"/>
      <c r="F638" s="298"/>
      <c r="G638" s="298"/>
      <c r="H638" s="106"/>
      <c r="I638" s="298"/>
      <c r="J638" s="106"/>
      <c r="K638" s="298"/>
      <c r="L638" s="106"/>
      <c r="M638" s="298"/>
      <c r="N638" s="106"/>
      <c r="O638" s="298"/>
      <c r="P638" s="106"/>
      <c r="Q638" s="298"/>
      <c r="R638" s="106"/>
      <c r="S638" s="298"/>
      <c r="T638" s="106"/>
      <c r="U638" s="298"/>
      <c r="V638" s="106"/>
      <c r="W638" s="298"/>
      <c r="X638" s="185"/>
      <c r="Y638" s="71"/>
      <c r="Z638" s="186"/>
      <c r="AA638" s="186"/>
      <c r="AB638" s="187"/>
    </row>
    <row r="639" spans="1:28" ht="12" customHeight="1" x14ac:dyDescent="0.2">
      <c r="A639" s="71"/>
      <c r="B639" s="98"/>
      <c r="C639" s="614"/>
      <c r="D639" s="614"/>
      <c r="E639" s="614"/>
      <c r="F639" s="298"/>
      <c r="G639" s="298"/>
      <c r="H639" s="106"/>
      <c r="I639" s="298"/>
      <c r="J639" s="106"/>
      <c r="K639" s="298"/>
      <c r="L639" s="106"/>
      <c r="M639" s="298"/>
      <c r="N639" s="106"/>
      <c r="O639" s="298"/>
      <c r="P639" s="106"/>
      <c r="Q639" s="298"/>
      <c r="R639" s="106"/>
      <c r="S639" s="298"/>
      <c r="T639" s="106"/>
      <c r="U639" s="298"/>
      <c r="V639" s="106"/>
      <c r="W639" s="298"/>
      <c r="X639" s="185"/>
      <c r="Y639" s="71"/>
      <c r="Z639" s="186"/>
      <c r="AA639" s="186"/>
      <c r="AB639" s="187"/>
    </row>
    <row r="640" spans="1:28" ht="12" customHeight="1" x14ac:dyDescent="0.2">
      <c r="A640" s="71"/>
      <c r="B640" s="98"/>
      <c r="C640" s="614"/>
      <c r="D640" s="614"/>
      <c r="E640" s="614"/>
      <c r="F640" s="298"/>
      <c r="G640" s="298"/>
      <c r="H640" s="106"/>
      <c r="I640" s="298"/>
      <c r="J640" s="106"/>
      <c r="K640" s="298"/>
      <c r="L640" s="106"/>
      <c r="M640" s="298"/>
      <c r="N640" s="106"/>
      <c r="O640" s="298"/>
      <c r="P640" s="106"/>
      <c r="Q640" s="298"/>
      <c r="R640" s="106"/>
      <c r="S640" s="298"/>
      <c r="T640" s="106"/>
      <c r="U640" s="298"/>
      <c r="V640" s="106"/>
      <c r="W640" s="298"/>
      <c r="X640" s="185"/>
      <c r="Y640" s="71"/>
      <c r="Z640" s="186"/>
      <c r="AA640" s="186"/>
      <c r="AB640" s="187"/>
    </row>
    <row r="641" spans="1:34" ht="14.25" customHeight="1" x14ac:dyDescent="0.2">
      <c r="B641" s="692" t="s">
        <v>11</v>
      </c>
      <c r="C641" s="694" t="s">
        <v>12</v>
      </c>
      <c r="D641" s="695"/>
      <c r="E641" s="695"/>
      <c r="F641" s="697" t="s">
        <v>265</v>
      </c>
      <c r="G641" s="697" t="s">
        <v>13</v>
      </c>
      <c r="H641" s="699" t="s">
        <v>750</v>
      </c>
      <c r="I641" s="699"/>
      <c r="J641" s="700"/>
      <c r="K641" s="700"/>
      <c r="L641" s="700"/>
      <c r="M641" s="700"/>
      <c r="N641" s="700"/>
      <c r="O641" s="700"/>
      <c r="P641" s="700"/>
      <c r="Q641" s="700"/>
      <c r="R641" s="700"/>
      <c r="S641" s="700"/>
      <c r="T641" s="700"/>
      <c r="U641" s="700"/>
      <c r="V641" s="700"/>
      <c r="W641" s="701"/>
      <c r="X641" s="653" t="s">
        <v>14</v>
      </c>
      <c r="Y641" s="702"/>
      <c r="Z641" s="702"/>
      <c r="AA641" s="703"/>
      <c r="AB641" s="638" t="s">
        <v>15</v>
      </c>
      <c r="AF641" s="640" t="s">
        <v>3</v>
      </c>
      <c r="AG641" s="641"/>
      <c r="AH641" s="641"/>
    </row>
    <row r="642" spans="1:34" ht="12" customHeight="1" x14ac:dyDescent="0.2">
      <c r="B642" s="693"/>
      <c r="C642" s="696"/>
      <c r="D642" s="696"/>
      <c r="E642" s="696"/>
      <c r="F642" s="698"/>
      <c r="G642" s="698"/>
      <c r="H642" s="423"/>
      <c r="I642" s="424" t="s">
        <v>517</v>
      </c>
      <c r="J642" s="423"/>
      <c r="K642" s="424" t="s">
        <v>266</v>
      </c>
      <c r="L642" s="423"/>
      <c r="M642" s="424" t="s">
        <v>267</v>
      </c>
      <c r="N642" s="423"/>
      <c r="O642" s="424" t="s">
        <v>519</v>
      </c>
      <c r="P642" s="423"/>
      <c r="Q642" s="424" t="s">
        <v>17</v>
      </c>
      <c r="R642" s="423"/>
      <c r="S642" s="424" t="s">
        <v>18</v>
      </c>
      <c r="T642" s="423"/>
      <c r="U642" s="424" t="s">
        <v>19</v>
      </c>
      <c r="V642" s="423"/>
      <c r="W642" s="425" t="s">
        <v>520</v>
      </c>
      <c r="X642" s="704"/>
      <c r="Y642" s="705"/>
      <c r="Z642" s="705"/>
      <c r="AA642" s="706"/>
      <c r="AB642" s="639"/>
    </row>
    <row r="643" spans="1:34" ht="12" customHeight="1" x14ac:dyDescent="0.2">
      <c r="A643" s="4"/>
      <c r="B643" s="883" t="s">
        <v>669</v>
      </c>
      <c r="C643" s="884"/>
      <c r="D643" s="884"/>
      <c r="E643" s="885"/>
      <c r="F643" s="257">
        <f>14.31*X2</f>
        <v>19032.3</v>
      </c>
      <c r="G643" s="257">
        <f t="shared" ref="G643" si="2023">+F643*$X$1</f>
        <v>19032.3</v>
      </c>
      <c r="H643" s="93">
        <f>F643+5000</f>
        <v>24032.3</v>
      </c>
      <c r="I643" s="273">
        <f>+H643*$X$1</f>
        <v>24032.3</v>
      </c>
      <c r="J643" s="93">
        <f>F643+1200</f>
        <v>20232.3</v>
      </c>
      <c r="K643" s="273">
        <f>+J643*$X$1</f>
        <v>20232.3</v>
      </c>
      <c r="L643" s="93">
        <f>F643+800</f>
        <v>19832.3</v>
      </c>
      <c r="M643" s="273">
        <f>+L643*$X$1</f>
        <v>19832.3</v>
      </c>
      <c r="N643" s="93">
        <f>F643+700</f>
        <v>19732.3</v>
      </c>
      <c r="O643" s="273">
        <f>+N643*$X$1</f>
        <v>19732.3</v>
      </c>
      <c r="P643" s="93">
        <f>F643+600</f>
        <v>19632.3</v>
      </c>
      <c r="Q643" s="273">
        <f>+P643*$X$1</f>
        <v>19632.3</v>
      </c>
      <c r="R643" s="93">
        <f>F643+500</f>
        <v>19532.3</v>
      </c>
      <c r="S643" s="273">
        <f>+R643*$X$1</f>
        <v>19532.3</v>
      </c>
      <c r="T643" s="93">
        <f>F643+450</f>
        <v>19482.3</v>
      </c>
      <c r="U643" s="273">
        <f>+T643*$X$1</f>
        <v>19482.3</v>
      </c>
      <c r="V643" s="93">
        <f>F643+360</f>
        <v>19392.3</v>
      </c>
      <c r="W643" s="273">
        <f>+V643*$X$1</f>
        <v>19392.3</v>
      </c>
      <c r="X643" s="127"/>
      <c r="Y643" s="122"/>
      <c r="Z643" s="128"/>
      <c r="AA643" s="129"/>
      <c r="AB643" s="353">
        <v>720</v>
      </c>
    </row>
    <row r="644" spans="1:34" ht="12" customHeight="1" x14ac:dyDescent="0.2">
      <c r="A644" s="4"/>
      <c r="B644" s="735" t="s">
        <v>668</v>
      </c>
      <c r="C644" s="750"/>
      <c r="D644" s="750"/>
      <c r="E644" s="751"/>
      <c r="F644" s="258">
        <f>40.98*X2</f>
        <v>54503.399999999994</v>
      </c>
      <c r="G644" s="258">
        <f t="shared" ref="G644" si="2024">+F644*$X$1</f>
        <v>54503.399999999994</v>
      </c>
      <c r="H644" s="92">
        <f>F644+5000</f>
        <v>59503.399999999994</v>
      </c>
      <c r="I644" s="283">
        <f>+H644*$X$1</f>
        <v>59503.399999999994</v>
      </c>
      <c r="J644" s="92">
        <f>F644+1200</f>
        <v>55703.399999999994</v>
      </c>
      <c r="K644" s="283">
        <f>+J644*$X$1</f>
        <v>55703.399999999994</v>
      </c>
      <c r="L644" s="92">
        <f>F644+800</f>
        <v>55303.399999999994</v>
      </c>
      <c r="M644" s="283">
        <f>+L644*$X$1</f>
        <v>55303.399999999994</v>
      </c>
      <c r="N644" s="92">
        <f>F644+700</f>
        <v>55203.399999999994</v>
      </c>
      <c r="O644" s="283">
        <f>+N644*$X$1</f>
        <v>55203.399999999994</v>
      </c>
      <c r="P644" s="92">
        <f>F644+600</f>
        <v>55103.399999999994</v>
      </c>
      <c r="Q644" s="283">
        <f>+P644*$X$1</f>
        <v>55103.399999999994</v>
      </c>
      <c r="R644" s="92">
        <f>F644+500</f>
        <v>55003.399999999994</v>
      </c>
      <c r="S644" s="283">
        <f>+R644*$X$1</f>
        <v>55003.399999999994</v>
      </c>
      <c r="T644" s="92">
        <f>F644+450</f>
        <v>54953.399999999994</v>
      </c>
      <c r="U644" s="283">
        <f>+T644*$X$1</f>
        <v>54953.399999999994</v>
      </c>
      <c r="V644" s="92">
        <f>F644+360</f>
        <v>54863.399999999994</v>
      </c>
      <c r="W644" s="283">
        <f>+V644*$X$1</f>
        <v>54863.399999999994</v>
      </c>
      <c r="X644" s="127"/>
      <c r="Y644" s="122"/>
      <c r="Z644" s="128"/>
      <c r="AA644" s="129"/>
      <c r="AB644" s="353">
        <v>721</v>
      </c>
    </row>
    <row r="645" spans="1:34" ht="12" customHeight="1" x14ac:dyDescent="0.2">
      <c r="A645" s="4"/>
      <c r="B645" s="681" t="s">
        <v>1007</v>
      </c>
      <c r="C645" s="682"/>
      <c r="D645" s="682"/>
      <c r="E645" s="683"/>
      <c r="F645" s="286">
        <v>12200</v>
      </c>
      <c r="G645" s="257">
        <f t="shared" ref="G645:G650" si="2025">+F645*$X$1</f>
        <v>12200</v>
      </c>
      <c r="H645" s="93"/>
      <c r="I645" s="273"/>
      <c r="J645" s="93"/>
      <c r="K645" s="273"/>
      <c r="L645" s="93">
        <f>F645+800</f>
        <v>13000</v>
      </c>
      <c r="M645" s="273">
        <f>+L645*$X$1</f>
        <v>13000</v>
      </c>
      <c r="N645" s="93">
        <f>F645+700</f>
        <v>12900</v>
      </c>
      <c r="O645" s="273">
        <f>+N645*$X$1</f>
        <v>12900</v>
      </c>
      <c r="P645" s="93">
        <f>F645+600</f>
        <v>12800</v>
      </c>
      <c r="Q645" s="273">
        <f>+P645*$X$1</f>
        <v>12800</v>
      </c>
      <c r="R645" s="93">
        <f>F645+500</f>
        <v>12700</v>
      </c>
      <c r="S645" s="273">
        <f>+R645*$X$1</f>
        <v>12700</v>
      </c>
      <c r="T645" s="93">
        <f>F645+450</f>
        <v>12650</v>
      </c>
      <c r="U645" s="273">
        <f>+T645*$X$1</f>
        <v>12650</v>
      </c>
      <c r="V645" s="93">
        <f>F645+360</f>
        <v>12560</v>
      </c>
      <c r="W645" s="273">
        <f>+V645*$X$1</f>
        <v>12560</v>
      </c>
      <c r="X645" s="127"/>
      <c r="Y645" s="122"/>
      <c r="Z645" s="128"/>
      <c r="AA645" s="129"/>
      <c r="AB645" s="353">
        <v>722</v>
      </c>
    </row>
    <row r="646" spans="1:34" ht="12" customHeight="1" x14ac:dyDescent="0.2">
      <c r="A646" s="4"/>
      <c r="B646" s="681" t="s">
        <v>1008</v>
      </c>
      <c r="C646" s="682"/>
      <c r="D646" s="682"/>
      <c r="E646" s="683"/>
      <c r="F646" s="285">
        <v>17810</v>
      </c>
      <c r="G646" s="258">
        <f t="shared" si="2025"/>
        <v>17810</v>
      </c>
      <c r="H646" s="92"/>
      <c r="I646" s="283"/>
      <c r="J646" s="92"/>
      <c r="K646" s="283"/>
      <c r="L646" s="92">
        <f t="shared" ref="L646" si="2026">F646+800</f>
        <v>18610</v>
      </c>
      <c r="M646" s="283">
        <f t="shared" ref="M646" si="2027">+L646*$X$1</f>
        <v>18610</v>
      </c>
      <c r="N646" s="92">
        <f t="shared" ref="N646" si="2028">F646+700</f>
        <v>18510</v>
      </c>
      <c r="O646" s="283">
        <f t="shared" ref="O646" si="2029">+N646*$X$1</f>
        <v>18510</v>
      </c>
      <c r="P646" s="92">
        <f t="shared" ref="P646" si="2030">F646+600</f>
        <v>18410</v>
      </c>
      <c r="Q646" s="283">
        <f t="shared" ref="Q646" si="2031">+P646*$X$1</f>
        <v>18410</v>
      </c>
      <c r="R646" s="92">
        <f t="shared" ref="R646" si="2032">F646+500</f>
        <v>18310</v>
      </c>
      <c r="S646" s="283">
        <f t="shared" ref="S646" si="2033">+R646*$X$1</f>
        <v>18310</v>
      </c>
      <c r="T646" s="92">
        <f t="shared" ref="T646" si="2034">F646+450</f>
        <v>18260</v>
      </c>
      <c r="U646" s="283">
        <f t="shared" ref="U646" si="2035">+T646*$X$1</f>
        <v>18260</v>
      </c>
      <c r="V646" s="92">
        <f t="shared" ref="V646" si="2036">F646+360</f>
        <v>18170</v>
      </c>
      <c r="W646" s="283">
        <f t="shared" ref="W646" si="2037">+V646*$X$1</f>
        <v>18170</v>
      </c>
      <c r="X646" s="127"/>
      <c r="Y646" s="122"/>
      <c r="Z646" s="128"/>
      <c r="AA646" s="129"/>
      <c r="AB646" s="353">
        <v>723</v>
      </c>
    </row>
    <row r="647" spans="1:34" ht="12" customHeight="1" x14ac:dyDescent="0.2">
      <c r="A647" s="4"/>
      <c r="B647" s="681" t="s">
        <v>1009</v>
      </c>
      <c r="C647" s="682"/>
      <c r="D647" s="682"/>
      <c r="E647" s="683"/>
      <c r="F647" s="286">
        <v>13890</v>
      </c>
      <c r="G647" s="257">
        <f t="shared" si="2025"/>
        <v>13890</v>
      </c>
      <c r="H647" s="93"/>
      <c r="I647" s="257"/>
      <c r="J647" s="559"/>
      <c r="K647" s="257"/>
      <c r="L647" s="559">
        <f t="shared" ref="L647" si="2038">F647+800</f>
        <v>14690</v>
      </c>
      <c r="M647" s="257">
        <f t="shared" ref="M647" si="2039">+L647*$X$1</f>
        <v>14690</v>
      </c>
      <c r="N647" s="559">
        <f t="shared" ref="N647" si="2040">F647+700</f>
        <v>14590</v>
      </c>
      <c r="O647" s="257">
        <f t="shared" ref="O647" si="2041">+N647*$X$1</f>
        <v>14590</v>
      </c>
      <c r="P647" s="559">
        <f t="shared" ref="P647" si="2042">F647+600</f>
        <v>14490</v>
      </c>
      <c r="Q647" s="257">
        <f t="shared" ref="Q647" si="2043">+P647*$X$1</f>
        <v>14490</v>
      </c>
      <c r="R647" s="559">
        <f t="shared" ref="R647" si="2044">F647+500</f>
        <v>14390</v>
      </c>
      <c r="S647" s="257">
        <f t="shared" ref="S647" si="2045">+R647*$X$1</f>
        <v>14390</v>
      </c>
      <c r="T647" s="559">
        <f t="shared" ref="T647" si="2046">F647+450</f>
        <v>14340</v>
      </c>
      <c r="U647" s="257">
        <f t="shared" ref="U647" si="2047">+T647*$X$1</f>
        <v>14340</v>
      </c>
      <c r="V647" s="559">
        <f t="shared" ref="V647" si="2048">F647+360</f>
        <v>14250</v>
      </c>
      <c r="W647" s="257">
        <f t="shared" ref="W647" si="2049">+V647*$X$1</f>
        <v>14250</v>
      </c>
      <c r="X647" s="127"/>
      <c r="Y647" s="122"/>
      <c r="Z647" s="128"/>
      <c r="AA647" s="129"/>
      <c r="AB647" s="353">
        <v>724</v>
      </c>
    </row>
    <row r="648" spans="1:34" ht="12" customHeight="1" x14ac:dyDescent="0.2">
      <c r="A648" s="4"/>
      <c r="B648" s="681" t="s">
        <v>960</v>
      </c>
      <c r="C648" s="682"/>
      <c r="D648" s="682"/>
      <c r="E648" s="683"/>
      <c r="F648" s="258">
        <f>14.45*X2</f>
        <v>19218.5</v>
      </c>
      <c r="G648" s="258">
        <f t="shared" si="2025"/>
        <v>19218.5</v>
      </c>
      <c r="H648" s="92">
        <f t="shared" ref="H648" si="2050">F648+5000</f>
        <v>24218.5</v>
      </c>
      <c r="I648" s="258">
        <f t="shared" ref="I648" si="2051">+H648*$X$1</f>
        <v>24218.5</v>
      </c>
      <c r="J648" s="576">
        <f>F648+1200</f>
        <v>20418.5</v>
      </c>
      <c r="K648" s="258">
        <f t="shared" ref="K648" si="2052">+J648*$X$1</f>
        <v>20418.5</v>
      </c>
      <c r="L648" s="576">
        <f t="shared" ref="L648:L649" si="2053">F648+800</f>
        <v>20018.5</v>
      </c>
      <c r="M648" s="258">
        <f t="shared" ref="M648:M649" si="2054">+L648*$X$1</f>
        <v>20018.5</v>
      </c>
      <c r="N648" s="576">
        <f t="shared" ref="N648:N649" si="2055">F648+700</f>
        <v>19918.5</v>
      </c>
      <c r="O648" s="258">
        <f t="shared" ref="O648:O649" si="2056">+N648*$X$1</f>
        <v>19918.5</v>
      </c>
      <c r="P648" s="576">
        <f t="shared" ref="P648:P649" si="2057">F648+600</f>
        <v>19818.5</v>
      </c>
      <c r="Q648" s="258">
        <f t="shared" ref="Q648:Q649" si="2058">+P648*$X$1</f>
        <v>19818.5</v>
      </c>
      <c r="R648" s="576">
        <f t="shared" ref="R648:R649" si="2059">F648+500</f>
        <v>19718.5</v>
      </c>
      <c r="S648" s="258">
        <f t="shared" ref="S648:S649" si="2060">+R648*$X$1</f>
        <v>19718.5</v>
      </c>
      <c r="T648" s="576">
        <f t="shared" ref="T648:T649" si="2061">F648+450</f>
        <v>19668.5</v>
      </c>
      <c r="U648" s="258">
        <f t="shared" ref="U648:U649" si="2062">+T648*$X$1</f>
        <v>19668.5</v>
      </c>
      <c r="V648" s="576">
        <f t="shared" ref="V648:V649" si="2063">F648+360</f>
        <v>19578.5</v>
      </c>
      <c r="W648" s="258">
        <f t="shared" ref="W648:W649" si="2064">+V648*$X$1</f>
        <v>19578.5</v>
      </c>
      <c r="X648" s="127"/>
      <c r="Y648" s="122"/>
      <c r="Z648" s="128"/>
      <c r="AA648" s="129"/>
      <c r="AB648" s="178">
        <v>725</v>
      </c>
    </row>
    <row r="649" spans="1:34" ht="12" customHeight="1" x14ac:dyDescent="0.2">
      <c r="A649" s="4"/>
      <c r="B649" s="681" t="s">
        <v>1010</v>
      </c>
      <c r="C649" s="682"/>
      <c r="D649" s="682"/>
      <c r="E649" s="683"/>
      <c r="F649" s="286">
        <v>40180</v>
      </c>
      <c r="G649" s="257">
        <f t="shared" si="2025"/>
        <v>40180</v>
      </c>
      <c r="H649" s="93"/>
      <c r="I649" s="257"/>
      <c r="J649" s="559"/>
      <c r="K649" s="257"/>
      <c r="L649" s="559">
        <f t="shared" si="2053"/>
        <v>40980</v>
      </c>
      <c r="M649" s="257">
        <f t="shared" si="2054"/>
        <v>40980</v>
      </c>
      <c r="N649" s="559">
        <f t="shared" si="2055"/>
        <v>40880</v>
      </c>
      <c r="O649" s="257">
        <f t="shared" si="2056"/>
        <v>40880</v>
      </c>
      <c r="P649" s="559">
        <f t="shared" si="2057"/>
        <v>40780</v>
      </c>
      <c r="Q649" s="257">
        <f t="shared" si="2058"/>
        <v>40780</v>
      </c>
      <c r="R649" s="559">
        <f t="shared" si="2059"/>
        <v>40680</v>
      </c>
      <c r="S649" s="257">
        <f t="shared" si="2060"/>
        <v>40680</v>
      </c>
      <c r="T649" s="559">
        <f t="shared" si="2061"/>
        <v>40630</v>
      </c>
      <c r="U649" s="257">
        <f t="shared" si="2062"/>
        <v>40630</v>
      </c>
      <c r="V649" s="559">
        <f t="shared" si="2063"/>
        <v>40540</v>
      </c>
      <c r="W649" s="257">
        <f t="shared" si="2064"/>
        <v>40540</v>
      </c>
      <c r="X649" s="127"/>
      <c r="Y649" s="122"/>
      <c r="Z649" s="128"/>
      <c r="AA649" s="129"/>
      <c r="AB649" s="353">
        <v>726</v>
      </c>
    </row>
    <row r="650" spans="1:34" ht="12" customHeight="1" x14ac:dyDescent="0.2">
      <c r="A650" s="4"/>
      <c r="B650" s="681" t="s">
        <v>1011</v>
      </c>
      <c r="C650" s="682"/>
      <c r="D650" s="682"/>
      <c r="E650" s="683"/>
      <c r="F650" s="285">
        <v>41990</v>
      </c>
      <c r="G650" s="258">
        <f t="shared" si="2025"/>
        <v>41990</v>
      </c>
      <c r="H650" s="92"/>
      <c r="I650" s="258"/>
      <c r="J650" s="576"/>
      <c r="K650" s="258"/>
      <c r="L650" s="576">
        <f t="shared" ref="L650" si="2065">F650+800</f>
        <v>42790</v>
      </c>
      <c r="M650" s="258">
        <f t="shared" ref="M650" si="2066">+L650*$X$1</f>
        <v>42790</v>
      </c>
      <c r="N650" s="576">
        <f t="shared" ref="N650" si="2067">F650+700</f>
        <v>42690</v>
      </c>
      <c r="O650" s="258">
        <f t="shared" ref="O650" si="2068">+N650*$X$1</f>
        <v>42690</v>
      </c>
      <c r="P650" s="576">
        <f t="shared" ref="P650" si="2069">F650+600</f>
        <v>42590</v>
      </c>
      <c r="Q650" s="258">
        <f t="shared" ref="Q650" si="2070">+P650*$X$1</f>
        <v>42590</v>
      </c>
      <c r="R650" s="576">
        <f t="shared" ref="R650" si="2071">F650+500</f>
        <v>42490</v>
      </c>
      <c r="S650" s="258">
        <f t="shared" ref="S650" si="2072">+R650*$X$1</f>
        <v>42490</v>
      </c>
      <c r="T650" s="576">
        <f t="shared" ref="T650" si="2073">F650+450</f>
        <v>42440</v>
      </c>
      <c r="U650" s="258">
        <f t="shared" ref="U650" si="2074">+T650*$X$1</f>
        <v>42440</v>
      </c>
      <c r="V650" s="576">
        <f t="shared" ref="V650" si="2075">F650+360</f>
        <v>42350</v>
      </c>
      <c r="W650" s="258">
        <f t="shared" ref="W650" si="2076">+V650*$X$1</f>
        <v>42350</v>
      </c>
      <c r="X650" s="127"/>
      <c r="Y650" s="122"/>
      <c r="Z650" s="128"/>
      <c r="AA650" s="129"/>
      <c r="AB650" s="353">
        <v>727</v>
      </c>
    </row>
    <row r="651" spans="1:34" ht="12.6" customHeight="1" x14ac:dyDescent="0.2">
      <c r="A651" s="4"/>
      <c r="B651" s="883" t="s">
        <v>787</v>
      </c>
      <c r="C651" s="884"/>
      <c r="D651" s="884"/>
      <c r="E651" s="885"/>
      <c r="F651" s="257">
        <f>5.2*X2</f>
        <v>6916</v>
      </c>
      <c r="G651" s="257">
        <f t="shared" ref="G651" si="2077">+F651*$X$1</f>
        <v>6916</v>
      </c>
      <c r="H651" s="93">
        <f t="shared" ref="H651:H658" si="2078">F651+5000</f>
        <v>11916</v>
      </c>
      <c r="I651" s="257">
        <f t="shared" ref="I651:I658" si="2079">+H651*$X$1</f>
        <v>11916</v>
      </c>
      <c r="J651" s="559">
        <f t="shared" ref="J651:J656" si="2080">F651+1200</f>
        <v>8116</v>
      </c>
      <c r="K651" s="257">
        <f t="shared" ref="K651:K658" si="2081">+J651*$X$1</f>
        <v>8116</v>
      </c>
      <c r="L651" s="559">
        <f t="shared" ref="L651:L658" si="2082">F651+800</f>
        <v>7716</v>
      </c>
      <c r="M651" s="257">
        <f t="shared" ref="M651:M658" si="2083">+L651*$X$1</f>
        <v>7716</v>
      </c>
      <c r="N651" s="559">
        <f t="shared" ref="N651:N658" si="2084">F651+700</f>
        <v>7616</v>
      </c>
      <c r="O651" s="257">
        <f t="shared" ref="O651:O658" si="2085">+N651*$X$1</f>
        <v>7616</v>
      </c>
      <c r="P651" s="559">
        <f t="shared" ref="P651:P658" si="2086">F651+600</f>
        <v>7516</v>
      </c>
      <c r="Q651" s="257">
        <f t="shared" ref="Q651:Q658" si="2087">+P651*$X$1</f>
        <v>7516</v>
      </c>
      <c r="R651" s="559">
        <f t="shared" ref="R651:R658" si="2088">F651+500</f>
        <v>7416</v>
      </c>
      <c r="S651" s="257">
        <f t="shared" ref="S651:S658" si="2089">+R651*$X$1</f>
        <v>7416</v>
      </c>
      <c r="T651" s="559">
        <f t="shared" ref="T651:T658" si="2090">F651+450</f>
        <v>7366</v>
      </c>
      <c r="U651" s="257">
        <f t="shared" ref="U651:U658" si="2091">+T651*$X$1</f>
        <v>7366</v>
      </c>
      <c r="V651" s="559">
        <f t="shared" ref="V651:V658" si="2092">F651+360</f>
        <v>7276</v>
      </c>
      <c r="W651" s="257">
        <f t="shared" ref="W651:W658" si="2093">+V651*$X$1</f>
        <v>7276</v>
      </c>
      <c r="X651" s="127"/>
      <c r="Y651" s="122"/>
      <c r="Z651" s="128"/>
      <c r="AA651" s="129"/>
      <c r="AB651" s="178">
        <v>741</v>
      </c>
    </row>
    <row r="652" spans="1:34" ht="12" customHeight="1" x14ac:dyDescent="0.2">
      <c r="A652" s="4"/>
      <c r="B652" s="735" t="s">
        <v>574</v>
      </c>
      <c r="C652" s="750"/>
      <c r="D652" s="750"/>
      <c r="E652" s="751"/>
      <c r="F652" s="258">
        <f>19.7*X2</f>
        <v>26201</v>
      </c>
      <c r="G652" s="258">
        <f>+F652*$X$1</f>
        <v>26201</v>
      </c>
      <c r="H652" s="92">
        <f t="shared" si="2078"/>
        <v>31201</v>
      </c>
      <c r="I652" s="258">
        <f t="shared" si="2079"/>
        <v>31201</v>
      </c>
      <c r="J652" s="576">
        <f t="shared" si="2080"/>
        <v>27401</v>
      </c>
      <c r="K652" s="258">
        <f t="shared" si="2081"/>
        <v>27401</v>
      </c>
      <c r="L652" s="576">
        <f t="shared" si="2082"/>
        <v>27001</v>
      </c>
      <c r="M652" s="258">
        <f t="shared" si="2083"/>
        <v>27001</v>
      </c>
      <c r="N652" s="576">
        <f t="shared" si="2084"/>
        <v>26901</v>
      </c>
      <c r="O652" s="258">
        <f t="shared" si="2085"/>
        <v>26901</v>
      </c>
      <c r="P652" s="576">
        <f t="shared" si="2086"/>
        <v>26801</v>
      </c>
      <c r="Q652" s="258">
        <f t="shared" si="2087"/>
        <v>26801</v>
      </c>
      <c r="R652" s="576">
        <f t="shared" si="2088"/>
        <v>26701</v>
      </c>
      <c r="S652" s="258">
        <f t="shared" si="2089"/>
        <v>26701</v>
      </c>
      <c r="T652" s="576">
        <f t="shared" si="2090"/>
        <v>26651</v>
      </c>
      <c r="U652" s="258">
        <f t="shared" si="2091"/>
        <v>26651</v>
      </c>
      <c r="V652" s="576">
        <f t="shared" si="2092"/>
        <v>26561</v>
      </c>
      <c r="W652" s="258">
        <f t="shared" si="2093"/>
        <v>26561</v>
      </c>
      <c r="X652" s="127"/>
      <c r="Y652" s="122"/>
      <c r="Z652" s="128"/>
      <c r="AA652" s="129"/>
      <c r="AB652" s="178">
        <v>742</v>
      </c>
    </row>
    <row r="653" spans="1:34" ht="12" customHeight="1" x14ac:dyDescent="0.2">
      <c r="A653" s="4"/>
      <c r="B653" s="883" t="s">
        <v>575</v>
      </c>
      <c r="C653" s="884"/>
      <c r="D653" s="884"/>
      <c r="E653" s="885"/>
      <c r="F653" s="257">
        <f>20.2*X2</f>
        <v>26866</v>
      </c>
      <c r="G653" s="257">
        <f>+F653*$X$1</f>
        <v>26866</v>
      </c>
      <c r="H653" s="93">
        <f t="shared" si="2078"/>
        <v>31866</v>
      </c>
      <c r="I653" s="257">
        <f t="shared" si="2079"/>
        <v>31866</v>
      </c>
      <c r="J653" s="559">
        <f t="shared" si="2080"/>
        <v>28066</v>
      </c>
      <c r="K653" s="257">
        <f t="shared" si="2081"/>
        <v>28066</v>
      </c>
      <c r="L653" s="559">
        <f t="shared" si="2082"/>
        <v>27666</v>
      </c>
      <c r="M653" s="257">
        <f t="shared" si="2083"/>
        <v>27666</v>
      </c>
      <c r="N653" s="559">
        <f t="shared" si="2084"/>
        <v>27566</v>
      </c>
      <c r="O653" s="257">
        <f t="shared" si="2085"/>
        <v>27566</v>
      </c>
      <c r="P653" s="559">
        <f t="shared" si="2086"/>
        <v>27466</v>
      </c>
      <c r="Q653" s="257">
        <f t="shared" si="2087"/>
        <v>27466</v>
      </c>
      <c r="R653" s="559">
        <f t="shared" si="2088"/>
        <v>27366</v>
      </c>
      <c r="S653" s="257">
        <f t="shared" si="2089"/>
        <v>27366</v>
      </c>
      <c r="T653" s="559">
        <f t="shared" si="2090"/>
        <v>27316</v>
      </c>
      <c r="U653" s="257">
        <f t="shared" si="2091"/>
        <v>27316</v>
      </c>
      <c r="V653" s="559">
        <f t="shared" si="2092"/>
        <v>27226</v>
      </c>
      <c r="W653" s="257">
        <f t="shared" si="2093"/>
        <v>27226</v>
      </c>
      <c r="X653" s="127"/>
      <c r="Y653" s="122"/>
      <c r="Z653" s="128"/>
      <c r="AA653" s="129"/>
      <c r="AB653" s="178">
        <v>743</v>
      </c>
    </row>
    <row r="654" spans="1:34" ht="12" customHeight="1" x14ac:dyDescent="0.2">
      <c r="A654" s="4"/>
      <c r="B654" s="735" t="s">
        <v>644</v>
      </c>
      <c r="C654" s="750"/>
      <c r="D654" s="750"/>
      <c r="E654" s="751"/>
      <c r="F654" s="258">
        <f>17*X2</f>
        <v>22610</v>
      </c>
      <c r="G654" s="258">
        <f t="shared" ref="G654" si="2094">+F654*$X$1</f>
        <v>22610</v>
      </c>
      <c r="H654" s="92">
        <f t="shared" si="2078"/>
        <v>27610</v>
      </c>
      <c r="I654" s="258">
        <f t="shared" si="2079"/>
        <v>27610</v>
      </c>
      <c r="J654" s="576">
        <f t="shared" si="2080"/>
        <v>23810</v>
      </c>
      <c r="K654" s="258">
        <f t="shared" si="2081"/>
        <v>23810</v>
      </c>
      <c r="L654" s="576">
        <f t="shared" si="2082"/>
        <v>23410</v>
      </c>
      <c r="M654" s="258">
        <f t="shared" si="2083"/>
        <v>23410</v>
      </c>
      <c r="N654" s="576">
        <f t="shared" si="2084"/>
        <v>23310</v>
      </c>
      <c r="O654" s="258">
        <f t="shared" si="2085"/>
        <v>23310</v>
      </c>
      <c r="P654" s="576">
        <f t="shared" si="2086"/>
        <v>23210</v>
      </c>
      <c r="Q654" s="258">
        <f t="shared" si="2087"/>
        <v>23210</v>
      </c>
      <c r="R654" s="576">
        <f t="shared" si="2088"/>
        <v>23110</v>
      </c>
      <c r="S654" s="258">
        <f t="shared" si="2089"/>
        <v>23110</v>
      </c>
      <c r="T654" s="576">
        <f t="shared" si="2090"/>
        <v>23060</v>
      </c>
      <c r="U654" s="258">
        <f t="shared" si="2091"/>
        <v>23060</v>
      </c>
      <c r="V654" s="576">
        <f t="shared" si="2092"/>
        <v>22970</v>
      </c>
      <c r="W654" s="258">
        <f t="shared" si="2093"/>
        <v>22970</v>
      </c>
      <c r="X654" s="127"/>
      <c r="Y654" s="122"/>
      <c r="Z654" s="128"/>
      <c r="AA654" s="129"/>
      <c r="AB654" s="178">
        <v>744</v>
      </c>
    </row>
    <row r="655" spans="1:34" ht="12" customHeight="1" x14ac:dyDescent="0.2">
      <c r="A655" s="4"/>
      <c r="B655" s="883" t="s">
        <v>838</v>
      </c>
      <c r="C655" s="884"/>
      <c r="D655" s="884"/>
      <c r="E655" s="885"/>
      <c r="F655" s="257">
        <f>4.5*X2</f>
        <v>5985</v>
      </c>
      <c r="G655" s="257">
        <f t="shared" ref="G655" si="2095">+F655*$X$1</f>
        <v>5985</v>
      </c>
      <c r="H655" s="93">
        <f t="shared" si="2078"/>
        <v>10985</v>
      </c>
      <c r="I655" s="273">
        <f t="shared" si="2079"/>
        <v>10985</v>
      </c>
      <c r="J655" s="93">
        <f t="shared" si="2080"/>
        <v>7185</v>
      </c>
      <c r="K655" s="257">
        <f t="shared" si="2081"/>
        <v>7185</v>
      </c>
      <c r="L655" s="559">
        <f t="shared" si="2082"/>
        <v>6785</v>
      </c>
      <c r="M655" s="257">
        <f t="shared" si="2083"/>
        <v>6785</v>
      </c>
      <c r="N655" s="559">
        <f t="shared" si="2084"/>
        <v>6685</v>
      </c>
      <c r="O655" s="257">
        <f t="shared" si="2085"/>
        <v>6685</v>
      </c>
      <c r="P655" s="559">
        <f t="shared" si="2086"/>
        <v>6585</v>
      </c>
      <c r="Q655" s="257">
        <f t="shared" si="2087"/>
        <v>6585</v>
      </c>
      <c r="R655" s="559">
        <f t="shared" si="2088"/>
        <v>6485</v>
      </c>
      <c r="S655" s="257">
        <f t="shared" si="2089"/>
        <v>6485</v>
      </c>
      <c r="T655" s="559">
        <f t="shared" si="2090"/>
        <v>6435</v>
      </c>
      <c r="U655" s="257">
        <f t="shared" si="2091"/>
        <v>6435</v>
      </c>
      <c r="V655" s="559">
        <f t="shared" si="2092"/>
        <v>6345</v>
      </c>
      <c r="W655" s="257">
        <f t="shared" si="2093"/>
        <v>6345</v>
      </c>
      <c r="X655" s="127"/>
      <c r="Y655" s="122"/>
      <c r="Z655" s="128"/>
      <c r="AA655" s="129"/>
      <c r="AB655" s="178">
        <v>745</v>
      </c>
    </row>
    <row r="656" spans="1:34" ht="12" customHeight="1" x14ac:dyDescent="0.2">
      <c r="A656" s="4"/>
      <c r="B656" s="735" t="s">
        <v>882</v>
      </c>
      <c r="C656" s="750"/>
      <c r="D656" s="750"/>
      <c r="E656" s="751"/>
      <c r="F656" s="258">
        <f>6.49*X2</f>
        <v>8631.7000000000007</v>
      </c>
      <c r="G656" s="258">
        <f t="shared" ref="G656:G658" si="2096">+F656*$X$1</f>
        <v>8631.7000000000007</v>
      </c>
      <c r="H656" s="92">
        <f t="shared" si="2078"/>
        <v>13631.7</v>
      </c>
      <c r="I656" s="283">
        <f t="shared" si="2079"/>
        <v>13631.7</v>
      </c>
      <c r="J656" s="92">
        <f t="shared" si="2080"/>
        <v>9831.7000000000007</v>
      </c>
      <c r="K656" s="258">
        <f t="shared" si="2081"/>
        <v>9831.7000000000007</v>
      </c>
      <c r="L656" s="576">
        <f t="shared" si="2082"/>
        <v>9431.7000000000007</v>
      </c>
      <c r="M656" s="258">
        <f t="shared" si="2083"/>
        <v>9431.7000000000007</v>
      </c>
      <c r="N656" s="576">
        <f t="shared" si="2084"/>
        <v>9331.7000000000007</v>
      </c>
      <c r="O656" s="258">
        <f t="shared" si="2085"/>
        <v>9331.7000000000007</v>
      </c>
      <c r="P656" s="576">
        <f t="shared" si="2086"/>
        <v>9231.7000000000007</v>
      </c>
      <c r="Q656" s="258">
        <f t="shared" si="2087"/>
        <v>9231.7000000000007</v>
      </c>
      <c r="R656" s="576">
        <f t="shared" si="2088"/>
        <v>9131.7000000000007</v>
      </c>
      <c r="S656" s="258">
        <f t="shared" si="2089"/>
        <v>9131.7000000000007</v>
      </c>
      <c r="T656" s="576">
        <f t="shared" si="2090"/>
        <v>9081.7000000000007</v>
      </c>
      <c r="U656" s="258">
        <f t="shared" si="2091"/>
        <v>9081.7000000000007</v>
      </c>
      <c r="V656" s="576">
        <f t="shared" si="2092"/>
        <v>8991.7000000000007</v>
      </c>
      <c r="W656" s="258">
        <f t="shared" si="2093"/>
        <v>8991.7000000000007</v>
      </c>
      <c r="X656" s="127"/>
      <c r="Y656" s="122"/>
      <c r="Z656" s="128"/>
      <c r="AA656" s="129"/>
      <c r="AB656" s="178">
        <v>746</v>
      </c>
    </row>
    <row r="657" spans="1:34" ht="12" customHeight="1" x14ac:dyDescent="0.2">
      <c r="A657" s="4"/>
      <c r="B657" s="681" t="s">
        <v>995</v>
      </c>
      <c r="C657" s="682"/>
      <c r="D657" s="682"/>
      <c r="E657" s="683"/>
      <c r="F657" s="257">
        <f>21.16*X2</f>
        <v>28142.799999999999</v>
      </c>
      <c r="G657" s="257">
        <f t="shared" si="2096"/>
        <v>28142.799999999999</v>
      </c>
      <c r="H657" s="93">
        <f t="shared" si="2078"/>
        <v>33142.800000000003</v>
      </c>
      <c r="I657" s="273">
        <f t="shared" si="2079"/>
        <v>33142.800000000003</v>
      </c>
      <c r="J657" s="93">
        <f t="shared" ref="J657" si="2097">F657+1200</f>
        <v>29342.799999999999</v>
      </c>
      <c r="K657" s="257">
        <f t="shared" si="2081"/>
        <v>29342.799999999999</v>
      </c>
      <c r="L657" s="559">
        <f t="shared" si="2082"/>
        <v>28942.799999999999</v>
      </c>
      <c r="M657" s="257">
        <f t="shared" si="2083"/>
        <v>28942.799999999999</v>
      </c>
      <c r="N657" s="559">
        <f t="shared" si="2084"/>
        <v>28842.799999999999</v>
      </c>
      <c r="O657" s="257">
        <f t="shared" si="2085"/>
        <v>28842.799999999999</v>
      </c>
      <c r="P657" s="559">
        <f t="shared" si="2086"/>
        <v>28742.799999999999</v>
      </c>
      <c r="Q657" s="257">
        <f t="shared" si="2087"/>
        <v>28742.799999999999</v>
      </c>
      <c r="R657" s="559">
        <f t="shared" si="2088"/>
        <v>28642.799999999999</v>
      </c>
      <c r="S657" s="257">
        <f t="shared" si="2089"/>
        <v>28642.799999999999</v>
      </c>
      <c r="T657" s="559">
        <f t="shared" si="2090"/>
        <v>28592.799999999999</v>
      </c>
      <c r="U657" s="257">
        <f t="shared" si="2091"/>
        <v>28592.799999999999</v>
      </c>
      <c r="V657" s="559">
        <f t="shared" si="2092"/>
        <v>28502.799999999999</v>
      </c>
      <c r="W657" s="257">
        <f t="shared" si="2093"/>
        <v>28502.799999999999</v>
      </c>
      <c r="X657" s="127"/>
      <c r="Y657" s="122"/>
      <c r="Z657" s="128"/>
      <c r="AA657" s="129"/>
      <c r="AB657" s="178">
        <v>748</v>
      </c>
    </row>
    <row r="658" spans="1:34" ht="12" customHeight="1" x14ac:dyDescent="0.2">
      <c r="A658" s="4"/>
      <c r="B658" s="735" t="s">
        <v>874</v>
      </c>
      <c r="C658" s="750"/>
      <c r="D658" s="750"/>
      <c r="E658" s="751"/>
      <c r="F658" s="258">
        <f>4.1*X2</f>
        <v>5452.9999999999991</v>
      </c>
      <c r="G658" s="258">
        <f t="shared" si="2096"/>
        <v>5452.9999999999991</v>
      </c>
      <c r="H658" s="92">
        <f t="shared" si="2078"/>
        <v>10453</v>
      </c>
      <c r="I658" s="283">
        <f t="shared" si="2079"/>
        <v>10453</v>
      </c>
      <c r="J658" s="92">
        <f>F658+1200</f>
        <v>6652.9999999999991</v>
      </c>
      <c r="K658" s="258">
        <f t="shared" si="2081"/>
        <v>6652.9999999999991</v>
      </c>
      <c r="L658" s="576">
        <f t="shared" si="2082"/>
        <v>6252.9999999999991</v>
      </c>
      <c r="M658" s="258">
        <f t="shared" si="2083"/>
        <v>6252.9999999999991</v>
      </c>
      <c r="N658" s="576">
        <f t="shared" si="2084"/>
        <v>6152.9999999999991</v>
      </c>
      <c r="O658" s="258">
        <f t="shared" si="2085"/>
        <v>6152.9999999999991</v>
      </c>
      <c r="P658" s="576">
        <f t="shared" si="2086"/>
        <v>6052.9999999999991</v>
      </c>
      <c r="Q658" s="258">
        <f t="shared" si="2087"/>
        <v>6052.9999999999991</v>
      </c>
      <c r="R658" s="576">
        <f t="shared" si="2088"/>
        <v>5952.9999999999991</v>
      </c>
      <c r="S658" s="258">
        <f t="shared" si="2089"/>
        <v>5952.9999999999991</v>
      </c>
      <c r="T658" s="576">
        <f t="shared" si="2090"/>
        <v>5902.9999999999991</v>
      </c>
      <c r="U658" s="258">
        <f t="shared" si="2091"/>
        <v>5902.9999999999991</v>
      </c>
      <c r="V658" s="576">
        <f t="shared" si="2092"/>
        <v>5812.9999999999991</v>
      </c>
      <c r="W658" s="258">
        <f t="shared" si="2093"/>
        <v>5812.9999999999991</v>
      </c>
      <c r="X658" s="127"/>
      <c r="Y658" s="122"/>
      <c r="Z658" s="128"/>
      <c r="AA658" s="129"/>
      <c r="AB658" s="178">
        <v>760</v>
      </c>
    </row>
    <row r="659" spans="1:34" ht="12" customHeight="1" x14ac:dyDescent="0.2">
      <c r="A659" s="4"/>
      <c r="B659" s="723" t="s">
        <v>961</v>
      </c>
      <c r="C659" s="736"/>
      <c r="D659" s="736"/>
      <c r="E659" s="736"/>
      <c r="F659" s="286">
        <v>1695</v>
      </c>
      <c r="G659" s="257">
        <f>+F659*$X$1</f>
        <v>1695</v>
      </c>
      <c r="H659" s="93"/>
      <c r="I659" s="273"/>
      <c r="J659" s="93"/>
      <c r="K659" s="273"/>
      <c r="L659" s="93"/>
      <c r="M659" s="273"/>
      <c r="N659" s="93"/>
      <c r="O659" s="273"/>
      <c r="P659" s="93"/>
      <c r="Q659" s="273"/>
      <c r="R659" s="93">
        <f t="shared" ref="R659" si="2098">F659+500</f>
        <v>2195</v>
      </c>
      <c r="S659" s="273">
        <f t="shared" ref="S659" si="2099">+R659*$X$1</f>
        <v>2195</v>
      </c>
      <c r="T659" s="93">
        <f t="shared" ref="T659" si="2100">F659+450</f>
        <v>2145</v>
      </c>
      <c r="U659" s="273">
        <f t="shared" ref="U659" si="2101">+T659*$X$1</f>
        <v>2145</v>
      </c>
      <c r="V659" s="93">
        <f t="shared" ref="V659" si="2102">F659+360</f>
        <v>2055</v>
      </c>
      <c r="W659" s="273">
        <f t="shared" ref="W659" si="2103">+V659*$X$1</f>
        <v>2055</v>
      </c>
      <c r="X659" s="127"/>
      <c r="Y659" s="122"/>
      <c r="Z659" s="128"/>
      <c r="AA659" s="129"/>
      <c r="AB659" s="353">
        <v>765</v>
      </c>
    </row>
    <row r="660" spans="1:34" ht="12" customHeight="1" x14ac:dyDescent="0.2">
      <c r="A660" s="4"/>
      <c r="B660" s="1131" t="s">
        <v>553</v>
      </c>
      <c r="C660" s="1132"/>
      <c r="D660" s="1132"/>
      <c r="E660" s="1132"/>
      <c r="F660" s="341"/>
      <c r="G660" s="341"/>
      <c r="H660" s="576">
        <v>1700</v>
      </c>
      <c r="I660" s="258">
        <f t="shared" ref="I660:K660" si="2104">+H660*$X$1</f>
        <v>1700</v>
      </c>
      <c r="J660" s="576">
        <v>900</v>
      </c>
      <c r="K660" s="258">
        <f t="shared" si="2104"/>
        <v>900</v>
      </c>
      <c r="L660" s="576">
        <v>700</v>
      </c>
      <c r="M660" s="258">
        <f t="shared" ref="M660" si="2105">+L660*$X$1</f>
        <v>700</v>
      </c>
      <c r="N660" s="576">
        <v>600</v>
      </c>
      <c r="O660" s="258">
        <f t="shared" ref="O660" si="2106">+N660*$X$1</f>
        <v>600</v>
      </c>
      <c r="P660" s="576">
        <v>550</v>
      </c>
      <c r="Q660" s="258">
        <f t="shared" ref="Q660" si="2107">+P660*$X$1</f>
        <v>550</v>
      </c>
      <c r="R660" s="576">
        <v>450</v>
      </c>
      <c r="S660" s="258">
        <f t="shared" ref="S660" si="2108">+R660*$X$1</f>
        <v>450</v>
      </c>
      <c r="T660" s="576">
        <v>390</v>
      </c>
      <c r="U660" s="258">
        <f t="shared" ref="U660" si="2109">+T660*$X$1</f>
        <v>390</v>
      </c>
      <c r="V660" s="576">
        <v>360</v>
      </c>
      <c r="W660" s="258">
        <f t="shared" ref="W660" si="2110">+V660*$X$1</f>
        <v>360</v>
      </c>
      <c r="X660" s="127"/>
      <c r="Y660" s="122"/>
      <c r="Z660" s="128"/>
      <c r="AA660" s="128"/>
      <c r="AB660" s="36"/>
    </row>
    <row r="661" spans="1:34" ht="13.5" customHeight="1" x14ac:dyDescent="0.2">
      <c r="A661" s="71"/>
      <c r="B661" s="98"/>
      <c r="C661" s="577"/>
      <c r="D661" s="577"/>
      <c r="E661" s="577"/>
      <c r="F661" s="298"/>
      <c r="G661" s="298"/>
      <c r="H661" s="106"/>
      <c r="I661" s="298"/>
      <c r="J661" s="106"/>
      <c r="K661" s="298"/>
      <c r="L661" s="106"/>
      <c r="M661" s="298"/>
      <c r="N661" s="106"/>
      <c r="O661" s="298"/>
      <c r="P661" s="106"/>
      <c r="Q661" s="298"/>
      <c r="R661" s="106"/>
      <c r="S661" s="298"/>
      <c r="T661" s="106"/>
      <c r="U661" s="298"/>
      <c r="V661" s="106"/>
      <c r="W661" s="298"/>
      <c r="X661" s="185"/>
      <c r="Y661" s="71"/>
      <c r="Z661" s="186"/>
      <c r="AA661" s="186"/>
      <c r="AB661" s="187"/>
    </row>
    <row r="662" spans="1:34" ht="14.25" customHeight="1" x14ac:dyDescent="0.2">
      <c r="B662" s="1020" t="s">
        <v>751</v>
      </c>
      <c r="C662" s="1021"/>
      <c r="D662" s="1021"/>
      <c r="E662" s="1021"/>
      <c r="F662" s="1021"/>
      <c r="G662" s="1021"/>
      <c r="H662" s="1021"/>
      <c r="I662" s="1021"/>
      <c r="J662" s="1021"/>
      <c r="K662" s="1021"/>
      <c r="L662" s="1021"/>
      <c r="M662" s="1021"/>
      <c r="N662" s="1021"/>
      <c r="O662" s="1021"/>
      <c r="P662" s="1021"/>
      <c r="Q662" s="1021"/>
      <c r="R662" s="1021"/>
      <c r="S662" s="1021"/>
      <c r="T662" s="1021"/>
      <c r="U662" s="1021"/>
      <c r="V662" s="1021"/>
      <c r="W662" s="1021"/>
      <c r="AB662" s="4"/>
      <c r="AF662" s="640"/>
      <c r="AG662" s="641"/>
      <c r="AH662" s="641"/>
    </row>
    <row r="663" spans="1:34" ht="12" customHeight="1" x14ac:dyDescent="0.2">
      <c r="B663" s="647" t="s">
        <v>11</v>
      </c>
      <c r="C663" s="647" t="s">
        <v>12</v>
      </c>
      <c r="D663" s="648"/>
      <c r="E663" s="648"/>
      <c r="F663" s="649" t="s">
        <v>265</v>
      </c>
      <c r="G663" s="649" t="s">
        <v>13</v>
      </c>
      <c r="H663" s="651" t="s">
        <v>743</v>
      </c>
      <c r="I663" s="651"/>
      <c r="J663" s="652"/>
      <c r="K663" s="652"/>
      <c r="L663" s="652"/>
      <c r="M663" s="652"/>
      <c r="N663" s="652"/>
      <c r="O663" s="652"/>
      <c r="P663" s="652"/>
      <c r="Q663" s="652"/>
      <c r="R663" s="652"/>
      <c r="S663" s="652"/>
      <c r="T663" s="652"/>
      <c r="U663" s="652"/>
      <c r="V663" s="652"/>
      <c r="W663" s="652"/>
      <c r="X663" s="653" t="s">
        <v>14</v>
      </c>
      <c r="Y663" s="702"/>
      <c r="Z663" s="702"/>
      <c r="AA663" s="702"/>
      <c r="AB663" s="638" t="s">
        <v>15</v>
      </c>
      <c r="AF663" s="640"/>
      <c r="AG663" s="641"/>
      <c r="AH663" s="641"/>
    </row>
    <row r="664" spans="1:34" ht="11.25" customHeight="1" x14ac:dyDescent="0.2">
      <c r="B664" s="648"/>
      <c r="C664" s="648"/>
      <c r="D664" s="648"/>
      <c r="E664" s="648"/>
      <c r="F664" s="650"/>
      <c r="G664" s="650"/>
      <c r="H664" s="414"/>
      <c r="I664" s="413" t="s">
        <v>266</v>
      </c>
      <c r="J664" s="414"/>
      <c r="K664" s="413" t="s">
        <v>267</v>
      </c>
      <c r="L664" s="414"/>
      <c r="M664" s="413" t="s">
        <v>519</v>
      </c>
      <c r="N664" s="414"/>
      <c r="O664" s="413" t="s">
        <v>17</v>
      </c>
      <c r="P664" s="414"/>
      <c r="Q664" s="413" t="s">
        <v>18</v>
      </c>
      <c r="R664" s="414"/>
      <c r="S664" s="413" t="s">
        <v>19</v>
      </c>
      <c r="T664" s="414"/>
      <c r="U664" s="413" t="s">
        <v>268</v>
      </c>
      <c r="V664" s="414"/>
      <c r="W664" s="413" t="s">
        <v>20</v>
      </c>
      <c r="X664" s="704"/>
      <c r="Y664" s="705"/>
      <c r="Z664" s="705"/>
      <c r="AA664" s="705"/>
      <c r="AB664" s="639"/>
    </row>
    <row r="665" spans="1:34" ht="12.6" customHeight="1" x14ac:dyDescent="0.2">
      <c r="A665" s="17"/>
      <c r="B665" s="846" t="s">
        <v>498</v>
      </c>
      <c r="C665" s="847"/>
      <c r="D665" s="847"/>
      <c r="E665" s="848"/>
      <c r="F665" s="283">
        <v>3816</v>
      </c>
      <c r="G665" s="272"/>
      <c r="H665" s="92"/>
      <c r="I665" s="283"/>
      <c r="J665" s="576">
        <f>F665+600</f>
        <v>4416</v>
      </c>
      <c r="K665" s="258">
        <f t="shared" ref="K665" si="2111">+J665*$X$1</f>
        <v>4416</v>
      </c>
      <c r="L665" s="576">
        <f>F665+550</f>
        <v>4366</v>
      </c>
      <c r="M665" s="258">
        <f t="shared" ref="M665" si="2112">+L665*$X$1</f>
        <v>4366</v>
      </c>
      <c r="N665" s="576">
        <f>F665+450</f>
        <v>4266</v>
      </c>
      <c r="O665" s="258">
        <f t="shared" ref="O665" si="2113">+N665*$X$1</f>
        <v>4266</v>
      </c>
      <c r="P665" s="576">
        <f>F665+410</f>
        <v>4226</v>
      </c>
      <c r="Q665" s="258">
        <f t="shared" ref="Q665" si="2114">+P665*$X$1</f>
        <v>4226</v>
      </c>
      <c r="R665" s="576">
        <f>F665+360</f>
        <v>4176</v>
      </c>
      <c r="S665" s="258">
        <f t="shared" ref="S665" si="2115">+R665*$X$1</f>
        <v>4176</v>
      </c>
      <c r="T665" s="576">
        <f>F665+320</f>
        <v>4136</v>
      </c>
      <c r="U665" s="258">
        <f t="shared" ref="U665" si="2116">+T665*$X$1</f>
        <v>4136</v>
      </c>
      <c r="V665" s="576">
        <f>F665+290</f>
        <v>4106</v>
      </c>
      <c r="W665" s="258">
        <f t="shared" ref="W665" si="2117">+V665*$X$1</f>
        <v>4106</v>
      </c>
      <c r="X665" s="130"/>
      <c r="Y665" s="131"/>
      <c r="Z665" s="131"/>
      <c r="AA665" s="131"/>
      <c r="AB665" s="367" t="s">
        <v>720</v>
      </c>
    </row>
    <row r="666" spans="1:34" ht="12.6" customHeight="1" x14ac:dyDescent="0.2">
      <c r="A666" s="17"/>
      <c r="B666" s="659" t="s">
        <v>922</v>
      </c>
      <c r="C666" s="660"/>
      <c r="D666" s="660"/>
      <c r="E666" s="661"/>
      <c r="F666" s="273">
        <v>4028</v>
      </c>
      <c r="G666" s="235"/>
      <c r="H666" s="93"/>
      <c r="I666" s="273"/>
      <c r="J666" s="559">
        <f>F666+600</f>
        <v>4628</v>
      </c>
      <c r="K666" s="257">
        <f t="shared" ref="K666" si="2118">+J666*$X$1</f>
        <v>4628</v>
      </c>
      <c r="L666" s="559">
        <f>F666+550</f>
        <v>4578</v>
      </c>
      <c r="M666" s="257">
        <f t="shared" ref="M666" si="2119">+L666*$X$1</f>
        <v>4578</v>
      </c>
      <c r="N666" s="559">
        <f>F666+450</f>
        <v>4478</v>
      </c>
      <c r="O666" s="257">
        <f t="shared" ref="O666" si="2120">+N666*$X$1</f>
        <v>4478</v>
      </c>
      <c r="P666" s="559">
        <f>F666+410</f>
        <v>4438</v>
      </c>
      <c r="Q666" s="257">
        <f t="shared" ref="Q666" si="2121">+P666*$X$1</f>
        <v>4438</v>
      </c>
      <c r="R666" s="559">
        <f>F666+360</f>
        <v>4388</v>
      </c>
      <c r="S666" s="257">
        <f t="shared" ref="S666" si="2122">+R666*$X$1</f>
        <v>4388</v>
      </c>
      <c r="T666" s="559">
        <f>F666+320</f>
        <v>4348</v>
      </c>
      <c r="U666" s="257">
        <f t="shared" ref="U666" si="2123">+T666*$X$1</f>
        <v>4348</v>
      </c>
      <c r="V666" s="559">
        <f>F666+290</f>
        <v>4318</v>
      </c>
      <c r="W666" s="257">
        <f t="shared" ref="W666" si="2124">+V666*$X$1</f>
        <v>4318</v>
      </c>
      <c r="X666" s="130"/>
      <c r="Y666" s="131"/>
      <c r="Z666" s="131"/>
      <c r="AA666" s="131"/>
      <c r="AB666" s="367" t="s">
        <v>939</v>
      </c>
    </row>
    <row r="667" spans="1:34" ht="12.6" customHeight="1" x14ac:dyDescent="0.2">
      <c r="A667" s="17"/>
      <c r="B667" s="659" t="s">
        <v>1023</v>
      </c>
      <c r="C667" s="660"/>
      <c r="D667" s="660"/>
      <c r="E667" s="661"/>
      <c r="F667" s="258">
        <f>16.82*X2</f>
        <v>22370.600000000002</v>
      </c>
      <c r="G667" s="619"/>
      <c r="H667" s="576">
        <f>F667+1400</f>
        <v>23770.600000000002</v>
      </c>
      <c r="I667" s="258">
        <f t="shared" ref="I667" si="2125">+H667*$X$1</f>
        <v>23770.600000000002</v>
      </c>
      <c r="J667" s="576">
        <f>F667+600</f>
        <v>22970.600000000002</v>
      </c>
      <c r="K667" s="258">
        <f t="shared" ref="K667" si="2126">+J667*$X$1</f>
        <v>22970.600000000002</v>
      </c>
      <c r="L667" s="576">
        <f>F667+550</f>
        <v>22920.600000000002</v>
      </c>
      <c r="M667" s="258">
        <f t="shared" ref="M667" si="2127">+L667*$X$1</f>
        <v>22920.600000000002</v>
      </c>
      <c r="N667" s="576">
        <f>F667+450</f>
        <v>22820.600000000002</v>
      </c>
      <c r="O667" s="258">
        <f t="shared" ref="O667" si="2128">+N667*$X$1</f>
        <v>22820.600000000002</v>
      </c>
      <c r="P667" s="576">
        <f>F667+410</f>
        <v>22780.600000000002</v>
      </c>
      <c r="Q667" s="258">
        <f t="shared" ref="Q667" si="2129">+P667*$X$1</f>
        <v>22780.600000000002</v>
      </c>
      <c r="R667" s="576">
        <f>F667+360</f>
        <v>22730.600000000002</v>
      </c>
      <c r="S667" s="258">
        <f t="shared" ref="S667" si="2130">+R667*$X$1</f>
        <v>22730.600000000002</v>
      </c>
      <c r="T667" s="576">
        <f>F667+320</f>
        <v>22690.600000000002</v>
      </c>
      <c r="U667" s="258">
        <f t="shared" ref="U667" si="2131">+T667*$X$1</f>
        <v>22690.600000000002</v>
      </c>
      <c r="V667" s="576">
        <f>F667+290</f>
        <v>22660.600000000002</v>
      </c>
      <c r="W667" s="258">
        <f t="shared" ref="W667" si="2132">+V667*$X$1</f>
        <v>22660.600000000002</v>
      </c>
      <c r="X667" s="130"/>
      <c r="Y667" s="131"/>
      <c r="Z667" s="131"/>
      <c r="AA667" s="131"/>
      <c r="AB667" s="367" t="s">
        <v>1022</v>
      </c>
    </row>
    <row r="668" spans="1:34" ht="12.6" customHeight="1" x14ac:dyDescent="0.2">
      <c r="A668" s="17"/>
      <c r="B668" s="678" t="s">
        <v>360</v>
      </c>
      <c r="C668" s="787"/>
      <c r="D668" s="787"/>
      <c r="E668" s="788"/>
      <c r="F668" s="257">
        <v>1400</v>
      </c>
      <c r="G668" s="235"/>
      <c r="H668" s="557"/>
      <c r="I668" s="257"/>
      <c r="J668" s="557"/>
      <c r="K668" s="257"/>
      <c r="L668" s="557">
        <f>F668+550</f>
        <v>1950</v>
      </c>
      <c r="M668" s="257">
        <f t="shared" ref="M668" si="2133">+L668*$X$1</f>
        <v>1950</v>
      </c>
      <c r="N668" s="557">
        <f>F668+450</f>
        <v>1850</v>
      </c>
      <c r="O668" s="257">
        <f t="shared" ref="O668" si="2134">+N668*$X$1</f>
        <v>1850</v>
      </c>
      <c r="P668" s="557">
        <f>F668+410</f>
        <v>1810</v>
      </c>
      <c r="Q668" s="257">
        <f t="shared" ref="Q668" si="2135">+P668*$X$1</f>
        <v>1810</v>
      </c>
      <c r="R668" s="557">
        <f>F668+360</f>
        <v>1760</v>
      </c>
      <c r="S668" s="257">
        <f t="shared" ref="S668" si="2136">+R668*$X$1</f>
        <v>1760</v>
      </c>
      <c r="T668" s="557">
        <f>F668+320</f>
        <v>1720</v>
      </c>
      <c r="U668" s="257">
        <f t="shared" ref="U668" si="2137">+T668*$X$1</f>
        <v>1720</v>
      </c>
      <c r="V668" s="557">
        <f>F668+290</f>
        <v>1690</v>
      </c>
      <c r="W668" s="257">
        <f t="shared" ref="W668" si="2138">+V668*$X$1</f>
        <v>1690</v>
      </c>
      <c r="X668" s="130"/>
      <c r="Y668" s="131"/>
      <c r="Z668" s="131"/>
      <c r="AA668" s="131"/>
      <c r="AB668" s="30"/>
    </row>
    <row r="669" spans="1:34" ht="12.6" customHeight="1" x14ac:dyDescent="0.2">
      <c r="A669" s="17"/>
      <c r="B669" s="687" t="s">
        <v>1021</v>
      </c>
      <c r="C669" s="688"/>
      <c r="D669" s="688"/>
      <c r="E669" s="689"/>
      <c r="F669" s="283">
        <v>4028</v>
      </c>
      <c r="G669" s="272"/>
      <c r="H669" s="406">
        <f>F669+1400</f>
        <v>5428</v>
      </c>
      <c r="I669" s="258">
        <f t="shared" ref="I669" si="2139">+H669*$X$1</f>
        <v>5428</v>
      </c>
      <c r="J669" s="406">
        <f>F669+600</f>
        <v>4628</v>
      </c>
      <c r="K669" s="258">
        <f t="shared" ref="K669" si="2140">+J669*$X$1</f>
        <v>4628</v>
      </c>
      <c r="L669" s="406">
        <f>F669+550</f>
        <v>4578</v>
      </c>
      <c r="M669" s="258">
        <f t="shared" ref="M669" si="2141">+L669*$X$1</f>
        <v>4578</v>
      </c>
      <c r="N669" s="406">
        <f>F669+450</f>
        <v>4478</v>
      </c>
      <c r="O669" s="258">
        <f t="shared" ref="O669" si="2142">+N669*$X$1</f>
        <v>4478</v>
      </c>
      <c r="P669" s="406">
        <f>F669+410</f>
        <v>4438</v>
      </c>
      <c r="Q669" s="258">
        <f t="shared" ref="Q669" si="2143">+P669*$X$1</f>
        <v>4438</v>
      </c>
      <c r="R669" s="406">
        <f>F669+360</f>
        <v>4388</v>
      </c>
      <c r="S669" s="258">
        <f t="shared" ref="S669" si="2144">+R669*$X$1</f>
        <v>4388</v>
      </c>
      <c r="T669" s="406">
        <f>F669+320</f>
        <v>4348</v>
      </c>
      <c r="U669" s="258">
        <f t="shared" ref="U669" si="2145">+T669*$X$1</f>
        <v>4348</v>
      </c>
      <c r="V669" s="406">
        <f>F669+290</f>
        <v>4318</v>
      </c>
      <c r="W669" s="258">
        <f t="shared" ref="W669" si="2146">+V669*$X$1</f>
        <v>4318</v>
      </c>
      <c r="X669" s="130"/>
      <c r="Y669" s="131"/>
      <c r="Z669" s="131"/>
      <c r="AA669" s="131"/>
      <c r="AB669" s="353" t="s">
        <v>721</v>
      </c>
    </row>
    <row r="670" spans="1:34" ht="12.6" customHeight="1" x14ac:dyDescent="0.2">
      <c r="A670" s="17"/>
      <c r="B670" s="1133" t="s">
        <v>269</v>
      </c>
      <c r="C670" s="1134"/>
      <c r="D670" s="1134"/>
      <c r="E670" s="1135"/>
      <c r="F670" s="510">
        <v>3318</v>
      </c>
      <c r="G670" s="235"/>
      <c r="H670" s="557"/>
      <c r="I670" s="257"/>
      <c r="J670" s="557">
        <f t="shared" ref="J670:J676" si="2147">F670+600</f>
        <v>3918</v>
      </c>
      <c r="K670" s="257">
        <f t="shared" ref="K670:K676" si="2148">+J670*$X$1</f>
        <v>3918</v>
      </c>
      <c r="L670" s="557">
        <f t="shared" ref="L670:L676" si="2149">F670+550</f>
        <v>3868</v>
      </c>
      <c r="M670" s="257">
        <f t="shared" ref="M670:M676" si="2150">+L670*$X$1</f>
        <v>3868</v>
      </c>
      <c r="N670" s="557">
        <f t="shared" ref="N670:N676" si="2151">F670+450</f>
        <v>3768</v>
      </c>
      <c r="O670" s="257">
        <f t="shared" ref="O670:O676" si="2152">+N670*$X$1</f>
        <v>3768</v>
      </c>
      <c r="P670" s="557">
        <f t="shared" ref="P670:P676" si="2153">F670+410</f>
        <v>3728</v>
      </c>
      <c r="Q670" s="257">
        <f t="shared" ref="Q670:Q676" si="2154">+P670*$X$1</f>
        <v>3728</v>
      </c>
      <c r="R670" s="557">
        <f t="shared" ref="R670:R676" si="2155">F670+360</f>
        <v>3678</v>
      </c>
      <c r="S670" s="257">
        <f t="shared" ref="S670:S676" si="2156">+R670*$X$1</f>
        <v>3678</v>
      </c>
      <c r="T670" s="557">
        <f t="shared" ref="T670:T676" si="2157">F670+320</f>
        <v>3638</v>
      </c>
      <c r="U670" s="257">
        <f t="shared" ref="U670:U676" si="2158">+T670*$X$1</f>
        <v>3638</v>
      </c>
      <c r="V670" s="557">
        <f t="shared" ref="V670:V676" si="2159">F670+290</f>
        <v>3608</v>
      </c>
      <c r="W670" s="257">
        <f t="shared" ref="W670:W676" si="2160">+V670*$X$1</f>
        <v>3608</v>
      </c>
      <c r="X670" s="130"/>
      <c r="Y670" s="131"/>
      <c r="Z670" s="131"/>
      <c r="AA670" s="131"/>
      <c r="AB670" s="353" t="s">
        <v>800</v>
      </c>
    </row>
    <row r="671" spans="1:34" ht="12.6" customHeight="1" x14ac:dyDescent="0.2">
      <c r="A671" s="17"/>
      <c r="B671" s="713" t="s">
        <v>270</v>
      </c>
      <c r="C671" s="771"/>
      <c r="D671" s="771"/>
      <c r="E671" s="771"/>
      <c r="F671" s="258">
        <v>3075</v>
      </c>
      <c r="G671" s="272"/>
      <c r="H671" s="406"/>
      <c r="I671" s="258"/>
      <c r="J671" s="406">
        <f t="shared" si="2147"/>
        <v>3675</v>
      </c>
      <c r="K671" s="258">
        <f t="shared" si="2148"/>
        <v>3675</v>
      </c>
      <c r="L671" s="406">
        <f t="shared" si="2149"/>
        <v>3625</v>
      </c>
      <c r="M671" s="258">
        <f t="shared" si="2150"/>
        <v>3625</v>
      </c>
      <c r="N671" s="406">
        <f t="shared" si="2151"/>
        <v>3525</v>
      </c>
      <c r="O671" s="258">
        <f t="shared" si="2152"/>
        <v>3525</v>
      </c>
      <c r="P671" s="406">
        <f t="shared" si="2153"/>
        <v>3485</v>
      </c>
      <c r="Q671" s="258">
        <f t="shared" si="2154"/>
        <v>3485</v>
      </c>
      <c r="R671" s="406">
        <f t="shared" si="2155"/>
        <v>3435</v>
      </c>
      <c r="S671" s="258">
        <f t="shared" si="2156"/>
        <v>3435</v>
      </c>
      <c r="T671" s="406">
        <f t="shared" si="2157"/>
        <v>3395</v>
      </c>
      <c r="U671" s="258">
        <f t="shared" si="2158"/>
        <v>3395</v>
      </c>
      <c r="V671" s="406">
        <f t="shared" si="2159"/>
        <v>3365</v>
      </c>
      <c r="W671" s="258">
        <f t="shared" si="2160"/>
        <v>3365</v>
      </c>
      <c r="X671" s="130"/>
      <c r="Y671" s="131"/>
      <c r="Z671" s="131"/>
      <c r="AA671" s="131"/>
      <c r="AB671" s="353" t="s">
        <v>722</v>
      </c>
    </row>
    <row r="672" spans="1:34" ht="12.6" customHeight="1" x14ac:dyDescent="0.2">
      <c r="A672" s="17"/>
      <c r="B672" s="773" t="s">
        <v>708</v>
      </c>
      <c r="C672" s="774"/>
      <c r="D672" s="774"/>
      <c r="E672" s="775"/>
      <c r="F672" s="273">
        <v>7740</v>
      </c>
      <c r="G672" s="235"/>
      <c r="H672" s="534">
        <f>F672+1400</f>
        <v>9140</v>
      </c>
      <c r="I672" s="257">
        <f t="shared" ref="I672:I673" si="2161">+H672*$X$1</f>
        <v>9140</v>
      </c>
      <c r="J672" s="534">
        <f t="shared" si="2147"/>
        <v>8340</v>
      </c>
      <c r="K672" s="257">
        <f t="shared" si="2148"/>
        <v>8340</v>
      </c>
      <c r="L672" s="534">
        <f t="shared" si="2149"/>
        <v>8290</v>
      </c>
      <c r="M672" s="257">
        <f t="shared" si="2150"/>
        <v>8290</v>
      </c>
      <c r="N672" s="534">
        <f t="shared" si="2151"/>
        <v>8190</v>
      </c>
      <c r="O672" s="257">
        <f t="shared" si="2152"/>
        <v>8190</v>
      </c>
      <c r="P672" s="534">
        <f t="shared" si="2153"/>
        <v>8150</v>
      </c>
      <c r="Q672" s="257">
        <f t="shared" si="2154"/>
        <v>8150</v>
      </c>
      <c r="R672" s="534">
        <f t="shared" si="2155"/>
        <v>8100</v>
      </c>
      <c r="S672" s="257">
        <f t="shared" si="2156"/>
        <v>8100</v>
      </c>
      <c r="T672" s="534">
        <f t="shared" si="2157"/>
        <v>8060</v>
      </c>
      <c r="U672" s="257">
        <f t="shared" si="2158"/>
        <v>8060</v>
      </c>
      <c r="V672" s="534">
        <f t="shared" si="2159"/>
        <v>8030</v>
      </c>
      <c r="W672" s="257">
        <f t="shared" si="2160"/>
        <v>8030</v>
      </c>
      <c r="X672" s="130"/>
      <c r="Y672" s="131"/>
      <c r="Z672" s="131"/>
      <c r="AA672" s="131"/>
      <c r="AB672" s="30"/>
    </row>
    <row r="673" spans="1:34" ht="12.6" customHeight="1" x14ac:dyDescent="0.2">
      <c r="A673" s="17"/>
      <c r="B673" s="687" t="s">
        <v>457</v>
      </c>
      <c r="C673" s="688"/>
      <c r="D673" s="688"/>
      <c r="E673" s="689"/>
      <c r="F673" s="283">
        <v>7420</v>
      </c>
      <c r="G673" s="272"/>
      <c r="H673" s="406">
        <f>F673+1400</f>
        <v>8820</v>
      </c>
      <c r="I673" s="258">
        <f t="shared" si="2161"/>
        <v>8820</v>
      </c>
      <c r="J673" s="406">
        <f t="shared" si="2147"/>
        <v>8020</v>
      </c>
      <c r="K673" s="258">
        <f t="shared" si="2148"/>
        <v>8020</v>
      </c>
      <c r="L673" s="406">
        <f t="shared" si="2149"/>
        <v>7970</v>
      </c>
      <c r="M673" s="258">
        <f t="shared" si="2150"/>
        <v>7970</v>
      </c>
      <c r="N673" s="406">
        <f t="shared" si="2151"/>
        <v>7870</v>
      </c>
      <c r="O673" s="258">
        <f t="shared" si="2152"/>
        <v>7870</v>
      </c>
      <c r="P673" s="406">
        <f t="shared" si="2153"/>
        <v>7830</v>
      </c>
      <c r="Q673" s="258">
        <f t="shared" si="2154"/>
        <v>7830</v>
      </c>
      <c r="R673" s="406">
        <f t="shared" si="2155"/>
        <v>7780</v>
      </c>
      <c r="S673" s="258">
        <f t="shared" si="2156"/>
        <v>7780</v>
      </c>
      <c r="T673" s="406">
        <f t="shared" si="2157"/>
        <v>7740</v>
      </c>
      <c r="U673" s="258">
        <f t="shared" si="2158"/>
        <v>7740</v>
      </c>
      <c r="V673" s="406">
        <f t="shared" si="2159"/>
        <v>7710</v>
      </c>
      <c r="W673" s="258">
        <f t="shared" si="2160"/>
        <v>7710</v>
      </c>
      <c r="X673" s="130"/>
      <c r="Y673" s="131"/>
      <c r="Z673" s="131"/>
      <c r="AA673" s="131"/>
      <c r="AB673" s="30"/>
    </row>
    <row r="674" spans="1:34" ht="12.6" customHeight="1" x14ac:dyDescent="0.2">
      <c r="A674" s="4"/>
      <c r="B674" s="883" t="s">
        <v>404</v>
      </c>
      <c r="C674" s="679"/>
      <c r="D674" s="679"/>
      <c r="E674" s="680"/>
      <c r="F674" s="257">
        <v>1900</v>
      </c>
      <c r="G674" s="235"/>
      <c r="H674" s="534"/>
      <c r="I674" s="257"/>
      <c r="J674" s="534">
        <f t="shared" si="2147"/>
        <v>2500</v>
      </c>
      <c r="K674" s="257">
        <f t="shared" si="2148"/>
        <v>2500</v>
      </c>
      <c r="L674" s="534">
        <f t="shared" si="2149"/>
        <v>2450</v>
      </c>
      <c r="M674" s="257">
        <f t="shared" si="2150"/>
        <v>2450</v>
      </c>
      <c r="N674" s="534">
        <f t="shared" si="2151"/>
        <v>2350</v>
      </c>
      <c r="O674" s="257">
        <f t="shared" si="2152"/>
        <v>2350</v>
      </c>
      <c r="P674" s="534">
        <f t="shared" si="2153"/>
        <v>2310</v>
      </c>
      <c r="Q674" s="257">
        <f t="shared" si="2154"/>
        <v>2310</v>
      </c>
      <c r="R674" s="534">
        <f t="shared" si="2155"/>
        <v>2260</v>
      </c>
      <c r="S674" s="257">
        <f t="shared" si="2156"/>
        <v>2260</v>
      </c>
      <c r="T674" s="534">
        <f t="shared" si="2157"/>
        <v>2220</v>
      </c>
      <c r="U674" s="257">
        <f t="shared" si="2158"/>
        <v>2220</v>
      </c>
      <c r="V674" s="534">
        <f t="shared" si="2159"/>
        <v>2190</v>
      </c>
      <c r="W674" s="257">
        <f t="shared" si="2160"/>
        <v>2190</v>
      </c>
      <c r="X674" s="130"/>
      <c r="Y674" s="119"/>
      <c r="Z674" s="132"/>
      <c r="AA674" s="132"/>
      <c r="AB674" s="353" t="s">
        <v>403</v>
      </c>
    </row>
    <row r="675" spans="1:34" ht="12.6" customHeight="1" x14ac:dyDescent="0.2">
      <c r="A675" s="4"/>
      <c r="B675" s="735" t="s">
        <v>402</v>
      </c>
      <c r="C675" s="688"/>
      <c r="D675" s="688"/>
      <c r="E675" s="689"/>
      <c r="F675" s="258">
        <v>1900</v>
      </c>
      <c r="G675" s="272"/>
      <c r="H675" s="406"/>
      <c r="I675" s="258"/>
      <c r="J675" s="406">
        <f t="shared" si="2147"/>
        <v>2500</v>
      </c>
      <c r="K675" s="258">
        <f t="shared" si="2148"/>
        <v>2500</v>
      </c>
      <c r="L675" s="406">
        <f t="shared" si="2149"/>
        <v>2450</v>
      </c>
      <c r="M675" s="258">
        <f t="shared" si="2150"/>
        <v>2450</v>
      </c>
      <c r="N675" s="406">
        <f t="shared" si="2151"/>
        <v>2350</v>
      </c>
      <c r="O675" s="258">
        <f t="shared" si="2152"/>
        <v>2350</v>
      </c>
      <c r="P675" s="406">
        <f t="shared" si="2153"/>
        <v>2310</v>
      </c>
      <c r="Q675" s="258">
        <f t="shared" si="2154"/>
        <v>2310</v>
      </c>
      <c r="R675" s="406">
        <f t="shared" si="2155"/>
        <v>2260</v>
      </c>
      <c r="S675" s="258">
        <f t="shared" si="2156"/>
        <v>2260</v>
      </c>
      <c r="T675" s="406">
        <f t="shared" si="2157"/>
        <v>2220</v>
      </c>
      <c r="U675" s="258">
        <f t="shared" si="2158"/>
        <v>2220</v>
      </c>
      <c r="V675" s="406">
        <f t="shared" si="2159"/>
        <v>2190</v>
      </c>
      <c r="W675" s="258">
        <f t="shared" si="2160"/>
        <v>2190</v>
      </c>
      <c r="X675" s="130"/>
      <c r="Y675" s="119"/>
      <c r="Z675" s="132"/>
      <c r="AA675" s="132"/>
      <c r="AB675" s="353" t="s">
        <v>399</v>
      </c>
    </row>
    <row r="676" spans="1:34" ht="12.6" customHeight="1" x14ac:dyDescent="0.2">
      <c r="A676" s="4"/>
      <c r="B676" s="883" t="s">
        <v>400</v>
      </c>
      <c r="C676" s="679"/>
      <c r="D676" s="679"/>
      <c r="E676" s="680"/>
      <c r="F676" s="257">
        <v>2800</v>
      </c>
      <c r="G676" s="235"/>
      <c r="H676" s="534"/>
      <c r="I676" s="257"/>
      <c r="J676" s="534">
        <f t="shared" si="2147"/>
        <v>3400</v>
      </c>
      <c r="K676" s="257">
        <f t="shared" si="2148"/>
        <v>3400</v>
      </c>
      <c r="L676" s="534">
        <f t="shared" si="2149"/>
        <v>3350</v>
      </c>
      <c r="M676" s="257">
        <f t="shared" si="2150"/>
        <v>3350</v>
      </c>
      <c r="N676" s="534">
        <f t="shared" si="2151"/>
        <v>3250</v>
      </c>
      <c r="O676" s="257">
        <f t="shared" si="2152"/>
        <v>3250</v>
      </c>
      <c r="P676" s="534">
        <f t="shared" si="2153"/>
        <v>3210</v>
      </c>
      <c r="Q676" s="257">
        <f t="shared" si="2154"/>
        <v>3210</v>
      </c>
      <c r="R676" s="534">
        <f t="shared" si="2155"/>
        <v>3160</v>
      </c>
      <c r="S676" s="257">
        <f t="shared" si="2156"/>
        <v>3160</v>
      </c>
      <c r="T676" s="534">
        <f t="shared" si="2157"/>
        <v>3120</v>
      </c>
      <c r="U676" s="257">
        <f t="shared" si="2158"/>
        <v>3120</v>
      </c>
      <c r="V676" s="534">
        <f t="shared" si="2159"/>
        <v>3090</v>
      </c>
      <c r="W676" s="257">
        <f t="shared" si="2160"/>
        <v>3090</v>
      </c>
      <c r="X676" s="130"/>
      <c r="Y676" s="119"/>
      <c r="Z676" s="132"/>
      <c r="AA676" s="132"/>
      <c r="AB676" s="353" t="s">
        <v>401</v>
      </c>
    </row>
    <row r="677" spans="1:34" ht="12.6" customHeight="1" x14ac:dyDescent="0.2">
      <c r="A677" s="4"/>
      <c r="B677" s="681" t="s">
        <v>962</v>
      </c>
      <c r="C677" s="662"/>
      <c r="D677" s="662"/>
      <c r="E677" s="663"/>
      <c r="F677" s="258">
        <v>2800</v>
      </c>
      <c r="G677" s="272"/>
      <c r="H677" s="574"/>
      <c r="I677" s="258"/>
      <c r="J677" s="574">
        <f t="shared" ref="J677" si="2162">F677+600</f>
        <v>3400</v>
      </c>
      <c r="K677" s="258">
        <f t="shared" ref="K677" si="2163">+J677*$X$1</f>
        <v>3400</v>
      </c>
      <c r="L677" s="574">
        <f t="shared" ref="L677" si="2164">F677+550</f>
        <v>3350</v>
      </c>
      <c r="M677" s="258">
        <f t="shared" ref="M677" si="2165">+L677*$X$1</f>
        <v>3350</v>
      </c>
      <c r="N677" s="574">
        <f t="shared" ref="N677" si="2166">F677+450</f>
        <v>3250</v>
      </c>
      <c r="O677" s="258">
        <f t="shared" ref="O677" si="2167">+N677*$X$1</f>
        <v>3250</v>
      </c>
      <c r="P677" s="574">
        <f t="shared" ref="P677" si="2168">F677+410</f>
        <v>3210</v>
      </c>
      <c r="Q677" s="258">
        <f t="shared" ref="Q677" si="2169">+P677*$X$1</f>
        <v>3210</v>
      </c>
      <c r="R677" s="574">
        <f t="shared" ref="R677" si="2170">F677+360</f>
        <v>3160</v>
      </c>
      <c r="S677" s="258">
        <f t="shared" ref="S677" si="2171">+R677*$X$1</f>
        <v>3160</v>
      </c>
      <c r="T677" s="574">
        <f t="shared" ref="T677" si="2172">F677+320</f>
        <v>3120</v>
      </c>
      <c r="U677" s="258">
        <f t="shared" ref="U677" si="2173">+T677*$X$1</f>
        <v>3120</v>
      </c>
      <c r="V677" s="574">
        <f t="shared" ref="V677" si="2174">F677+290</f>
        <v>3090</v>
      </c>
      <c r="W677" s="258">
        <f t="shared" ref="W677" si="2175">+V677*$X$1</f>
        <v>3090</v>
      </c>
      <c r="X677" s="130"/>
      <c r="Y677" s="119"/>
      <c r="Z677" s="132"/>
      <c r="AA677" s="132"/>
      <c r="AB677" s="353"/>
    </row>
    <row r="678" spans="1:34" ht="12.6" customHeight="1" x14ac:dyDescent="0.2">
      <c r="A678" s="4"/>
      <c r="B678" s="724" t="s">
        <v>271</v>
      </c>
      <c r="C678" s="684"/>
      <c r="D678" s="684"/>
      <c r="E678" s="684"/>
      <c r="F678" s="342"/>
      <c r="G678" s="87"/>
      <c r="H678" s="559"/>
      <c r="I678" s="559"/>
      <c r="J678" s="559"/>
      <c r="K678" s="559"/>
      <c r="L678" s="559"/>
      <c r="M678" s="559"/>
      <c r="N678" s="559"/>
      <c r="O678" s="559"/>
      <c r="P678" s="559"/>
      <c r="Q678" s="559"/>
      <c r="R678" s="559"/>
      <c r="S678" s="559"/>
      <c r="T678" s="559"/>
      <c r="U678" s="559"/>
      <c r="V678" s="559"/>
      <c r="W678" s="559"/>
      <c r="X678" s="127"/>
      <c r="Y678" s="122"/>
      <c r="Z678" s="128"/>
      <c r="AA678" s="129"/>
      <c r="AB678" s="353">
        <v>986</v>
      </c>
    </row>
    <row r="679" spans="1:34" ht="12.6" customHeight="1" x14ac:dyDescent="0.2">
      <c r="A679" s="4"/>
      <c r="B679" s="669" t="s">
        <v>329</v>
      </c>
      <c r="C679" s="737"/>
      <c r="D679" s="737"/>
      <c r="E679" s="737"/>
      <c r="F679" s="90"/>
      <c r="G679" s="85"/>
      <c r="H679" s="574"/>
      <c r="I679" s="574"/>
      <c r="J679" s="574"/>
      <c r="K679" s="574"/>
      <c r="L679" s="574"/>
      <c r="M679" s="574"/>
      <c r="N679" s="574"/>
      <c r="O679" s="574"/>
      <c r="P679" s="574"/>
      <c r="Q679" s="574"/>
      <c r="R679" s="574"/>
      <c r="S679" s="574"/>
      <c r="T679" s="574"/>
      <c r="U679" s="574"/>
      <c r="V679" s="574"/>
      <c r="W679" s="574"/>
      <c r="X679" s="127"/>
      <c r="Y679" s="122"/>
      <c r="Z679" s="128"/>
      <c r="AA679" s="129"/>
      <c r="AB679" s="353">
        <v>987</v>
      </c>
    </row>
    <row r="680" spans="1:34" ht="12.6" customHeight="1" x14ac:dyDescent="0.2">
      <c r="A680" s="4"/>
      <c r="B680" s="724" t="s">
        <v>272</v>
      </c>
      <c r="C680" s="673"/>
      <c r="D680" s="673"/>
      <c r="E680" s="673"/>
      <c r="F680" s="559"/>
      <c r="G680" s="87"/>
      <c r="H680" s="559"/>
      <c r="I680" s="559"/>
      <c r="J680" s="559"/>
      <c r="K680" s="559"/>
      <c r="L680" s="559"/>
      <c r="M680" s="559"/>
      <c r="N680" s="559"/>
      <c r="O680" s="559"/>
      <c r="P680" s="559"/>
      <c r="Q680" s="559"/>
      <c r="R680" s="559"/>
      <c r="S680" s="559"/>
      <c r="T680" s="559"/>
      <c r="U680" s="559"/>
      <c r="V680" s="559"/>
      <c r="W680" s="559"/>
      <c r="X680" s="127"/>
      <c r="Y680" s="122"/>
      <c r="Z680" s="128"/>
      <c r="AA680" s="129"/>
      <c r="AB680" s="353">
        <v>989</v>
      </c>
    </row>
    <row r="681" spans="1:34" ht="13.5" customHeight="1" x14ac:dyDescent="0.2">
      <c r="A681" s="4"/>
      <c r="B681" s="98"/>
      <c r="C681" s="184"/>
      <c r="D681" s="184"/>
      <c r="E681" s="184"/>
      <c r="F681" s="106"/>
      <c r="G681" s="106"/>
      <c r="H681" s="106"/>
      <c r="I681" s="106"/>
      <c r="J681" s="106"/>
      <c r="K681" s="106"/>
      <c r="L681" s="106"/>
      <c r="M681" s="106"/>
      <c r="N681" s="106"/>
      <c r="O681" s="106"/>
      <c r="P681" s="106"/>
      <c r="Q681" s="106"/>
      <c r="R681" s="106"/>
      <c r="S681" s="106"/>
      <c r="T681" s="106"/>
      <c r="U681" s="106"/>
      <c r="V681" s="106"/>
      <c r="W681" s="106"/>
      <c r="X681" s="185"/>
      <c r="Y681" s="71"/>
      <c r="Z681" s="186"/>
      <c r="AA681" s="186"/>
      <c r="AB681" s="36"/>
    </row>
    <row r="682" spans="1:34" ht="15.75" customHeight="1" x14ac:dyDescent="0.2">
      <c r="B682" s="1020" t="s">
        <v>273</v>
      </c>
      <c r="C682" s="1021"/>
      <c r="D682" s="1021"/>
      <c r="E682" s="1021"/>
      <c r="F682" s="1021"/>
      <c r="G682" s="1021"/>
      <c r="H682" s="1021"/>
      <c r="I682" s="1021"/>
      <c r="J682" s="1021"/>
      <c r="K682" s="1021"/>
      <c r="L682" s="1021"/>
      <c r="M682" s="1021"/>
      <c r="N682" s="1021"/>
      <c r="O682" s="1021"/>
      <c r="P682" s="1021"/>
      <c r="Q682" s="1021"/>
      <c r="R682" s="1021"/>
      <c r="S682" s="1021"/>
      <c r="T682" s="1098"/>
      <c r="U682" s="1098"/>
      <c r="V682" s="1099"/>
      <c r="W682" s="1099"/>
      <c r="AB682" s="4"/>
    </row>
    <row r="683" spans="1:34" ht="14.25" customHeight="1" x14ac:dyDescent="0.2">
      <c r="B683" s="647" t="s">
        <v>11</v>
      </c>
      <c r="C683" s="647" t="s">
        <v>12</v>
      </c>
      <c r="D683" s="648"/>
      <c r="E683" s="648"/>
      <c r="F683" s="649" t="s">
        <v>265</v>
      </c>
      <c r="G683" s="649" t="s">
        <v>13</v>
      </c>
      <c r="H683" s="651" t="s">
        <v>742</v>
      </c>
      <c r="I683" s="651"/>
      <c r="J683" s="652"/>
      <c r="K683" s="652"/>
      <c r="L683" s="652"/>
      <c r="M683" s="652"/>
      <c r="N683" s="652"/>
      <c r="O683" s="652"/>
      <c r="P683" s="652"/>
      <c r="Q683" s="652"/>
      <c r="R683" s="652"/>
      <c r="S683" s="652"/>
      <c r="T683" s="652"/>
      <c r="U683" s="652"/>
      <c r="V683" s="652"/>
      <c r="W683" s="652"/>
      <c r="X683" s="653" t="s">
        <v>14</v>
      </c>
      <c r="Y683" s="654"/>
      <c r="Z683" s="654"/>
      <c r="AA683" s="655"/>
      <c r="AB683" s="638" t="s">
        <v>15</v>
      </c>
      <c r="AF683" s="640" t="s">
        <v>3</v>
      </c>
      <c r="AG683" s="641"/>
      <c r="AH683" s="641"/>
    </row>
    <row r="684" spans="1:34" ht="12" customHeight="1" x14ac:dyDescent="0.2">
      <c r="B684" s="648"/>
      <c r="C684" s="648"/>
      <c r="D684" s="648"/>
      <c r="E684" s="648"/>
      <c r="F684" s="650"/>
      <c r="G684" s="650"/>
      <c r="H684" s="412"/>
      <c r="I684" s="413" t="s">
        <v>517</v>
      </c>
      <c r="J684" s="412"/>
      <c r="K684" s="413" t="s">
        <v>266</v>
      </c>
      <c r="L684" s="413"/>
      <c r="M684" s="413" t="s">
        <v>267</v>
      </c>
      <c r="N684" s="413"/>
      <c r="O684" s="413" t="s">
        <v>519</v>
      </c>
      <c r="P684" s="413"/>
      <c r="Q684" s="413" t="s">
        <v>17</v>
      </c>
      <c r="R684" s="413"/>
      <c r="S684" s="413" t="s">
        <v>18</v>
      </c>
      <c r="T684" s="413"/>
      <c r="U684" s="413" t="s">
        <v>19</v>
      </c>
      <c r="V684" s="413"/>
      <c r="W684" s="413" t="s">
        <v>520</v>
      </c>
      <c r="X684" s="656"/>
      <c r="Y684" s="657"/>
      <c r="Z684" s="657"/>
      <c r="AA684" s="658"/>
      <c r="AB684" s="639"/>
    </row>
    <row r="685" spans="1:34" ht="12.6" customHeight="1" x14ac:dyDescent="0.2">
      <c r="B685" s="873" t="s">
        <v>693</v>
      </c>
      <c r="C685" s="873"/>
      <c r="D685" s="873"/>
      <c r="E685" s="873"/>
      <c r="F685" s="586">
        <f>21.73*X2</f>
        <v>28900.9</v>
      </c>
      <c r="G685" s="273">
        <f>+F685*$X$1</f>
        <v>28900.9</v>
      </c>
      <c r="H685" s="93">
        <f>F685+4000</f>
        <v>32900.9</v>
      </c>
      <c r="I685" s="273">
        <f t="shared" ref="I685" si="2176">+H685*$X$1</f>
        <v>32900.9</v>
      </c>
      <c r="J685" s="68">
        <f>F685+1000</f>
        <v>29900.9</v>
      </c>
      <c r="K685" s="257">
        <f>+J685*$X$1</f>
        <v>29900.9</v>
      </c>
      <c r="L685" s="559">
        <f>F685+650</f>
        <v>29550.9</v>
      </c>
      <c r="M685" s="257">
        <f>+L685*$X$1</f>
        <v>29550.9</v>
      </c>
      <c r="N685" s="559">
        <f>F685+500</f>
        <v>29400.9</v>
      </c>
      <c r="O685" s="257">
        <f>+N685*$X$1</f>
        <v>29400.9</v>
      </c>
      <c r="P685" s="559">
        <f>F685+400</f>
        <v>29300.9</v>
      </c>
      <c r="Q685" s="257">
        <f>+P685*$X$1</f>
        <v>29300.9</v>
      </c>
      <c r="R685" s="559">
        <f>F685+330</f>
        <v>29230.9</v>
      </c>
      <c r="S685" s="257">
        <f>+R685*$X$1</f>
        <v>29230.9</v>
      </c>
      <c r="T685" s="559">
        <f>F685+280</f>
        <v>29180.9</v>
      </c>
      <c r="U685" s="257">
        <f>+T685*$X$1</f>
        <v>29180.9</v>
      </c>
      <c r="V685" s="559">
        <f>F685+230</f>
        <v>29130.9</v>
      </c>
      <c r="W685" s="257">
        <f>+V685*$X$1</f>
        <v>29130.9</v>
      </c>
      <c r="X685" s="403"/>
      <c r="Y685" s="124"/>
      <c r="Z685" s="122"/>
      <c r="AA685" s="125"/>
      <c r="AB685" s="373" t="s">
        <v>694</v>
      </c>
    </row>
    <row r="686" spans="1:34" ht="12.6" customHeight="1" x14ac:dyDescent="0.2">
      <c r="B686" s="669" t="s">
        <v>274</v>
      </c>
      <c r="C686" s="669"/>
      <c r="D686" s="669"/>
      <c r="E686" s="669"/>
      <c r="F686" s="400"/>
      <c r="G686" s="576"/>
      <c r="H686" s="95"/>
      <c r="I686" s="95"/>
      <c r="J686" s="576"/>
      <c r="K686" s="576"/>
      <c r="L686" s="576"/>
      <c r="M686" s="576"/>
      <c r="N686" s="104"/>
      <c r="O686" s="576"/>
      <c r="P686" s="576"/>
      <c r="Q686" s="576"/>
      <c r="R686" s="576"/>
      <c r="S686" s="576"/>
      <c r="T686" s="576"/>
      <c r="U686" s="576"/>
      <c r="V686" s="251"/>
      <c r="W686" s="506"/>
      <c r="X686" s="122"/>
      <c r="Y686" s="122"/>
      <c r="Z686" s="122"/>
      <c r="AA686" s="125"/>
      <c r="AB686" s="372" t="s">
        <v>275</v>
      </c>
    </row>
    <row r="687" spans="1:34" ht="12.6" customHeight="1" x14ac:dyDescent="0.2">
      <c r="B687" s="724" t="s">
        <v>276</v>
      </c>
      <c r="C687" s="724"/>
      <c r="D687" s="724"/>
      <c r="E687" s="724"/>
      <c r="F687" s="105"/>
      <c r="G687" s="559"/>
      <c r="H687" s="91"/>
      <c r="I687" s="91"/>
      <c r="J687" s="559"/>
      <c r="K687" s="559"/>
      <c r="L687" s="559"/>
      <c r="M687" s="559"/>
      <c r="N687" s="103"/>
      <c r="O687" s="559"/>
      <c r="P687" s="559"/>
      <c r="Q687" s="559"/>
      <c r="R687" s="559"/>
      <c r="S687" s="559"/>
      <c r="T687" s="559"/>
      <c r="U687" s="559"/>
      <c r="V687" s="252"/>
      <c r="W687" s="507"/>
      <c r="X687" s="122"/>
      <c r="Y687" s="122"/>
      <c r="Z687" s="122"/>
      <c r="AA687" s="125"/>
      <c r="AB687" s="372" t="s">
        <v>277</v>
      </c>
    </row>
    <row r="688" spans="1:34" ht="12.6" customHeight="1" x14ac:dyDescent="0.2">
      <c r="B688" s="669" t="s">
        <v>658</v>
      </c>
      <c r="C688" s="669"/>
      <c r="D688" s="669"/>
      <c r="E688" s="669"/>
      <c r="F688" s="402">
        <f>20.59*X2</f>
        <v>27384.7</v>
      </c>
      <c r="G688" s="258">
        <f>+F688*$X$1</f>
        <v>27384.7</v>
      </c>
      <c r="H688" s="576">
        <f>F688+4000</f>
        <v>31384.7</v>
      </c>
      <c r="I688" s="258">
        <f t="shared" ref="I688" si="2177">+H688*$X$1</f>
        <v>31384.7</v>
      </c>
      <c r="J688" s="576">
        <f>F688+1000</f>
        <v>28384.7</v>
      </c>
      <c r="K688" s="258">
        <f t="shared" ref="K688" si="2178">+J688*$X$1</f>
        <v>28384.7</v>
      </c>
      <c r="L688" s="576">
        <f>F688+700</f>
        <v>28084.7</v>
      </c>
      <c r="M688" s="258">
        <f t="shared" ref="M688" si="2179">+L688*$X$1</f>
        <v>28084.7</v>
      </c>
      <c r="N688" s="576">
        <f>F688+600</f>
        <v>27984.7</v>
      </c>
      <c r="O688" s="258">
        <f t="shared" ref="O688" si="2180">+N688*$X$1</f>
        <v>27984.7</v>
      </c>
      <c r="P688" s="576">
        <f>F688+500</f>
        <v>27884.7</v>
      </c>
      <c r="Q688" s="258">
        <f t="shared" ref="Q688" si="2181">+P688*$X$1</f>
        <v>27884.7</v>
      </c>
      <c r="R688" s="576">
        <f>F688+430</f>
        <v>27814.7</v>
      </c>
      <c r="S688" s="258">
        <f t="shared" ref="S688" si="2182">+R688*$X$1</f>
        <v>27814.7</v>
      </c>
      <c r="T688" s="576">
        <f>F688+370</f>
        <v>27754.7</v>
      </c>
      <c r="U688" s="258">
        <f t="shared" ref="U688" si="2183">+T688*$X$1</f>
        <v>27754.7</v>
      </c>
      <c r="V688" s="576">
        <f>F688+310</f>
        <v>27694.7</v>
      </c>
      <c r="W688" s="258">
        <f t="shared" ref="W688" si="2184">+V688*$X$1</f>
        <v>27694.7</v>
      </c>
      <c r="X688" s="397"/>
      <c r="Y688" s="124"/>
      <c r="Z688" s="122"/>
      <c r="AA688" s="125"/>
      <c r="AB688" s="372" t="s">
        <v>659</v>
      </c>
    </row>
    <row r="689" spans="1:38" ht="12.6" customHeight="1" x14ac:dyDescent="0.2">
      <c r="B689" s="724" t="s">
        <v>794</v>
      </c>
      <c r="C689" s="724"/>
      <c r="D689" s="724"/>
      <c r="E689" s="724"/>
      <c r="F689" s="401">
        <f>22.35*X2</f>
        <v>29725.500000000004</v>
      </c>
      <c r="G689" s="257">
        <f>+F689*$X$1</f>
        <v>29725.500000000004</v>
      </c>
      <c r="H689" s="93"/>
      <c r="I689" s="273"/>
      <c r="J689" s="93">
        <f>F689+1200</f>
        <v>30925.500000000004</v>
      </c>
      <c r="K689" s="273">
        <f t="shared" ref="K689:K690" si="2185">+J689*$X$1</f>
        <v>30925.500000000004</v>
      </c>
      <c r="L689" s="93">
        <f>F689+900</f>
        <v>30625.500000000004</v>
      </c>
      <c r="M689" s="273">
        <f t="shared" ref="M689:M690" si="2186">+L689*$X$1</f>
        <v>30625.500000000004</v>
      </c>
      <c r="N689" s="93">
        <f>F689+700</f>
        <v>30425.500000000004</v>
      </c>
      <c r="O689" s="273">
        <f t="shared" ref="O689:O690" si="2187">+N689*$X$1</f>
        <v>30425.500000000004</v>
      </c>
      <c r="P689" s="93">
        <f>F689+620</f>
        <v>30345.500000000004</v>
      </c>
      <c r="Q689" s="273">
        <f t="shared" ref="Q689:Q690" si="2188">+P689*$X$1</f>
        <v>30345.500000000004</v>
      </c>
      <c r="R689" s="93"/>
      <c r="S689" s="273"/>
      <c r="T689" s="93"/>
      <c r="U689" s="273"/>
      <c r="V689" s="93"/>
      <c r="W689" s="273"/>
      <c r="X689" s="454"/>
      <c r="Y689" s="124"/>
      <c r="Z689" s="122"/>
      <c r="AA689" s="125"/>
      <c r="AB689" s="372" t="s">
        <v>793</v>
      </c>
    </row>
    <row r="690" spans="1:38" ht="12.6" customHeight="1" x14ac:dyDescent="0.2">
      <c r="B690" s="669" t="s">
        <v>660</v>
      </c>
      <c r="C690" s="669"/>
      <c r="D690" s="669"/>
      <c r="E690" s="669"/>
      <c r="F690" s="402">
        <f>38.5*X2</f>
        <v>51205</v>
      </c>
      <c r="G690" s="258">
        <f>+F690*$X$1</f>
        <v>51205</v>
      </c>
      <c r="H690" s="576">
        <f>F690+4000</f>
        <v>55205</v>
      </c>
      <c r="I690" s="258">
        <f t="shared" ref="I690" si="2189">+H690*$X$1</f>
        <v>55205</v>
      </c>
      <c r="J690" s="576">
        <f>F690+1000</f>
        <v>52205</v>
      </c>
      <c r="K690" s="258">
        <f t="shared" si="2185"/>
        <v>52205</v>
      </c>
      <c r="L690" s="576">
        <f>F690+700</f>
        <v>51905</v>
      </c>
      <c r="M690" s="258">
        <f t="shared" si="2186"/>
        <v>51905</v>
      </c>
      <c r="N690" s="576">
        <f>F690+600</f>
        <v>51805</v>
      </c>
      <c r="O690" s="258">
        <f t="shared" si="2187"/>
        <v>51805</v>
      </c>
      <c r="P690" s="576">
        <f>F690+500</f>
        <v>51705</v>
      </c>
      <c r="Q690" s="258">
        <f t="shared" si="2188"/>
        <v>51705</v>
      </c>
      <c r="R690" s="576">
        <f>F690+430</f>
        <v>51635</v>
      </c>
      <c r="S690" s="258">
        <f t="shared" ref="S690" si="2190">+R690*$X$1</f>
        <v>51635</v>
      </c>
      <c r="T690" s="576">
        <f>F690+370</f>
        <v>51575</v>
      </c>
      <c r="U690" s="258">
        <f t="shared" ref="U690" si="2191">+T690*$X$1</f>
        <v>51575</v>
      </c>
      <c r="V690" s="576">
        <f>F690+310</f>
        <v>51515</v>
      </c>
      <c r="W690" s="258">
        <f t="shared" ref="W690" si="2192">+V690*$X$1</f>
        <v>51515</v>
      </c>
      <c r="X690" s="397"/>
      <c r="Y690" s="124"/>
      <c r="Z690" s="122"/>
      <c r="AA690" s="125"/>
      <c r="AB690" s="372" t="s">
        <v>661</v>
      </c>
    </row>
    <row r="691" spans="1:38" ht="12.6" customHeight="1" x14ac:dyDescent="0.2">
      <c r="B691" s="724" t="s">
        <v>278</v>
      </c>
      <c r="C691" s="724"/>
      <c r="D691" s="724"/>
      <c r="E691" s="724"/>
      <c r="F691" s="105"/>
      <c r="G691" s="559"/>
      <c r="H691" s="91"/>
      <c r="I691" s="91"/>
      <c r="J691" s="559"/>
      <c r="K691" s="559"/>
      <c r="L691" s="559"/>
      <c r="M691" s="559"/>
      <c r="N691" s="559"/>
      <c r="O691" s="559"/>
      <c r="P691" s="103"/>
      <c r="Q691" s="559"/>
      <c r="R691" s="103"/>
      <c r="S691" s="559"/>
      <c r="T691" s="103"/>
      <c r="U691" s="559"/>
      <c r="V691" s="252"/>
      <c r="W691" s="509"/>
      <c r="X691" s="150"/>
      <c r="Y691" s="150"/>
      <c r="Z691" s="150"/>
      <c r="AA691" s="151"/>
      <c r="AB691" s="372" t="s">
        <v>279</v>
      </c>
    </row>
    <row r="692" spans="1:38" ht="12.6" customHeight="1" x14ac:dyDescent="0.2">
      <c r="B692" s="669" t="s">
        <v>280</v>
      </c>
      <c r="C692" s="669"/>
      <c r="D692" s="669"/>
      <c r="E692" s="669"/>
      <c r="F692" s="400"/>
      <c r="G692" s="576"/>
      <c r="H692" s="95"/>
      <c r="I692" s="95"/>
      <c r="J692" s="563"/>
      <c r="K692" s="563"/>
      <c r="L692" s="563"/>
      <c r="M692" s="563"/>
      <c r="N692" s="563"/>
      <c r="O692" s="563"/>
      <c r="P692" s="104"/>
      <c r="Q692" s="563"/>
      <c r="R692" s="104"/>
      <c r="S692" s="563"/>
      <c r="T692" s="104"/>
      <c r="U692" s="563"/>
      <c r="V692" s="251"/>
      <c r="W692" s="508"/>
      <c r="X692" s="150"/>
      <c r="Y692" s="150"/>
      <c r="Z692" s="150"/>
      <c r="AA692" s="151"/>
      <c r="AB692" s="372" t="s">
        <v>281</v>
      </c>
    </row>
    <row r="693" spans="1:38" ht="12.6" customHeight="1" x14ac:dyDescent="0.2">
      <c r="B693" s="724" t="s">
        <v>282</v>
      </c>
      <c r="C693" s="724"/>
      <c r="D693" s="724"/>
      <c r="E693" s="724"/>
      <c r="F693" s="105"/>
      <c r="G693" s="559"/>
      <c r="H693" s="91"/>
      <c r="I693" s="91"/>
      <c r="J693" s="559"/>
      <c r="K693" s="559"/>
      <c r="L693" s="559"/>
      <c r="M693" s="559"/>
      <c r="N693" s="559"/>
      <c r="O693" s="559"/>
      <c r="P693" s="103"/>
      <c r="Q693" s="559"/>
      <c r="R693" s="103"/>
      <c r="S693" s="559"/>
      <c r="T693" s="103"/>
      <c r="U693" s="559"/>
      <c r="V693" s="252"/>
      <c r="W693" s="509"/>
      <c r="X693" s="124"/>
      <c r="Y693" s="124"/>
      <c r="Z693" s="124"/>
      <c r="AA693" s="124"/>
      <c r="AB693" s="372" t="s">
        <v>385</v>
      </c>
    </row>
    <row r="694" spans="1:38" ht="12.6" customHeight="1" x14ac:dyDescent="0.2">
      <c r="B694" s="669" t="s">
        <v>666</v>
      </c>
      <c r="C694" s="669"/>
      <c r="D694" s="669"/>
      <c r="E694" s="669"/>
      <c r="F694" s="402">
        <f>36*X2</f>
        <v>47880</v>
      </c>
      <c r="G694" s="258">
        <f t="shared" ref="G694:G696" si="2193">+F694*$X$1</f>
        <v>47880</v>
      </c>
      <c r="H694" s="92">
        <f>F694+5000</f>
        <v>52880</v>
      </c>
      <c r="I694" s="283">
        <f t="shared" ref="I694" si="2194">+H694*$X$1</f>
        <v>52880</v>
      </c>
      <c r="J694" s="92">
        <f>F694+1000</f>
        <v>48880</v>
      </c>
      <c r="K694" s="283">
        <f t="shared" ref="K694" si="2195">+J694*$X$1</f>
        <v>48880</v>
      </c>
      <c r="L694" s="92"/>
      <c r="M694" s="283"/>
      <c r="N694" s="92"/>
      <c r="O694" s="283"/>
      <c r="P694" s="92"/>
      <c r="Q694" s="283"/>
      <c r="R694" s="92"/>
      <c r="S694" s="283"/>
      <c r="T694" s="92"/>
      <c r="U694" s="283"/>
      <c r="V694" s="92"/>
      <c r="W694" s="283"/>
      <c r="X694" s="399"/>
      <c r="Y694" s="124"/>
      <c r="Z694" s="122"/>
      <c r="AA694" s="125"/>
      <c r="AB694" s="372" t="s">
        <v>667</v>
      </c>
    </row>
    <row r="695" spans="1:38" s="1" customFormat="1" ht="12.6" customHeight="1" x14ac:dyDescent="0.2">
      <c r="A695" s="18"/>
      <c r="B695" s="672" t="s">
        <v>184</v>
      </c>
      <c r="C695" s="673"/>
      <c r="D695" s="673"/>
      <c r="E695" s="673"/>
      <c r="F695" s="257">
        <v>4780</v>
      </c>
      <c r="G695" s="259">
        <f t="shared" si="2193"/>
        <v>4780</v>
      </c>
      <c r="H695" s="559"/>
      <c r="I695" s="257"/>
      <c r="J695" s="68"/>
      <c r="K695" s="257"/>
      <c r="L695" s="559"/>
      <c r="M695" s="257"/>
      <c r="N695" s="559"/>
      <c r="O695" s="257"/>
      <c r="P695" s="559">
        <f t="shared" ref="P695:P702" si="2196">F695+400</f>
        <v>5180</v>
      </c>
      <c r="Q695" s="257">
        <f t="shared" ref="Q695:Q702" si="2197">+P695*$X$1</f>
        <v>5180</v>
      </c>
      <c r="R695" s="559">
        <f t="shared" ref="R695:R702" si="2198">F695+330</f>
        <v>5110</v>
      </c>
      <c r="S695" s="257">
        <f t="shared" ref="S695:S702" si="2199">+R695*$X$1</f>
        <v>5110</v>
      </c>
      <c r="T695" s="559">
        <f t="shared" ref="T695:T702" si="2200">F695+280</f>
        <v>5060</v>
      </c>
      <c r="U695" s="257">
        <f t="shared" ref="U695:U702" si="2201">+T695*$X$1</f>
        <v>5060</v>
      </c>
      <c r="V695" s="559">
        <f t="shared" ref="V695:V702" si="2202">F695+220</f>
        <v>5000</v>
      </c>
      <c r="W695" s="257">
        <f t="shared" ref="W695:W702" si="2203">+V695*$X$1</f>
        <v>5000</v>
      </c>
      <c r="X695" s="714"/>
      <c r="Y695" s="808"/>
      <c r="Z695" s="808"/>
      <c r="AA695" s="716"/>
      <c r="AB695" s="178">
        <v>965</v>
      </c>
      <c r="AC695" s="4"/>
      <c r="AD695" s="4"/>
      <c r="AE695" s="4"/>
      <c r="AF695" s="4"/>
      <c r="AG695" s="4"/>
      <c r="AH695" s="4"/>
      <c r="AI695" s="4"/>
      <c r="AJ695" s="4"/>
      <c r="AK695" s="4"/>
      <c r="AL695" s="4"/>
    </row>
    <row r="696" spans="1:38" s="1" customFormat="1" ht="12.6" customHeight="1" x14ac:dyDescent="0.2">
      <c r="A696" s="18"/>
      <c r="B696" s="687" t="s">
        <v>185</v>
      </c>
      <c r="C696" s="688"/>
      <c r="D696" s="688"/>
      <c r="E696" s="689"/>
      <c r="F696" s="258">
        <v>7340</v>
      </c>
      <c r="G696" s="260">
        <f t="shared" si="2193"/>
        <v>7340</v>
      </c>
      <c r="H696" s="563"/>
      <c r="I696" s="258"/>
      <c r="J696" s="82"/>
      <c r="K696" s="258"/>
      <c r="L696" s="563"/>
      <c r="M696" s="258"/>
      <c r="N696" s="563"/>
      <c r="O696" s="258"/>
      <c r="P696" s="563">
        <f t="shared" si="2196"/>
        <v>7740</v>
      </c>
      <c r="Q696" s="258">
        <f t="shared" si="2197"/>
        <v>7740</v>
      </c>
      <c r="R696" s="563">
        <f t="shared" si="2198"/>
        <v>7670</v>
      </c>
      <c r="S696" s="258">
        <f t="shared" si="2199"/>
        <v>7670</v>
      </c>
      <c r="T696" s="563">
        <f t="shared" si="2200"/>
        <v>7620</v>
      </c>
      <c r="U696" s="258">
        <f t="shared" si="2201"/>
        <v>7620</v>
      </c>
      <c r="V696" s="563">
        <f t="shared" si="2202"/>
        <v>7560</v>
      </c>
      <c r="W696" s="258">
        <f t="shared" si="2203"/>
        <v>7560</v>
      </c>
      <c r="X696" s="141"/>
      <c r="Y696" s="142"/>
      <c r="Z696" s="142"/>
      <c r="AA696" s="143"/>
      <c r="AB696" s="365">
        <v>967</v>
      </c>
      <c r="AC696" s="4"/>
      <c r="AD696" s="4"/>
      <c r="AE696" s="4"/>
      <c r="AF696" s="4"/>
      <c r="AG696" s="4"/>
      <c r="AH696" s="4"/>
      <c r="AI696" s="4"/>
      <c r="AJ696" s="4"/>
      <c r="AK696" s="4"/>
      <c r="AL696" s="4"/>
    </row>
    <row r="697" spans="1:38" s="1" customFormat="1" ht="12.6" customHeight="1" x14ac:dyDescent="0.2">
      <c r="A697" s="18"/>
      <c r="B697" s="678" t="s">
        <v>323</v>
      </c>
      <c r="C697" s="679"/>
      <c r="D697" s="679"/>
      <c r="E697" s="680"/>
      <c r="F697" s="257">
        <v>4485</v>
      </c>
      <c r="G697" s="259">
        <f t="shared" ref="G697" si="2204">+F697*$X$1</f>
        <v>4485</v>
      </c>
      <c r="H697" s="559"/>
      <c r="I697" s="257"/>
      <c r="J697" s="68"/>
      <c r="K697" s="257"/>
      <c r="L697" s="559"/>
      <c r="M697" s="257"/>
      <c r="N697" s="559"/>
      <c r="O697" s="257"/>
      <c r="P697" s="559">
        <f t="shared" si="2196"/>
        <v>4885</v>
      </c>
      <c r="Q697" s="257">
        <f t="shared" si="2197"/>
        <v>4885</v>
      </c>
      <c r="R697" s="559">
        <f t="shared" si="2198"/>
        <v>4815</v>
      </c>
      <c r="S697" s="257">
        <f t="shared" si="2199"/>
        <v>4815</v>
      </c>
      <c r="T697" s="559">
        <f t="shared" si="2200"/>
        <v>4765</v>
      </c>
      <c r="U697" s="257">
        <f t="shared" si="2201"/>
        <v>4765</v>
      </c>
      <c r="V697" s="559">
        <f t="shared" si="2202"/>
        <v>4705</v>
      </c>
      <c r="W697" s="257">
        <f t="shared" si="2203"/>
        <v>4705</v>
      </c>
      <c r="X697" s="714"/>
      <c r="Y697" s="808"/>
      <c r="Z697" s="808"/>
      <c r="AA697" s="716"/>
      <c r="AB697" s="365">
        <v>968</v>
      </c>
      <c r="AC697" s="4"/>
      <c r="AD697" s="4"/>
      <c r="AE697" s="4"/>
      <c r="AF697" s="4"/>
      <c r="AG697" s="4"/>
      <c r="AH697" s="4"/>
      <c r="AI697" s="4"/>
      <c r="AJ697" s="4"/>
      <c r="AK697" s="4"/>
      <c r="AL697" s="4"/>
    </row>
    <row r="698" spans="1:38" s="1" customFormat="1" ht="12.6" customHeight="1" x14ac:dyDescent="0.2">
      <c r="A698" s="18"/>
      <c r="B698" s="667" t="s">
        <v>186</v>
      </c>
      <c r="C698" s="668"/>
      <c r="D698" s="668"/>
      <c r="E698" s="668"/>
      <c r="F698" s="258">
        <v>12106</v>
      </c>
      <c r="G698" s="260">
        <f t="shared" ref="G698" si="2205">+F698*$X$1</f>
        <v>12106</v>
      </c>
      <c r="H698" s="563"/>
      <c r="I698" s="258"/>
      <c r="J698" s="82"/>
      <c r="K698" s="258"/>
      <c r="L698" s="563"/>
      <c r="M698" s="258"/>
      <c r="N698" s="563"/>
      <c r="O698" s="258"/>
      <c r="P698" s="563">
        <f t="shared" si="2196"/>
        <v>12506</v>
      </c>
      <c r="Q698" s="258">
        <f t="shared" si="2197"/>
        <v>12506</v>
      </c>
      <c r="R698" s="563">
        <f t="shared" si="2198"/>
        <v>12436</v>
      </c>
      <c r="S698" s="258">
        <f t="shared" si="2199"/>
        <v>12436</v>
      </c>
      <c r="T698" s="563">
        <f t="shared" si="2200"/>
        <v>12386</v>
      </c>
      <c r="U698" s="258">
        <f t="shared" si="2201"/>
        <v>12386</v>
      </c>
      <c r="V698" s="563">
        <f t="shared" si="2202"/>
        <v>12326</v>
      </c>
      <c r="W698" s="258">
        <f t="shared" si="2203"/>
        <v>12326</v>
      </c>
      <c r="X698" s="714"/>
      <c r="Y698" s="808"/>
      <c r="Z698" s="808"/>
      <c r="AA698" s="716"/>
      <c r="AB698" s="365">
        <v>969</v>
      </c>
      <c r="AC698" s="4"/>
      <c r="AD698" s="4"/>
      <c r="AE698" s="4"/>
      <c r="AF698" s="4"/>
      <c r="AG698" s="4"/>
      <c r="AH698" s="4"/>
      <c r="AI698" s="4"/>
      <c r="AJ698" s="4"/>
      <c r="AK698" s="4"/>
      <c r="AL698" s="4"/>
    </row>
    <row r="699" spans="1:38" s="1" customFormat="1" ht="12.6" customHeight="1" x14ac:dyDescent="0.2">
      <c r="A699" s="18"/>
      <c r="B699" s="678" t="s">
        <v>340</v>
      </c>
      <c r="C699" s="679"/>
      <c r="D699" s="679"/>
      <c r="E699" s="680"/>
      <c r="F699" s="257">
        <v>11100</v>
      </c>
      <c r="G699" s="259">
        <f t="shared" ref="G699" si="2206">+F699*$X$1</f>
        <v>11100</v>
      </c>
      <c r="H699" s="559"/>
      <c r="I699" s="257"/>
      <c r="J699" s="68"/>
      <c r="K699" s="257"/>
      <c r="L699" s="559"/>
      <c r="M699" s="257"/>
      <c r="N699" s="559"/>
      <c r="O699" s="257"/>
      <c r="P699" s="559">
        <f t="shared" si="2196"/>
        <v>11500</v>
      </c>
      <c r="Q699" s="257">
        <f t="shared" si="2197"/>
        <v>11500</v>
      </c>
      <c r="R699" s="559">
        <f t="shared" si="2198"/>
        <v>11430</v>
      </c>
      <c r="S699" s="257">
        <f t="shared" si="2199"/>
        <v>11430</v>
      </c>
      <c r="T699" s="559">
        <f t="shared" si="2200"/>
        <v>11380</v>
      </c>
      <c r="U699" s="257">
        <f t="shared" si="2201"/>
        <v>11380</v>
      </c>
      <c r="V699" s="559">
        <f t="shared" si="2202"/>
        <v>11320</v>
      </c>
      <c r="W699" s="257">
        <f t="shared" si="2203"/>
        <v>11320</v>
      </c>
      <c r="X699" s="200"/>
      <c r="Y699" s="202"/>
      <c r="Z699" s="202"/>
      <c r="AA699" s="201"/>
      <c r="AB699" s="365" t="s">
        <v>410</v>
      </c>
      <c r="AC699" s="4"/>
      <c r="AD699" s="4"/>
      <c r="AE699" s="4"/>
      <c r="AF699" s="4"/>
      <c r="AG699" s="4"/>
      <c r="AH699" s="4"/>
      <c r="AI699" s="4"/>
      <c r="AJ699" s="4"/>
      <c r="AK699" s="4"/>
      <c r="AL699" s="4"/>
    </row>
    <row r="700" spans="1:38" s="1" customFormat="1" ht="12.6" customHeight="1" x14ac:dyDescent="0.2">
      <c r="A700" s="18"/>
      <c r="B700" s="667" t="s">
        <v>187</v>
      </c>
      <c r="C700" s="668"/>
      <c r="D700" s="668"/>
      <c r="E700" s="668"/>
      <c r="F700" s="258">
        <v>3090</v>
      </c>
      <c r="G700" s="260">
        <f t="shared" ref="G700" si="2207">+F700*$X$1</f>
        <v>3090</v>
      </c>
      <c r="H700" s="563"/>
      <c r="I700" s="258"/>
      <c r="J700" s="82"/>
      <c r="K700" s="258"/>
      <c r="L700" s="563"/>
      <c r="M700" s="258"/>
      <c r="N700" s="563"/>
      <c r="O700" s="258"/>
      <c r="P700" s="563">
        <f t="shared" si="2196"/>
        <v>3490</v>
      </c>
      <c r="Q700" s="258">
        <f t="shared" si="2197"/>
        <v>3490</v>
      </c>
      <c r="R700" s="563">
        <f t="shared" si="2198"/>
        <v>3420</v>
      </c>
      <c r="S700" s="258">
        <f t="shared" si="2199"/>
        <v>3420</v>
      </c>
      <c r="T700" s="563">
        <f t="shared" si="2200"/>
        <v>3370</v>
      </c>
      <c r="U700" s="258">
        <f t="shared" si="2201"/>
        <v>3370</v>
      </c>
      <c r="V700" s="563">
        <f t="shared" si="2202"/>
        <v>3310</v>
      </c>
      <c r="W700" s="258">
        <f t="shared" si="2203"/>
        <v>3310</v>
      </c>
      <c r="X700" s="714"/>
      <c r="Y700" s="808"/>
      <c r="Z700" s="808"/>
      <c r="AA700" s="716"/>
      <c r="AB700" s="365">
        <v>970</v>
      </c>
      <c r="AC700" s="4"/>
      <c r="AD700" s="4"/>
      <c r="AE700" s="4"/>
      <c r="AF700" s="4"/>
      <c r="AG700" s="4"/>
      <c r="AH700" s="4"/>
      <c r="AI700" s="4"/>
      <c r="AJ700" s="4"/>
      <c r="AK700" s="4"/>
      <c r="AL700" s="4"/>
    </row>
    <row r="701" spans="1:38" s="1" customFormat="1" ht="12.6" customHeight="1" x14ac:dyDescent="0.2">
      <c r="A701" s="18"/>
      <c r="B701" s="672" t="s">
        <v>188</v>
      </c>
      <c r="C701" s="673"/>
      <c r="D701" s="673"/>
      <c r="E701" s="673"/>
      <c r="F701" s="257">
        <v>3193</v>
      </c>
      <c r="G701" s="259">
        <f t="shared" ref="G701" si="2208">+F701*$X$1</f>
        <v>3193</v>
      </c>
      <c r="H701" s="559"/>
      <c r="I701" s="257"/>
      <c r="J701" s="68"/>
      <c r="K701" s="257"/>
      <c r="L701" s="559"/>
      <c r="M701" s="257"/>
      <c r="N701" s="559"/>
      <c r="O701" s="257"/>
      <c r="P701" s="559">
        <f t="shared" si="2196"/>
        <v>3593</v>
      </c>
      <c r="Q701" s="257">
        <f t="shared" si="2197"/>
        <v>3593</v>
      </c>
      <c r="R701" s="559">
        <f t="shared" si="2198"/>
        <v>3523</v>
      </c>
      <c r="S701" s="257">
        <f t="shared" si="2199"/>
        <v>3523</v>
      </c>
      <c r="T701" s="559">
        <f t="shared" si="2200"/>
        <v>3473</v>
      </c>
      <c r="U701" s="257">
        <f t="shared" si="2201"/>
        <v>3473</v>
      </c>
      <c r="V701" s="559">
        <f t="shared" si="2202"/>
        <v>3413</v>
      </c>
      <c r="W701" s="257">
        <f t="shared" si="2203"/>
        <v>3413</v>
      </c>
      <c r="X701" s="714"/>
      <c r="Y701" s="808"/>
      <c r="Z701" s="808"/>
      <c r="AA701" s="716"/>
      <c r="AB701" s="365">
        <v>971</v>
      </c>
      <c r="AC701" s="4"/>
      <c r="AD701" s="4"/>
      <c r="AE701" s="4"/>
      <c r="AF701" s="4"/>
      <c r="AG701" s="4"/>
      <c r="AH701" s="4"/>
      <c r="AI701" s="4"/>
      <c r="AJ701" s="4"/>
      <c r="AK701" s="4"/>
      <c r="AL701" s="4"/>
    </row>
    <row r="702" spans="1:38" s="1" customFormat="1" ht="12.6" customHeight="1" x14ac:dyDescent="0.2">
      <c r="A702" s="18"/>
      <c r="B702" s="687" t="s">
        <v>341</v>
      </c>
      <c r="C702" s="688"/>
      <c r="D702" s="688"/>
      <c r="E702" s="689"/>
      <c r="F702" s="258">
        <v>5394</v>
      </c>
      <c r="G702" s="260">
        <f t="shared" ref="G702" si="2209">+F702*$X$1</f>
        <v>5394</v>
      </c>
      <c r="H702" s="563"/>
      <c r="I702" s="258"/>
      <c r="J702" s="82"/>
      <c r="K702" s="258"/>
      <c r="L702" s="563"/>
      <c r="M702" s="258"/>
      <c r="N702" s="563"/>
      <c r="O702" s="258"/>
      <c r="P702" s="563">
        <f t="shared" si="2196"/>
        <v>5794</v>
      </c>
      <c r="Q702" s="258">
        <f t="shared" si="2197"/>
        <v>5794</v>
      </c>
      <c r="R702" s="563">
        <f t="shared" si="2198"/>
        <v>5724</v>
      </c>
      <c r="S702" s="258">
        <f t="shared" si="2199"/>
        <v>5724</v>
      </c>
      <c r="T702" s="563">
        <f t="shared" si="2200"/>
        <v>5674</v>
      </c>
      <c r="U702" s="258">
        <f t="shared" si="2201"/>
        <v>5674</v>
      </c>
      <c r="V702" s="563">
        <f t="shared" si="2202"/>
        <v>5614</v>
      </c>
      <c r="W702" s="258">
        <f t="shared" si="2203"/>
        <v>5614</v>
      </c>
      <c r="X702" s="141"/>
      <c r="Y702" s="142"/>
      <c r="Z702" s="142"/>
      <c r="AA702" s="143"/>
      <c r="AB702" s="365">
        <v>972</v>
      </c>
      <c r="AC702" s="4"/>
      <c r="AD702" s="4"/>
      <c r="AE702" s="4"/>
      <c r="AF702" s="4"/>
      <c r="AG702" s="4"/>
      <c r="AH702" s="4"/>
      <c r="AI702" s="4"/>
      <c r="AJ702" s="4"/>
      <c r="AK702" s="4"/>
      <c r="AL702" s="4"/>
    </row>
    <row r="703" spans="1:38" s="1" customFormat="1" ht="12.6" customHeight="1" x14ac:dyDescent="0.2">
      <c r="A703" s="18"/>
      <c r="B703" s="672" t="s">
        <v>189</v>
      </c>
      <c r="C703" s="673"/>
      <c r="D703" s="673"/>
      <c r="E703" s="673"/>
      <c r="F703" s="559"/>
      <c r="G703" s="559"/>
      <c r="H703" s="252"/>
      <c r="I703" s="252"/>
      <c r="J703" s="68"/>
      <c r="K703" s="559"/>
      <c r="L703" s="559"/>
      <c r="M703" s="559"/>
      <c r="N703" s="559"/>
      <c r="O703" s="559"/>
      <c r="P703" s="559"/>
      <c r="Q703" s="559"/>
      <c r="R703" s="559"/>
      <c r="S703" s="559"/>
      <c r="T703" s="559"/>
      <c r="U703" s="559"/>
      <c r="V703" s="559"/>
      <c r="W703" s="559"/>
      <c r="X703" s="810"/>
      <c r="Y703" s="1124"/>
      <c r="Z703" s="1124"/>
      <c r="AA703" s="826"/>
      <c r="AB703" s="178">
        <v>980</v>
      </c>
      <c r="AC703" s="4"/>
      <c r="AD703" s="4"/>
      <c r="AE703" s="4"/>
      <c r="AF703" s="4"/>
      <c r="AG703" s="4"/>
      <c r="AH703" s="4"/>
      <c r="AI703" s="4"/>
      <c r="AJ703" s="4"/>
      <c r="AK703" s="4"/>
      <c r="AL703" s="4"/>
    </row>
    <row r="704" spans="1:38" s="1" customFormat="1" ht="12.6" customHeight="1" x14ac:dyDescent="0.2">
      <c r="A704" s="18"/>
      <c r="B704" s="667" t="s">
        <v>190</v>
      </c>
      <c r="C704" s="737"/>
      <c r="D704" s="737"/>
      <c r="E704" s="737"/>
      <c r="F704" s="92"/>
      <c r="G704" s="563"/>
      <c r="H704" s="251"/>
      <c r="I704" s="251"/>
      <c r="J704" s="82"/>
      <c r="K704" s="563"/>
      <c r="L704" s="563"/>
      <c r="M704" s="563"/>
      <c r="N704" s="563"/>
      <c r="O704" s="563"/>
      <c r="P704" s="563"/>
      <c r="Q704" s="563"/>
      <c r="R704" s="563"/>
      <c r="S704" s="563"/>
      <c r="T704" s="563"/>
      <c r="U704" s="563"/>
      <c r="V704" s="563"/>
      <c r="W704" s="563"/>
      <c r="X704" s="810"/>
      <c r="Y704" s="1124"/>
      <c r="Z704" s="1124"/>
      <c r="AA704" s="826"/>
      <c r="AB704" s="178">
        <v>981</v>
      </c>
      <c r="AC704" s="4"/>
      <c r="AD704" s="4"/>
      <c r="AE704" s="4"/>
      <c r="AF704" s="4"/>
      <c r="AG704" s="4"/>
      <c r="AH704" s="4"/>
      <c r="AI704" s="4"/>
      <c r="AJ704" s="4"/>
      <c r="AK704" s="4"/>
      <c r="AL704" s="4"/>
    </row>
    <row r="705" spans="1:38" s="1" customFormat="1" ht="12.6" customHeight="1" x14ac:dyDescent="0.2">
      <c r="A705" s="18"/>
      <c r="B705" s="678" t="s">
        <v>426</v>
      </c>
      <c r="C705" s="1003"/>
      <c r="D705" s="1003"/>
      <c r="E705" s="1004"/>
      <c r="F705" s="93"/>
      <c r="G705" s="559"/>
      <c r="H705" s="252"/>
      <c r="I705" s="252"/>
      <c r="J705" s="68"/>
      <c r="K705" s="559"/>
      <c r="L705" s="559"/>
      <c r="M705" s="559"/>
      <c r="N705" s="559"/>
      <c r="O705" s="559"/>
      <c r="P705" s="559"/>
      <c r="Q705" s="559"/>
      <c r="R705" s="559"/>
      <c r="S705" s="559"/>
      <c r="T705" s="559"/>
      <c r="U705" s="559"/>
      <c r="V705" s="559"/>
      <c r="W705" s="559"/>
      <c r="X705" s="810"/>
      <c r="Y705" s="1124"/>
      <c r="Z705" s="1124"/>
      <c r="AA705" s="826"/>
      <c r="AB705" s="178">
        <v>982</v>
      </c>
      <c r="AC705" s="4"/>
      <c r="AD705" s="4"/>
      <c r="AE705" s="4"/>
      <c r="AF705" s="4"/>
      <c r="AG705" s="4"/>
      <c r="AH705" s="4"/>
      <c r="AI705" s="4"/>
      <c r="AJ705" s="4"/>
      <c r="AK705" s="4"/>
      <c r="AL705" s="4"/>
    </row>
    <row r="706" spans="1:38" s="1" customFormat="1" ht="12.6" customHeight="1" x14ac:dyDescent="0.2">
      <c r="A706" s="18"/>
      <c r="B706" s="687" t="s">
        <v>459</v>
      </c>
      <c r="C706" s="852"/>
      <c r="D706" s="852"/>
      <c r="E706" s="853"/>
      <c r="F706" s="92"/>
      <c r="G706" s="563"/>
      <c r="H706" s="251"/>
      <c r="I706" s="251"/>
      <c r="J706" s="82"/>
      <c r="K706" s="563"/>
      <c r="L706" s="563"/>
      <c r="M706" s="563"/>
      <c r="N706" s="563"/>
      <c r="O706" s="563"/>
      <c r="P706" s="563"/>
      <c r="Q706" s="563"/>
      <c r="R706" s="563"/>
      <c r="S706" s="563"/>
      <c r="T706" s="563"/>
      <c r="U706" s="563"/>
      <c r="V706" s="563"/>
      <c r="W706" s="563"/>
      <c r="X706" s="810"/>
      <c r="Y706" s="1124"/>
      <c r="Z706" s="1124"/>
      <c r="AA706" s="826"/>
      <c r="AB706" s="178">
        <v>983</v>
      </c>
      <c r="AC706" s="4"/>
      <c r="AD706" s="4"/>
      <c r="AE706" s="4"/>
      <c r="AF706" s="4"/>
      <c r="AG706" s="4"/>
      <c r="AH706" s="4"/>
      <c r="AI706" s="4"/>
      <c r="AJ706" s="4"/>
      <c r="AK706" s="4"/>
      <c r="AL706" s="4"/>
    </row>
    <row r="707" spans="1:38" s="1" customFormat="1" ht="12.6" customHeight="1" x14ac:dyDescent="0.2">
      <c r="A707" s="18"/>
      <c r="B707" s="678" t="s">
        <v>191</v>
      </c>
      <c r="C707" s="1003"/>
      <c r="D707" s="1003"/>
      <c r="E707" s="1004"/>
      <c r="F707" s="559"/>
      <c r="G707" s="559"/>
      <c r="H707" s="252"/>
      <c r="I707" s="252"/>
      <c r="J707" s="68"/>
      <c r="K707" s="559"/>
      <c r="L707" s="559"/>
      <c r="M707" s="559"/>
      <c r="N707" s="559"/>
      <c r="O707" s="559"/>
      <c r="P707" s="559"/>
      <c r="Q707" s="559"/>
      <c r="R707" s="559"/>
      <c r="S707" s="559"/>
      <c r="T707" s="559"/>
      <c r="U707" s="559"/>
      <c r="V707" s="559"/>
      <c r="W707" s="559"/>
      <c r="X707" s="810"/>
      <c r="Y707" s="1124"/>
      <c r="Z707" s="1124"/>
      <c r="AA707" s="826"/>
      <c r="AB707" s="178">
        <v>984</v>
      </c>
      <c r="AC707" s="4"/>
      <c r="AD707" s="4"/>
      <c r="AE707" s="4"/>
      <c r="AF707" s="4"/>
      <c r="AG707" s="4"/>
      <c r="AH707" s="4"/>
      <c r="AI707" s="4"/>
      <c r="AJ707" s="4"/>
      <c r="AK707" s="4"/>
      <c r="AL707" s="4"/>
    </row>
    <row r="708" spans="1:38" s="1" customFormat="1" ht="12.6" customHeight="1" x14ac:dyDescent="0.2">
      <c r="A708" s="18"/>
      <c r="B708" s="687" t="s">
        <v>192</v>
      </c>
      <c r="C708" s="852"/>
      <c r="D708" s="852"/>
      <c r="E708" s="853"/>
      <c r="F708" s="563"/>
      <c r="G708" s="563"/>
      <c r="H708" s="251"/>
      <c r="I708" s="251"/>
      <c r="J708" s="82"/>
      <c r="K708" s="563"/>
      <c r="L708" s="563"/>
      <c r="M708" s="563"/>
      <c r="N708" s="563"/>
      <c r="O708" s="563"/>
      <c r="P708" s="563"/>
      <c r="Q708" s="563"/>
      <c r="R708" s="563"/>
      <c r="S708" s="563"/>
      <c r="T708" s="563"/>
      <c r="U708" s="563"/>
      <c r="V708" s="563"/>
      <c r="W708" s="563"/>
      <c r="X708" s="810"/>
      <c r="Y708" s="1124"/>
      <c r="Z708" s="1124"/>
      <c r="AA708" s="826"/>
      <c r="AB708" s="178">
        <v>985</v>
      </c>
      <c r="AC708" s="4"/>
      <c r="AD708" s="4"/>
      <c r="AE708" s="4"/>
      <c r="AF708" s="4"/>
      <c r="AG708" s="4"/>
      <c r="AH708" s="4"/>
      <c r="AI708" s="4"/>
      <c r="AJ708" s="4"/>
      <c r="AK708" s="4"/>
      <c r="AL708" s="4"/>
    </row>
    <row r="709" spans="1:38" s="1" customFormat="1" ht="12.6" customHeight="1" x14ac:dyDescent="0.2">
      <c r="A709" s="18"/>
      <c r="B709" s="642" t="s">
        <v>864</v>
      </c>
      <c r="C709" s="662"/>
      <c r="D709" s="662"/>
      <c r="E709" s="663"/>
      <c r="F709" s="274">
        <f>21.75*X2</f>
        <v>28927.5</v>
      </c>
      <c r="G709" s="257">
        <f>+F709*$X$1</f>
        <v>28927.5</v>
      </c>
      <c r="H709" s="559">
        <f>F709+3000</f>
        <v>31927.5</v>
      </c>
      <c r="I709" s="257">
        <f t="shared" ref="I709" si="2210">+H709*$X$1</f>
        <v>31927.5</v>
      </c>
      <c r="J709" s="559">
        <f>F709+900</f>
        <v>29827.5</v>
      </c>
      <c r="K709" s="257">
        <f t="shared" ref="K709" si="2211">+J709*$X$1</f>
        <v>29827.5</v>
      </c>
      <c r="L709" s="559">
        <f>F709+700</f>
        <v>29627.5</v>
      </c>
      <c r="M709" s="257">
        <f t="shared" ref="M709" si="2212">+L709*$X$1</f>
        <v>29627.5</v>
      </c>
      <c r="N709" s="559">
        <f>F709+500</f>
        <v>29427.5</v>
      </c>
      <c r="O709" s="257">
        <f t="shared" ref="O709" si="2213">+N709*$X$1</f>
        <v>29427.5</v>
      </c>
      <c r="P709" s="559">
        <f>F709+400</f>
        <v>29327.5</v>
      </c>
      <c r="Q709" s="257">
        <f t="shared" ref="Q709" si="2214">+P709*$X$1</f>
        <v>29327.5</v>
      </c>
      <c r="R709" s="559">
        <f>F709+330</f>
        <v>29257.5</v>
      </c>
      <c r="S709" s="257">
        <f t="shared" ref="S709" si="2215">+R709*$X$1</f>
        <v>29257.5</v>
      </c>
      <c r="T709" s="559">
        <f>F709+280</f>
        <v>29207.5</v>
      </c>
      <c r="U709" s="257">
        <f t="shared" ref="U709" si="2216">+T709*$X$1</f>
        <v>29207.5</v>
      </c>
      <c r="V709" s="559">
        <f>F709+220</f>
        <v>29147.5</v>
      </c>
      <c r="W709" s="257">
        <f t="shared" ref="W709" si="2217">+V709*$X$1</f>
        <v>29147.5</v>
      </c>
      <c r="X709" s="714"/>
      <c r="Y709" s="715"/>
      <c r="Z709" s="715"/>
      <c r="AA709" s="716"/>
      <c r="AB709" s="178">
        <v>990</v>
      </c>
      <c r="AC709" s="4"/>
      <c r="AD709" s="4"/>
      <c r="AE709" s="4"/>
      <c r="AF709" s="4"/>
      <c r="AG709" s="4"/>
      <c r="AH709" s="116"/>
      <c r="AI709" s="4"/>
      <c r="AJ709" s="4"/>
      <c r="AK709" s="4"/>
      <c r="AL709" s="4"/>
    </row>
    <row r="710" spans="1:38" ht="12.6" customHeight="1" x14ac:dyDescent="0.2">
      <c r="B710" s="669" t="s">
        <v>663</v>
      </c>
      <c r="C710" s="669"/>
      <c r="D710" s="669"/>
      <c r="E710" s="669"/>
      <c r="F710" s="303">
        <f>21.16*X2</f>
        <v>28142.799999999999</v>
      </c>
      <c r="G710" s="258">
        <f>+F710*$X$1</f>
        <v>28142.799999999999</v>
      </c>
      <c r="H710" s="563">
        <f>F710+4500</f>
        <v>32642.799999999999</v>
      </c>
      <c r="I710" s="258">
        <f t="shared" ref="I710:I711" si="2218">+H710*$X$1</f>
        <v>32642.799999999999</v>
      </c>
      <c r="J710" s="563">
        <f>F710+1500</f>
        <v>29642.799999999999</v>
      </c>
      <c r="K710" s="258">
        <f t="shared" ref="K710:K711" si="2219">+J710*$X$1</f>
        <v>29642.799999999999</v>
      </c>
      <c r="L710" s="563">
        <f>F710+1200</f>
        <v>29342.799999999999</v>
      </c>
      <c r="M710" s="258">
        <f t="shared" ref="M710:M711" si="2220">+L710*$X$1</f>
        <v>29342.799999999999</v>
      </c>
      <c r="N710" s="563">
        <f>F710+900</f>
        <v>29042.799999999999</v>
      </c>
      <c r="O710" s="258">
        <f t="shared" ref="O710:O711" si="2221">+N710*$X$1</f>
        <v>29042.799999999999</v>
      </c>
      <c r="P710" s="563">
        <f>F710+750</f>
        <v>28892.799999999999</v>
      </c>
      <c r="Q710" s="258">
        <f t="shared" ref="Q710:Q711" si="2222">+P710*$X$1</f>
        <v>28892.799999999999</v>
      </c>
      <c r="R710" s="563">
        <f>F710+650</f>
        <v>28792.799999999999</v>
      </c>
      <c r="S710" s="258">
        <f t="shared" ref="S710:S711" si="2223">+R710*$X$1</f>
        <v>28792.799999999999</v>
      </c>
      <c r="T710" s="563">
        <f>F710+500</f>
        <v>28642.799999999999</v>
      </c>
      <c r="U710" s="258">
        <f t="shared" ref="U710:U711" si="2224">+T710*$X$1</f>
        <v>28642.799999999999</v>
      </c>
      <c r="V710" s="563">
        <f>F710+400</f>
        <v>28542.799999999999</v>
      </c>
      <c r="W710" s="258">
        <f t="shared" ref="W710:W711" si="2225">+V710*$X$1</f>
        <v>28542.799999999999</v>
      </c>
      <c r="X710" s="399"/>
      <c r="Y710" s="124"/>
      <c r="Z710" s="122"/>
      <c r="AA710" s="125"/>
      <c r="AB710" s="372" t="s">
        <v>662</v>
      </c>
    </row>
    <row r="711" spans="1:38" s="1" customFormat="1" ht="12.6" customHeight="1" x14ac:dyDescent="0.2">
      <c r="A711" s="18"/>
      <c r="B711" s="642" t="s">
        <v>840</v>
      </c>
      <c r="C711" s="662"/>
      <c r="D711" s="662"/>
      <c r="E711" s="663"/>
      <c r="F711" s="274">
        <f>18.44*X2</f>
        <v>24525.200000000001</v>
      </c>
      <c r="G711" s="257">
        <f>+F711*$X$1</f>
        <v>24525.200000000001</v>
      </c>
      <c r="H711" s="559">
        <f>F711+3000</f>
        <v>27525.200000000001</v>
      </c>
      <c r="I711" s="257">
        <f t="shared" si="2218"/>
        <v>27525.200000000001</v>
      </c>
      <c r="J711" s="559">
        <f>F711+900</f>
        <v>25425.200000000001</v>
      </c>
      <c r="K711" s="257">
        <f t="shared" si="2219"/>
        <v>25425.200000000001</v>
      </c>
      <c r="L711" s="559">
        <f>F711+700</f>
        <v>25225.200000000001</v>
      </c>
      <c r="M711" s="257">
        <f t="shared" si="2220"/>
        <v>25225.200000000001</v>
      </c>
      <c r="N711" s="559">
        <f>F711+500</f>
        <v>25025.200000000001</v>
      </c>
      <c r="O711" s="257">
        <f t="shared" si="2221"/>
        <v>25025.200000000001</v>
      </c>
      <c r="P711" s="559">
        <f>F711+400</f>
        <v>24925.200000000001</v>
      </c>
      <c r="Q711" s="257">
        <f t="shared" si="2222"/>
        <v>24925.200000000001</v>
      </c>
      <c r="R711" s="559">
        <f>F711+330</f>
        <v>24855.200000000001</v>
      </c>
      <c r="S711" s="257">
        <f t="shared" si="2223"/>
        <v>24855.200000000001</v>
      </c>
      <c r="T711" s="559">
        <f>F711+280</f>
        <v>24805.200000000001</v>
      </c>
      <c r="U711" s="257">
        <f t="shared" si="2224"/>
        <v>24805.200000000001</v>
      </c>
      <c r="V711" s="559">
        <f>F711+220</f>
        <v>24745.200000000001</v>
      </c>
      <c r="W711" s="257">
        <f t="shared" si="2225"/>
        <v>24745.200000000001</v>
      </c>
      <c r="X711" s="714"/>
      <c r="Y711" s="715"/>
      <c r="Z711" s="715"/>
      <c r="AA711" s="716"/>
      <c r="AB711" s="178">
        <v>993</v>
      </c>
      <c r="AC711" s="4"/>
      <c r="AD711" s="4"/>
      <c r="AE711" s="4"/>
      <c r="AF711" s="4"/>
      <c r="AG711" s="4"/>
      <c r="AH711" s="116"/>
      <c r="AI711" s="4"/>
      <c r="AJ711" s="4"/>
      <c r="AK711" s="4"/>
      <c r="AL711" s="4"/>
    </row>
    <row r="712" spans="1:38" ht="12.6" customHeight="1" x14ac:dyDescent="0.2">
      <c r="B712" s="669" t="s">
        <v>664</v>
      </c>
      <c r="C712" s="669"/>
      <c r="D712" s="669"/>
      <c r="E712" s="669"/>
      <c r="F712" s="303">
        <f>31.8*X2</f>
        <v>42294</v>
      </c>
      <c r="G712" s="258">
        <f t="shared" ref="G712:G731" si="2226">+F712*$X$1</f>
        <v>42294</v>
      </c>
      <c r="H712" s="406">
        <f>F712+4500</f>
        <v>46794</v>
      </c>
      <c r="I712" s="258">
        <f t="shared" ref="I712" si="2227">+H712*$X$1</f>
        <v>46794</v>
      </c>
      <c r="J712" s="406">
        <f>F712+1500</f>
        <v>43794</v>
      </c>
      <c r="K712" s="258">
        <f t="shared" ref="K712" si="2228">+J712*$X$1</f>
        <v>43794</v>
      </c>
      <c r="L712" s="406">
        <f>F712+1200</f>
        <v>43494</v>
      </c>
      <c r="M712" s="258">
        <f t="shared" ref="M712:M713" si="2229">+L712*$X$1</f>
        <v>43494</v>
      </c>
      <c r="N712" s="406">
        <f>F712+900</f>
        <v>43194</v>
      </c>
      <c r="O712" s="258">
        <f t="shared" ref="O712:O713" si="2230">+N712*$X$1</f>
        <v>43194</v>
      </c>
      <c r="P712" s="406">
        <f>F712+750</f>
        <v>43044</v>
      </c>
      <c r="Q712" s="258">
        <f t="shared" ref="Q712:Q713" si="2231">+P712*$X$1</f>
        <v>43044</v>
      </c>
      <c r="R712" s="406">
        <f>F712+650</f>
        <v>42944</v>
      </c>
      <c r="S712" s="258">
        <f t="shared" ref="S712:S717" si="2232">+R712*$X$1</f>
        <v>42944</v>
      </c>
      <c r="T712" s="406">
        <f>F712+500</f>
        <v>42794</v>
      </c>
      <c r="U712" s="258">
        <f t="shared" ref="U712:U717" si="2233">+T712*$X$1</f>
        <v>42794</v>
      </c>
      <c r="V712" s="406">
        <f>F712+400</f>
        <v>42694</v>
      </c>
      <c r="W712" s="258">
        <f t="shared" ref="W712:W717" si="2234">+V712*$X$1</f>
        <v>42694</v>
      </c>
      <c r="X712" s="399"/>
      <c r="Y712" s="124"/>
      <c r="Z712" s="122"/>
      <c r="AA712" s="125"/>
      <c r="AB712" s="372" t="s">
        <v>665</v>
      </c>
    </row>
    <row r="713" spans="1:38" s="1" customFormat="1" ht="12.6" customHeight="1" x14ac:dyDescent="0.2">
      <c r="A713" s="18"/>
      <c r="B713" s="678" t="s">
        <v>193</v>
      </c>
      <c r="C713" s="787"/>
      <c r="D713" s="787"/>
      <c r="E713" s="788"/>
      <c r="F713" s="257">
        <v>1400</v>
      </c>
      <c r="G713" s="273">
        <f t="shared" ref="G713" si="2235">+F713*$X$1</f>
        <v>1400</v>
      </c>
      <c r="H713" s="534"/>
      <c r="I713" s="257"/>
      <c r="J713" s="534"/>
      <c r="K713" s="257"/>
      <c r="L713" s="534">
        <f>F713+700</f>
        <v>2100</v>
      </c>
      <c r="M713" s="257">
        <f t="shared" si="2229"/>
        <v>2100</v>
      </c>
      <c r="N713" s="534">
        <f>F713+500</f>
        <v>1900</v>
      </c>
      <c r="O713" s="257">
        <f t="shared" si="2230"/>
        <v>1900</v>
      </c>
      <c r="P713" s="534">
        <f>F713+400</f>
        <v>1800</v>
      </c>
      <c r="Q713" s="257">
        <f t="shared" si="2231"/>
        <v>1800</v>
      </c>
      <c r="R713" s="534">
        <f>F713+330</f>
        <v>1730</v>
      </c>
      <c r="S713" s="257">
        <f t="shared" si="2232"/>
        <v>1730</v>
      </c>
      <c r="T713" s="534">
        <f>F713+280</f>
        <v>1680</v>
      </c>
      <c r="U713" s="257">
        <f t="shared" si="2233"/>
        <v>1680</v>
      </c>
      <c r="V713" s="534">
        <f>F713+220</f>
        <v>1620</v>
      </c>
      <c r="W713" s="257">
        <f t="shared" si="2234"/>
        <v>1620</v>
      </c>
      <c r="X713" s="714"/>
      <c r="Y713" s="715"/>
      <c r="Z713" s="715"/>
      <c r="AA713" s="716"/>
      <c r="AB713" s="178">
        <v>1001</v>
      </c>
      <c r="AC713" s="4"/>
      <c r="AD713" s="4"/>
      <c r="AE713" s="4"/>
      <c r="AF713" s="4"/>
      <c r="AG713" s="4"/>
      <c r="AH713" s="4"/>
      <c r="AI713" s="4"/>
      <c r="AJ713" s="4"/>
      <c r="AK713" s="4"/>
      <c r="AL713" s="4"/>
    </row>
    <row r="714" spans="1:38" s="1" customFormat="1" ht="12.6" customHeight="1" x14ac:dyDescent="0.2">
      <c r="A714" s="18"/>
      <c r="B714" s="687" t="s">
        <v>194</v>
      </c>
      <c r="C714" s="800"/>
      <c r="D714" s="800"/>
      <c r="E714" s="801"/>
      <c r="F714" s="283">
        <v>1400</v>
      </c>
      <c r="G714" s="258">
        <f>+F714*$X$1</f>
        <v>1400</v>
      </c>
      <c r="H714" s="550"/>
      <c r="I714" s="536"/>
      <c r="J714" s="536"/>
      <c r="K714" s="536"/>
      <c r="L714" s="406"/>
      <c r="M714" s="258"/>
      <c r="N714" s="406"/>
      <c r="O714" s="258"/>
      <c r="P714" s="406"/>
      <c r="Q714" s="258"/>
      <c r="R714" s="406">
        <f>F714+330</f>
        <v>1730</v>
      </c>
      <c r="S714" s="258">
        <f t="shared" si="2232"/>
        <v>1730</v>
      </c>
      <c r="T714" s="406">
        <f>F714+280</f>
        <v>1680</v>
      </c>
      <c r="U714" s="258">
        <f t="shared" si="2233"/>
        <v>1680</v>
      </c>
      <c r="V714" s="406">
        <f>F714+220</f>
        <v>1620</v>
      </c>
      <c r="W714" s="258">
        <f t="shared" si="2234"/>
        <v>1620</v>
      </c>
      <c r="X714" s="714"/>
      <c r="Y714" s="715"/>
      <c r="Z714" s="715"/>
      <c r="AA714" s="716"/>
      <c r="AB714" s="178">
        <v>1002</v>
      </c>
      <c r="AC714" s="4"/>
      <c r="AD714" s="4"/>
      <c r="AE714" s="4"/>
      <c r="AF714" s="4"/>
      <c r="AG714" s="4"/>
      <c r="AH714" s="4"/>
      <c r="AI714" s="4"/>
      <c r="AJ714" s="4"/>
      <c r="AK714" s="4"/>
      <c r="AL714" s="4"/>
    </row>
    <row r="715" spans="1:38" s="1" customFormat="1" ht="12.6" customHeight="1" x14ac:dyDescent="0.2">
      <c r="A715" s="18"/>
      <c r="B715" s="1023" t="s">
        <v>582</v>
      </c>
      <c r="C715" s="1024"/>
      <c r="D715" s="1024"/>
      <c r="E715" s="1025"/>
      <c r="F715" s="259">
        <v>1400</v>
      </c>
      <c r="G715" s="259">
        <f>+F715*$X$1</f>
        <v>1400</v>
      </c>
      <c r="H715" s="551"/>
      <c r="I715" s="612"/>
      <c r="J715" s="612"/>
      <c r="K715" s="612"/>
      <c r="L715" s="102"/>
      <c r="M715" s="259"/>
      <c r="N715" s="102"/>
      <c r="O715" s="259"/>
      <c r="P715" s="102"/>
      <c r="Q715" s="259"/>
      <c r="R715" s="102">
        <f>F715+330</f>
        <v>1730</v>
      </c>
      <c r="S715" s="259">
        <f t="shared" si="2232"/>
        <v>1730</v>
      </c>
      <c r="T715" s="102">
        <f>F715+280</f>
        <v>1680</v>
      </c>
      <c r="U715" s="259">
        <f t="shared" si="2233"/>
        <v>1680</v>
      </c>
      <c r="V715" s="102">
        <f>F715+220</f>
        <v>1620</v>
      </c>
      <c r="W715" s="259">
        <f t="shared" si="2234"/>
        <v>1620</v>
      </c>
      <c r="X715" s="714"/>
      <c r="Y715" s="715"/>
      <c r="Z715" s="715"/>
      <c r="AA715" s="716"/>
      <c r="AB715" s="178"/>
      <c r="AC715" s="4"/>
      <c r="AD715" s="4"/>
      <c r="AE715" s="4"/>
      <c r="AF715" s="4"/>
      <c r="AG715" s="4"/>
      <c r="AH715" s="4"/>
      <c r="AI715" s="4"/>
      <c r="AJ715" s="4"/>
      <c r="AK715" s="4"/>
      <c r="AL715" s="4"/>
    </row>
    <row r="716" spans="1:38" s="1" customFormat="1" ht="12.6" customHeight="1" x14ac:dyDescent="0.2">
      <c r="A716" s="18"/>
      <c r="B716" s="667" t="s">
        <v>628</v>
      </c>
      <c r="C716" s="668"/>
      <c r="D716" s="668"/>
      <c r="E716" s="668"/>
      <c r="F716" s="258">
        <v>1650</v>
      </c>
      <c r="G716" s="258">
        <f>+F716*$X$1</f>
        <v>1650</v>
      </c>
      <c r="H716" s="615"/>
      <c r="I716" s="615"/>
      <c r="J716" s="615"/>
      <c r="K716" s="615"/>
      <c r="L716" s="576"/>
      <c r="M716" s="258"/>
      <c r="N716" s="576"/>
      <c r="O716" s="258"/>
      <c r="P716" s="576"/>
      <c r="Q716" s="258"/>
      <c r="R716" s="576">
        <f>F716+330</f>
        <v>1980</v>
      </c>
      <c r="S716" s="258">
        <f t="shared" si="2232"/>
        <v>1980</v>
      </c>
      <c r="T716" s="576">
        <f>F716+280</f>
        <v>1930</v>
      </c>
      <c r="U716" s="258">
        <f t="shared" si="2233"/>
        <v>1930</v>
      </c>
      <c r="V716" s="576">
        <f>F716+220</f>
        <v>1870</v>
      </c>
      <c r="W716" s="258">
        <f t="shared" si="2234"/>
        <v>1870</v>
      </c>
      <c r="X716" s="714"/>
      <c r="Y716" s="808"/>
      <c r="Z716" s="808"/>
      <c r="AA716" s="716"/>
      <c r="AB716" s="178">
        <v>1004</v>
      </c>
      <c r="AC716" s="4"/>
      <c r="AD716" s="4"/>
      <c r="AE716" s="4"/>
      <c r="AF716" s="4"/>
      <c r="AG716" s="4"/>
      <c r="AH716" s="4"/>
      <c r="AI716" s="4"/>
      <c r="AJ716" s="4"/>
      <c r="AK716" s="4"/>
      <c r="AL716" s="4"/>
    </row>
    <row r="717" spans="1:38" s="1" customFormat="1" ht="12.6" customHeight="1" x14ac:dyDescent="0.2">
      <c r="A717" s="18"/>
      <c r="B717" s="672" t="s">
        <v>627</v>
      </c>
      <c r="C717" s="672"/>
      <c r="D717" s="672"/>
      <c r="E717" s="672"/>
      <c r="F717" s="257">
        <v>1650</v>
      </c>
      <c r="G717" s="257">
        <f>+F717*$X$1</f>
        <v>1650</v>
      </c>
      <c r="H717" s="270"/>
      <c r="I717" s="613"/>
      <c r="J717" s="613"/>
      <c r="K717" s="613"/>
      <c r="L717" s="559"/>
      <c r="M717" s="257"/>
      <c r="N717" s="559"/>
      <c r="O717" s="257"/>
      <c r="P717" s="559"/>
      <c r="Q717" s="257"/>
      <c r="R717" s="559">
        <f>F717+330</f>
        <v>1980</v>
      </c>
      <c r="S717" s="257">
        <f t="shared" si="2232"/>
        <v>1980</v>
      </c>
      <c r="T717" s="559">
        <f>F717+280</f>
        <v>1930</v>
      </c>
      <c r="U717" s="257">
        <f t="shared" si="2233"/>
        <v>1930</v>
      </c>
      <c r="V717" s="559">
        <f>F717+220</f>
        <v>1870</v>
      </c>
      <c r="W717" s="257">
        <f t="shared" si="2234"/>
        <v>1870</v>
      </c>
      <c r="X717" s="714"/>
      <c r="Y717" s="715"/>
      <c r="Z717" s="715"/>
      <c r="AA717" s="716"/>
      <c r="AB717" s="178">
        <v>1005</v>
      </c>
      <c r="AC717" s="4"/>
      <c r="AD717" s="4"/>
      <c r="AE717" s="4"/>
      <c r="AF717" s="4"/>
      <c r="AG717" s="4"/>
      <c r="AH717" s="116"/>
      <c r="AI717" s="4"/>
      <c r="AJ717" s="4"/>
      <c r="AK717" s="4"/>
      <c r="AL717" s="4"/>
    </row>
    <row r="718" spans="1:38" s="1" customFormat="1" ht="12.6" customHeight="1" x14ac:dyDescent="0.2">
      <c r="A718" s="18"/>
      <c r="B718" s="496"/>
      <c r="C718" s="614"/>
      <c r="D718" s="614"/>
      <c r="E718" s="614"/>
      <c r="F718" s="298"/>
      <c r="G718" s="616"/>
      <c r="H718" s="106"/>
      <c r="I718" s="298"/>
      <c r="J718" s="106"/>
      <c r="K718" s="298"/>
      <c r="L718" s="106"/>
      <c r="M718" s="298"/>
      <c r="N718" s="106"/>
      <c r="O718" s="298"/>
      <c r="P718" s="106"/>
      <c r="Q718" s="298"/>
      <c r="R718" s="106"/>
      <c r="S718" s="298"/>
      <c r="T718" s="106"/>
      <c r="U718" s="298"/>
      <c r="V718" s="106"/>
      <c r="W718" s="298"/>
      <c r="X718" s="611"/>
      <c r="Y718" s="611"/>
      <c r="Z718" s="611"/>
      <c r="AA718" s="611"/>
      <c r="AB718" s="617"/>
      <c r="AC718" s="4"/>
      <c r="AD718" s="4"/>
      <c r="AE718" s="4"/>
      <c r="AF718" s="4"/>
      <c r="AG718" s="4"/>
      <c r="AH718" s="116"/>
      <c r="AI718" s="4"/>
      <c r="AJ718" s="4"/>
      <c r="AK718" s="4"/>
      <c r="AL718" s="4"/>
    </row>
    <row r="719" spans="1:38" s="1" customFormat="1" ht="12.6" customHeight="1" x14ac:dyDescent="0.2">
      <c r="A719" s="18"/>
      <c r="B719" s="496"/>
      <c r="C719" s="614"/>
      <c r="D719" s="614"/>
      <c r="E719" s="614"/>
      <c r="F719" s="298"/>
      <c r="G719" s="616"/>
      <c r="H719" s="106"/>
      <c r="I719" s="298"/>
      <c r="J719" s="106"/>
      <c r="K719" s="298"/>
      <c r="L719" s="106"/>
      <c r="M719" s="298"/>
      <c r="N719" s="106"/>
      <c r="O719" s="298"/>
      <c r="P719" s="106"/>
      <c r="Q719" s="298"/>
      <c r="R719" s="106"/>
      <c r="S719" s="298"/>
      <c r="T719" s="106"/>
      <c r="U719" s="298"/>
      <c r="V719" s="106"/>
      <c r="W719" s="298"/>
      <c r="X719" s="611"/>
      <c r="Y719" s="611"/>
      <c r="Z719" s="611"/>
      <c r="AA719" s="611"/>
      <c r="AB719" s="617"/>
      <c r="AC719" s="4"/>
      <c r="AD719" s="4"/>
      <c r="AE719" s="4"/>
      <c r="AF719" s="4"/>
      <c r="AG719" s="4"/>
      <c r="AH719" s="116"/>
      <c r="AI719" s="4"/>
      <c r="AJ719" s="4"/>
      <c r="AK719" s="4"/>
      <c r="AL719" s="4"/>
    </row>
    <row r="720" spans="1:38" s="1" customFormat="1" ht="12.6" customHeight="1" x14ac:dyDescent="0.2">
      <c r="A720" s="18"/>
      <c r="B720" s="496"/>
      <c r="C720" s="614"/>
      <c r="D720" s="614"/>
      <c r="E720" s="614"/>
      <c r="F720" s="298"/>
      <c r="G720" s="616"/>
      <c r="H720" s="106"/>
      <c r="I720" s="298"/>
      <c r="J720" s="106"/>
      <c r="K720" s="298"/>
      <c r="L720" s="106"/>
      <c r="M720" s="298"/>
      <c r="N720" s="106"/>
      <c r="O720" s="298"/>
      <c r="P720" s="106"/>
      <c r="Q720" s="298"/>
      <c r="R720" s="106"/>
      <c r="S720" s="298"/>
      <c r="T720" s="106"/>
      <c r="U720" s="298"/>
      <c r="V720" s="106"/>
      <c r="W720" s="298"/>
      <c r="X720" s="611"/>
      <c r="Y720" s="611"/>
      <c r="Z720" s="611"/>
      <c r="AA720" s="611"/>
      <c r="AB720" s="617"/>
      <c r="AC720" s="4"/>
      <c r="AD720" s="4"/>
      <c r="AE720" s="4"/>
      <c r="AF720" s="4"/>
      <c r="AG720" s="4"/>
      <c r="AH720" s="116"/>
      <c r="AI720" s="4"/>
      <c r="AJ720" s="4"/>
      <c r="AK720" s="4"/>
      <c r="AL720" s="4"/>
    </row>
    <row r="721" spans="1:38" ht="14.25" customHeight="1" x14ac:dyDescent="0.2">
      <c r="B721" s="647" t="s">
        <v>11</v>
      </c>
      <c r="C721" s="647" t="s">
        <v>12</v>
      </c>
      <c r="D721" s="648"/>
      <c r="E721" s="648"/>
      <c r="F721" s="649" t="s">
        <v>265</v>
      </c>
      <c r="G721" s="649" t="s">
        <v>13</v>
      </c>
      <c r="H721" s="651" t="s">
        <v>742</v>
      </c>
      <c r="I721" s="651"/>
      <c r="J721" s="652"/>
      <c r="K721" s="652"/>
      <c r="L721" s="652"/>
      <c r="M721" s="652"/>
      <c r="N721" s="652"/>
      <c r="O721" s="652"/>
      <c r="P721" s="652"/>
      <c r="Q721" s="652"/>
      <c r="R721" s="652"/>
      <c r="S721" s="652"/>
      <c r="T721" s="652"/>
      <c r="U721" s="652"/>
      <c r="V721" s="652"/>
      <c r="W721" s="652"/>
      <c r="X721" s="653" t="s">
        <v>14</v>
      </c>
      <c r="Y721" s="654"/>
      <c r="Z721" s="654"/>
      <c r="AA721" s="655"/>
      <c r="AB721" s="638" t="s">
        <v>15</v>
      </c>
      <c r="AF721" s="640" t="s">
        <v>3</v>
      </c>
      <c r="AG721" s="641"/>
      <c r="AH721" s="641"/>
    </row>
    <row r="722" spans="1:38" ht="12" customHeight="1" x14ac:dyDescent="0.2">
      <c r="B722" s="648"/>
      <c r="C722" s="648"/>
      <c r="D722" s="648"/>
      <c r="E722" s="648"/>
      <c r="F722" s="650"/>
      <c r="G722" s="650"/>
      <c r="H722" s="412"/>
      <c r="I722" s="413" t="s">
        <v>517</v>
      </c>
      <c r="J722" s="412"/>
      <c r="K722" s="413" t="s">
        <v>266</v>
      </c>
      <c r="L722" s="413"/>
      <c r="M722" s="413" t="s">
        <v>267</v>
      </c>
      <c r="N722" s="413"/>
      <c r="O722" s="413" t="s">
        <v>519</v>
      </c>
      <c r="P722" s="413"/>
      <c r="Q722" s="413" t="s">
        <v>17</v>
      </c>
      <c r="R722" s="413"/>
      <c r="S722" s="413" t="s">
        <v>18</v>
      </c>
      <c r="T722" s="413"/>
      <c r="U722" s="413" t="s">
        <v>19</v>
      </c>
      <c r="V722" s="413"/>
      <c r="W722" s="413" t="s">
        <v>520</v>
      </c>
      <c r="X722" s="656"/>
      <c r="Y722" s="657"/>
      <c r="Z722" s="657"/>
      <c r="AA722" s="658"/>
      <c r="AB722" s="639"/>
    </row>
    <row r="723" spans="1:38" s="1" customFormat="1" ht="12.6" customHeight="1" x14ac:dyDescent="0.2">
      <c r="A723" s="18"/>
      <c r="B723" s="667" t="s">
        <v>195</v>
      </c>
      <c r="C723" s="668"/>
      <c r="D723" s="668"/>
      <c r="E723" s="668"/>
      <c r="F723" s="258"/>
      <c r="G723" s="258"/>
      <c r="H723" s="615"/>
      <c r="I723" s="615"/>
      <c r="J723" s="615"/>
      <c r="K723" s="615"/>
      <c r="L723" s="615"/>
      <c r="M723" s="615"/>
      <c r="N723" s="576"/>
      <c r="O723" s="258"/>
      <c r="P723" s="576"/>
      <c r="Q723" s="258"/>
      <c r="R723" s="576"/>
      <c r="S723" s="258"/>
      <c r="T723" s="576"/>
      <c r="U723" s="258"/>
      <c r="V723" s="576"/>
      <c r="W723" s="258"/>
      <c r="X723" s="714"/>
      <c r="Y723" s="715"/>
      <c r="Z723" s="715"/>
      <c r="AA723" s="716"/>
      <c r="AB723" s="178">
        <v>1006</v>
      </c>
      <c r="AC723" s="4"/>
      <c r="AD723" s="4"/>
      <c r="AE723" s="4"/>
      <c r="AF723" s="4"/>
      <c r="AG723" s="4"/>
      <c r="AH723" s="116"/>
      <c r="AI723" s="4"/>
      <c r="AJ723" s="4"/>
      <c r="AK723" s="4"/>
      <c r="AL723" s="4"/>
    </row>
    <row r="724" spans="1:38" s="1" customFormat="1" ht="12.6" customHeight="1" x14ac:dyDescent="0.2">
      <c r="A724" s="18"/>
      <c r="B724" s="672" t="s">
        <v>510</v>
      </c>
      <c r="C724" s="673"/>
      <c r="D724" s="673"/>
      <c r="E724" s="673"/>
      <c r="F724" s="257">
        <v>9700</v>
      </c>
      <c r="G724" s="257">
        <f>+F724*$X$1</f>
        <v>9700</v>
      </c>
      <c r="H724" s="559">
        <f>F724+3000</f>
        <v>12700</v>
      </c>
      <c r="I724" s="257">
        <f t="shared" ref="I724" si="2236">+H724*$X$1</f>
        <v>12700</v>
      </c>
      <c r="J724" s="559">
        <f>F724+900</f>
        <v>10600</v>
      </c>
      <c r="K724" s="257">
        <f t="shared" ref="K724" si="2237">+J724*$X$1</f>
        <v>10600</v>
      </c>
      <c r="L724" s="559">
        <f>F724+700</f>
        <v>10400</v>
      </c>
      <c r="M724" s="257">
        <f t="shared" ref="M724" si="2238">+L724*$X$1</f>
        <v>10400</v>
      </c>
      <c r="N724" s="559">
        <f>F724+500</f>
        <v>10200</v>
      </c>
      <c r="O724" s="257">
        <f t="shared" ref="O724" si="2239">+N724*$X$1</f>
        <v>10200</v>
      </c>
      <c r="P724" s="559">
        <f>F724+400</f>
        <v>10100</v>
      </c>
      <c r="Q724" s="257">
        <f t="shared" ref="Q724" si="2240">+P724*$X$1</f>
        <v>10100</v>
      </c>
      <c r="R724" s="559">
        <f>F724+330</f>
        <v>10030</v>
      </c>
      <c r="S724" s="257">
        <f t="shared" ref="S724" si="2241">+R724*$X$1</f>
        <v>10030</v>
      </c>
      <c r="T724" s="559">
        <f>F724+280</f>
        <v>9980</v>
      </c>
      <c r="U724" s="257">
        <f t="shared" ref="U724" si="2242">+T724*$X$1</f>
        <v>9980</v>
      </c>
      <c r="V724" s="559">
        <f>F724+220</f>
        <v>9920</v>
      </c>
      <c r="W724" s="257">
        <f t="shared" ref="W724" si="2243">+V724*$X$1</f>
        <v>9920</v>
      </c>
      <c r="X724" s="714"/>
      <c r="Y724" s="715"/>
      <c r="Z724" s="715"/>
      <c r="AA724" s="716"/>
      <c r="AB724" s="178">
        <v>1010</v>
      </c>
      <c r="AC724" s="4"/>
      <c r="AD724" s="4"/>
      <c r="AE724" s="4"/>
      <c r="AF724" s="4"/>
      <c r="AG724" s="4"/>
      <c r="AH724" s="116"/>
      <c r="AI724" s="4"/>
      <c r="AJ724" s="4"/>
      <c r="AK724" s="4"/>
      <c r="AL724" s="4"/>
    </row>
    <row r="725" spans="1:38" s="1" customFormat="1" ht="12.6" customHeight="1" x14ac:dyDescent="0.2">
      <c r="A725" s="18"/>
      <c r="B725" s="667" t="s">
        <v>511</v>
      </c>
      <c r="C725" s="668"/>
      <c r="D725" s="668"/>
      <c r="E725" s="668"/>
      <c r="F725" s="258">
        <v>23995</v>
      </c>
      <c r="G725" s="258">
        <f>+F725*$X$1</f>
        <v>23995</v>
      </c>
      <c r="H725" s="576">
        <f>F725+3000</f>
        <v>26995</v>
      </c>
      <c r="I725" s="258">
        <f>+H725*$X$1</f>
        <v>26995</v>
      </c>
      <c r="J725" s="576">
        <f>F725+900</f>
        <v>24895</v>
      </c>
      <c r="K725" s="258">
        <f>+J725*$X$1</f>
        <v>24895</v>
      </c>
      <c r="L725" s="576">
        <f>F725+700</f>
        <v>24695</v>
      </c>
      <c r="M725" s="258">
        <f>+L725*$X$1</f>
        <v>24695</v>
      </c>
      <c r="N725" s="576">
        <f>F725+500</f>
        <v>24495</v>
      </c>
      <c r="O725" s="258">
        <f>+N725*$X$1</f>
        <v>24495</v>
      </c>
      <c r="P725" s="576">
        <f>F725+400</f>
        <v>24395</v>
      </c>
      <c r="Q725" s="258">
        <f>+P725*$X$1</f>
        <v>24395</v>
      </c>
      <c r="R725" s="576">
        <f>F725+330</f>
        <v>24325</v>
      </c>
      <c r="S725" s="258">
        <f>+R725*$X$1</f>
        <v>24325</v>
      </c>
      <c r="T725" s="576">
        <f>F725+280</f>
        <v>24275</v>
      </c>
      <c r="U725" s="258">
        <f>+T725*$X$1</f>
        <v>24275</v>
      </c>
      <c r="V725" s="576">
        <f>F725+220</f>
        <v>24215</v>
      </c>
      <c r="W725" s="258">
        <f>+V725*$X$1</f>
        <v>24215</v>
      </c>
      <c r="X725" s="714"/>
      <c r="Y725" s="715"/>
      <c r="Z725" s="715"/>
      <c r="AA725" s="716"/>
      <c r="AB725" s="178">
        <v>1011</v>
      </c>
      <c r="AC725" s="4"/>
      <c r="AD725" s="4"/>
      <c r="AE725" s="4"/>
      <c r="AF725" s="4"/>
      <c r="AG725" s="4"/>
      <c r="AH725" s="116"/>
      <c r="AI725" s="4"/>
      <c r="AJ725" s="4"/>
      <c r="AK725" s="4"/>
      <c r="AL725" s="4"/>
    </row>
    <row r="726" spans="1:38" s="1" customFormat="1" ht="12.6" customHeight="1" x14ac:dyDescent="0.2">
      <c r="A726" s="18"/>
      <c r="B726" s="659" t="s">
        <v>865</v>
      </c>
      <c r="C726" s="660"/>
      <c r="D726" s="660"/>
      <c r="E726" s="661"/>
      <c r="F726" s="302">
        <f>9.45*X2</f>
        <v>12568.499999999998</v>
      </c>
      <c r="G726" s="273">
        <f>+F726*$X$1</f>
        <v>12568.499999999998</v>
      </c>
      <c r="H726" s="93"/>
      <c r="I726" s="257"/>
      <c r="J726" s="559">
        <f>F726+2000</f>
        <v>14568.499999999998</v>
      </c>
      <c r="K726" s="257">
        <f t="shared" ref="K726" si="2244">+J726*$X$1</f>
        <v>14568.499999999998</v>
      </c>
      <c r="L726" s="559">
        <f>F726+1500</f>
        <v>14068.499999999998</v>
      </c>
      <c r="M726" s="257">
        <f t="shared" ref="M726:M727" si="2245">+L726*$X$1</f>
        <v>14068.499999999998</v>
      </c>
      <c r="N726" s="559">
        <f>F726+1200</f>
        <v>13768.499999999998</v>
      </c>
      <c r="O726" s="257">
        <f t="shared" ref="O726:O727" si="2246">+N726*$X$1</f>
        <v>13768.499999999998</v>
      </c>
      <c r="P726" s="559">
        <f>F726+1050</f>
        <v>13618.499999999998</v>
      </c>
      <c r="Q726" s="257">
        <f t="shared" ref="Q726:Q727" si="2247">+P726*$X$1</f>
        <v>13618.499999999998</v>
      </c>
      <c r="R726" s="559">
        <f>F726+950</f>
        <v>13518.499999999998</v>
      </c>
      <c r="S726" s="257">
        <f t="shared" ref="S726:S727" si="2248">+R726*$X$1</f>
        <v>13518.499999999998</v>
      </c>
      <c r="T726" s="559">
        <f>F726+800</f>
        <v>13368.499999999998</v>
      </c>
      <c r="U726" s="257">
        <f t="shared" ref="U726:U727" si="2249">+T726*$X$1</f>
        <v>13368.499999999998</v>
      </c>
      <c r="V726" s="559">
        <f>F726+650</f>
        <v>13218.499999999998</v>
      </c>
      <c r="W726" s="257">
        <f t="shared" ref="W726:W727" si="2250">+V726*$X$1</f>
        <v>13218.499999999998</v>
      </c>
      <c r="X726" s="714"/>
      <c r="Y726" s="715"/>
      <c r="Z726" s="715"/>
      <c r="AA726" s="716"/>
      <c r="AB726" s="178">
        <v>1020</v>
      </c>
      <c r="AC726" s="4"/>
      <c r="AD726" s="4"/>
      <c r="AE726" s="4"/>
      <c r="AF726" s="4"/>
      <c r="AG726" s="4"/>
      <c r="AH726" s="116"/>
      <c r="AI726" s="4"/>
      <c r="AJ726" s="4"/>
      <c r="AK726" s="4"/>
      <c r="AL726" s="4"/>
    </row>
    <row r="727" spans="1:38" ht="12.6" customHeight="1" x14ac:dyDescent="0.2">
      <c r="B727" s="669" t="s">
        <v>597</v>
      </c>
      <c r="C727" s="669"/>
      <c r="D727" s="669"/>
      <c r="E727" s="669"/>
      <c r="F727" s="258">
        <f>3.04*X2</f>
        <v>4043.2000000000003</v>
      </c>
      <c r="G727" s="258">
        <f t="shared" si="2226"/>
        <v>4043.2000000000003</v>
      </c>
      <c r="H727" s="95"/>
      <c r="I727" s="95"/>
      <c r="J727" s="251"/>
      <c r="K727" s="251"/>
      <c r="L727" s="576">
        <f>F727+700</f>
        <v>4743.2000000000007</v>
      </c>
      <c r="M727" s="258">
        <f t="shared" si="2245"/>
        <v>4743.2000000000007</v>
      </c>
      <c r="N727" s="576">
        <f>F727+500</f>
        <v>4543.2000000000007</v>
      </c>
      <c r="O727" s="258">
        <f t="shared" si="2246"/>
        <v>4543.2000000000007</v>
      </c>
      <c r="P727" s="576">
        <f>F727+400</f>
        <v>4443.2000000000007</v>
      </c>
      <c r="Q727" s="258">
        <f t="shared" si="2247"/>
        <v>4443.2000000000007</v>
      </c>
      <c r="R727" s="576">
        <f>F727+330</f>
        <v>4373.2000000000007</v>
      </c>
      <c r="S727" s="258">
        <f t="shared" si="2248"/>
        <v>4373.2000000000007</v>
      </c>
      <c r="T727" s="576">
        <f>F727+280</f>
        <v>4323.2000000000007</v>
      </c>
      <c r="U727" s="258">
        <f t="shared" si="2249"/>
        <v>4323.2000000000007</v>
      </c>
      <c r="V727" s="576">
        <f>F727+220</f>
        <v>4263.2000000000007</v>
      </c>
      <c r="W727" s="258">
        <f t="shared" si="2250"/>
        <v>4263.2000000000007</v>
      </c>
      <c r="X727" s="374"/>
      <c r="Y727" s="124"/>
      <c r="Z727" s="122"/>
      <c r="AA727" s="125"/>
      <c r="AB727" s="372" t="s">
        <v>598</v>
      </c>
    </row>
    <row r="728" spans="1:38" ht="12.6" customHeight="1" x14ac:dyDescent="0.2">
      <c r="B728" s="724" t="s">
        <v>447</v>
      </c>
      <c r="C728" s="724"/>
      <c r="D728" s="724"/>
      <c r="E728" s="724"/>
      <c r="F728" s="257">
        <f>4.1*X2</f>
        <v>5452.9999999999991</v>
      </c>
      <c r="G728" s="257">
        <f t="shared" si="2226"/>
        <v>5452.9999999999991</v>
      </c>
      <c r="H728" s="91"/>
      <c r="I728" s="91"/>
      <c r="J728" s="559">
        <f>F728+1000</f>
        <v>6452.9999999999991</v>
      </c>
      <c r="K728" s="257">
        <f t="shared" ref="K728:K731" si="2251">+J728*$X$1</f>
        <v>6452.9999999999991</v>
      </c>
      <c r="L728" s="559">
        <f>F728+600</f>
        <v>6052.9999999999991</v>
      </c>
      <c r="M728" s="257">
        <f t="shared" ref="M728:M731" si="2252">+L728*$X$1</f>
        <v>6052.9999999999991</v>
      </c>
      <c r="N728" s="559">
        <f>F728+380</f>
        <v>5832.9999999999991</v>
      </c>
      <c r="O728" s="257">
        <f t="shared" ref="O728:O731" si="2253">+N728*$X$1</f>
        <v>5832.9999999999991</v>
      </c>
      <c r="P728" s="559">
        <f>F728+270</f>
        <v>5722.9999999999991</v>
      </c>
      <c r="Q728" s="257">
        <f t="shared" ref="Q728:Q731" si="2254">+P728*$X$1</f>
        <v>5722.9999999999991</v>
      </c>
      <c r="R728" s="559">
        <f>F728+180</f>
        <v>5632.9999999999991</v>
      </c>
      <c r="S728" s="257">
        <f t="shared" ref="S728:S731" si="2255">+R728*$X$1</f>
        <v>5632.9999999999991</v>
      </c>
      <c r="T728" s="559">
        <f>F728+140</f>
        <v>5592.9999999999991</v>
      </c>
      <c r="U728" s="257">
        <f t="shared" ref="U728:U731" si="2256">+T728*$X$1</f>
        <v>5592.9999999999991</v>
      </c>
      <c r="V728" s="559">
        <f>F728+110</f>
        <v>5562.9999999999991</v>
      </c>
      <c r="W728" s="257">
        <f t="shared" ref="W728:W731" si="2257">+V728*$X$1</f>
        <v>5562.9999999999991</v>
      </c>
      <c r="X728" s="216"/>
      <c r="Y728" s="124"/>
      <c r="Z728" s="122"/>
      <c r="AA728" s="125"/>
      <c r="AB728" s="372" t="s">
        <v>382</v>
      </c>
    </row>
    <row r="729" spans="1:38" s="1" customFormat="1" ht="12.6" customHeight="1" x14ac:dyDescent="0.2">
      <c r="A729" s="18"/>
      <c r="B729" s="642" t="s">
        <v>986</v>
      </c>
      <c r="C729" s="662"/>
      <c r="D729" s="662"/>
      <c r="E729" s="663"/>
      <c r="F729" s="258">
        <f>12.67*X2</f>
        <v>16851.099999999999</v>
      </c>
      <c r="G729" s="258">
        <f t="shared" ref="G729" si="2258">+F729*$X$1</f>
        <v>16851.099999999999</v>
      </c>
      <c r="H729" s="576">
        <f>F729+3000</f>
        <v>19851.099999999999</v>
      </c>
      <c r="I729" s="258">
        <f t="shared" ref="I729" si="2259">+H729*$X$1</f>
        <v>19851.099999999999</v>
      </c>
      <c r="J729" s="576">
        <f>F729+900</f>
        <v>17751.099999999999</v>
      </c>
      <c r="K729" s="258">
        <f t="shared" ref="K729" si="2260">+J729*$X$1</f>
        <v>17751.099999999999</v>
      </c>
      <c r="L729" s="576">
        <f>F729+700</f>
        <v>17551.099999999999</v>
      </c>
      <c r="M729" s="258">
        <f t="shared" ref="M729" si="2261">+L729*$X$1</f>
        <v>17551.099999999999</v>
      </c>
      <c r="N729" s="576">
        <f>F729+500</f>
        <v>17351.099999999999</v>
      </c>
      <c r="O729" s="258">
        <f t="shared" ref="O729" si="2262">+N729*$X$1</f>
        <v>17351.099999999999</v>
      </c>
      <c r="P729" s="576">
        <f>F729+400</f>
        <v>17251.099999999999</v>
      </c>
      <c r="Q729" s="258">
        <f t="shared" ref="Q729" si="2263">+P729*$X$1</f>
        <v>17251.099999999999</v>
      </c>
      <c r="R729" s="576">
        <f>F729+330</f>
        <v>17181.099999999999</v>
      </c>
      <c r="S729" s="258">
        <f t="shared" ref="S729" si="2264">+R729*$X$1</f>
        <v>17181.099999999999</v>
      </c>
      <c r="T729" s="576">
        <f>F729+280</f>
        <v>17131.099999999999</v>
      </c>
      <c r="U729" s="258">
        <f t="shared" ref="U729" si="2265">+T729*$X$1</f>
        <v>17131.099999999999</v>
      </c>
      <c r="V729" s="576">
        <f>F729+220</f>
        <v>17071.099999999999</v>
      </c>
      <c r="W729" s="258">
        <f t="shared" ref="W729" si="2266">+V729*$X$1</f>
        <v>17071.099999999999</v>
      </c>
      <c r="X729" s="714"/>
      <c r="Y729" s="715"/>
      <c r="Z729" s="715"/>
      <c r="AA729" s="716"/>
      <c r="AB729" s="178">
        <v>10505</v>
      </c>
      <c r="AC729" s="4"/>
      <c r="AD729" s="4"/>
      <c r="AE729" s="4"/>
      <c r="AF729" s="4"/>
      <c r="AG729" s="4"/>
      <c r="AH729" s="116"/>
      <c r="AI729" s="4"/>
      <c r="AJ729" s="4"/>
      <c r="AK729" s="4"/>
      <c r="AL729" s="4"/>
    </row>
    <row r="730" spans="1:38" s="1" customFormat="1" ht="12.6" customHeight="1" x14ac:dyDescent="0.2">
      <c r="A730" s="18"/>
      <c r="B730" s="678" t="s">
        <v>863</v>
      </c>
      <c r="C730" s="679"/>
      <c r="D730" s="679"/>
      <c r="E730" s="680"/>
      <c r="F730" s="257">
        <f>22.49*X2</f>
        <v>29911.699999999997</v>
      </c>
      <c r="G730" s="257">
        <f t="shared" ref="G730" si="2267">+F730*$X$1</f>
        <v>29911.699999999997</v>
      </c>
      <c r="H730" s="559">
        <f>F730+3000</f>
        <v>32911.699999999997</v>
      </c>
      <c r="I730" s="257">
        <f t="shared" ref="I730:I731" si="2268">+H730*$X$1</f>
        <v>32911.699999999997</v>
      </c>
      <c r="J730" s="559">
        <f>F730+900</f>
        <v>30811.699999999997</v>
      </c>
      <c r="K730" s="257">
        <f t="shared" si="2251"/>
        <v>30811.699999999997</v>
      </c>
      <c r="L730" s="559">
        <f>F730+700</f>
        <v>30611.699999999997</v>
      </c>
      <c r="M730" s="257">
        <f t="shared" si="2252"/>
        <v>30611.699999999997</v>
      </c>
      <c r="N730" s="559">
        <f>F730+500</f>
        <v>30411.699999999997</v>
      </c>
      <c r="O730" s="257">
        <f t="shared" si="2253"/>
        <v>30411.699999999997</v>
      </c>
      <c r="P730" s="559">
        <f>F730+400</f>
        <v>30311.699999999997</v>
      </c>
      <c r="Q730" s="257">
        <f t="shared" si="2254"/>
        <v>30311.699999999997</v>
      </c>
      <c r="R730" s="559">
        <f>F730+330</f>
        <v>30241.699999999997</v>
      </c>
      <c r="S730" s="257">
        <f t="shared" si="2255"/>
        <v>30241.699999999997</v>
      </c>
      <c r="T730" s="559">
        <f>F730+280</f>
        <v>30191.699999999997</v>
      </c>
      <c r="U730" s="257">
        <f t="shared" si="2256"/>
        <v>30191.699999999997</v>
      </c>
      <c r="V730" s="559">
        <f>F730+220</f>
        <v>30131.699999999997</v>
      </c>
      <c r="W730" s="257">
        <f t="shared" si="2257"/>
        <v>30131.699999999997</v>
      </c>
      <c r="X730" s="714"/>
      <c r="Y730" s="715"/>
      <c r="Z730" s="715"/>
      <c r="AA730" s="716"/>
      <c r="AB730" s="178">
        <v>10506</v>
      </c>
      <c r="AC730" s="4"/>
      <c r="AD730" s="4"/>
      <c r="AE730" s="4"/>
      <c r="AF730" s="4"/>
      <c r="AG730" s="4"/>
      <c r="AH730" s="116"/>
      <c r="AI730" s="4"/>
      <c r="AJ730" s="4"/>
      <c r="AK730" s="4"/>
      <c r="AL730" s="4"/>
    </row>
    <row r="731" spans="1:38" s="1" customFormat="1" ht="12.6" customHeight="1" x14ac:dyDescent="0.2">
      <c r="A731" s="18"/>
      <c r="B731" s="687" t="s">
        <v>839</v>
      </c>
      <c r="C731" s="688"/>
      <c r="D731" s="688"/>
      <c r="E731" s="689"/>
      <c r="F731" s="258">
        <f>29.6*X2</f>
        <v>39368</v>
      </c>
      <c r="G731" s="258">
        <f t="shared" si="2226"/>
        <v>39368</v>
      </c>
      <c r="H731" s="576">
        <f>F731+3000</f>
        <v>42368</v>
      </c>
      <c r="I731" s="258">
        <f t="shared" si="2268"/>
        <v>42368</v>
      </c>
      <c r="J731" s="576">
        <f>F731+900</f>
        <v>40268</v>
      </c>
      <c r="K731" s="258">
        <f t="shared" si="2251"/>
        <v>40268</v>
      </c>
      <c r="L731" s="576">
        <f>F731+700</f>
        <v>40068</v>
      </c>
      <c r="M731" s="258">
        <f t="shared" si="2252"/>
        <v>40068</v>
      </c>
      <c r="N731" s="576">
        <f>F731+500</f>
        <v>39868</v>
      </c>
      <c r="O731" s="258">
        <f t="shared" si="2253"/>
        <v>39868</v>
      </c>
      <c r="P731" s="576">
        <f>F731+400</f>
        <v>39768</v>
      </c>
      <c r="Q731" s="258">
        <f t="shared" si="2254"/>
        <v>39768</v>
      </c>
      <c r="R731" s="576">
        <f>F731+330</f>
        <v>39698</v>
      </c>
      <c r="S731" s="258">
        <f t="shared" si="2255"/>
        <v>39698</v>
      </c>
      <c r="T731" s="576">
        <f>F731+280</f>
        <v>39648</v>
      </c>
      <c r="U731" s="258">
        <f t="shared" si="2256"/>
        <v>39648</v>
      </c>
      <c r="V731" s="576">
        <f>F731+220</f>
        <v>39588</v>
      </c>
      <c r="W731" s="258">
        <f t="shared" si="2257"/>
        <v>39588</v>
      </c>
      <c r="X731" s="714"/>
      <c r="Y731" s="715"/>
      <c r="Z731" s="715"/>
      <c r="AA731" s="716"/>
      <c r="AB731" s="178">
        <v>10507</v>
      </c>
      <c r="AC731" s="4"/>
      <c r="AD731" s="4"/>
      <c r="AE731" s="4"/>
      <c r="AF731" s="4"/>
      <c r="AG731" s="4"/>
      <c r="AH731" s="116"/>
      <c r="AI731" s="4"/>
      <c r="AJ731" s="4"/>
      <c r="AK731" s="4"/>
      <c r="AL731" s="4"/>
    </row>
    <row r="732" spans="1:38" s="1" customFormat="1" ht="12.6" customHeight="1" x14ac:dyDescent="0.2">
      <c r="A732" s="18"/>
      <c r="B732" s="642" t="s">
        <v>987</v>
      </c>
      <c r="C732" s="662"/>
      <c r="D732" s="662"/>
      <c r="E732" s="663"/>
      <c r="F732" s="257">
        <f>27*X2</f>
        <v>35910</v>
      </c>
      <c r="G732" s="257">
        <f t="shared" ref="G732" si="2269">+F732*$X$1</f>
        <v>35910</v>
      </c>
      <c r="H732" s="559">
        <f>F732+6000</f>
        <v>41910</v>
      </c>
      <c r="I732" s="257">
        <f t="shared" ref="I732" si="2270">+H732*$X$1</f>
        <v>41910</v>
      </c>
      <c r="J732" s="559">
        <f>F732+3000</f>
        <v>38910</v>
      </c>
      <c r="K732" s="257">
        <f t="shared" ref="K732" si="2271">+J732*$X$1</f>
        <v>38910</v>
      </c>
      <c r="L732" s="559">
        <f>F732+2000</f>
        <v>37910</v>
      </c>
      <c r="M732" s="257">
        <f t="shared" ref="M732" si="2272">+L732*$X$1</f>
        <v>37910</v>
      </c>
      <c r="N732" s="559">
        <f>F732+1800</f>
        <v>37710</v>
      </c>
      <c r="O732" s="257">
        <f t="shared" ref="O732" si="2273">+N732*$X$1</f>
        <v>37710</v>
      </c>
      <c r="P732" s="559">
        <f>F732+1600</f>
        <v>37510</v>
      </c>
      <c r="Q732" s="257">
        <f t="shared" ref="Q732" si="2274">+P732*$X$1</f>
        <v>37510</v>
      </c>
      <c r="R732" s="559">
        <f>F732+1400</f>
        <v>37310</v>
      </c>
      <c r="S732" s="257">
        <f t="shared" ref="S732" si="2275">+R732*$X$1</f>
        <v>37310</v>
      </c>
      <c r="T732" s="559">
        <f>F732+1200</f>
        <v>37110</v>
      </c>
      <c r="U732" s="257">
        <f t="shared" ref="U732" si="2276">+T732*$X$1</f>
        <v>37110</v>
      </c>
      <c r="V732" s="559">
        <f>F732+900</f>
        <v>36810</v>
      </c>
      <c r="W732" s="257">
        <f t="shared" ref="W732" si="2277">+V732*$X$1</f>
        <v>36810</v>
      </c>
      <c r="X732" s="714"/>
      <c r="Y732" s="715"/>
      <c r="Z732" s="715"/>
      <c r="AA732" s="716"/>
      <c r="AB732" s="178">
        <v>10508</v>
      </c>
      <c r="AC732" s="4"/>
      <c r="AD732" s="4"/>
      <c r="AE732" s="4"/>
      <c r="AF732" s="4"/>
      <c r="AG732" s="4"/>
      <c r="AH732" s="116"/>
      <c r="AI732" s="4"/>
      <c r="AJ732" s="4"/>
      <c r="AK732" s="4"/>
      <c r="AL732" s="4"/>
    </row>
    <row r="733" spans="1:38" ht="12.6" customHeight="1" x14ac:dyDescent="0.2">
      <c r="A733" s="10"/>
      <c r="B733" s="1130" t="s">
        <v>283</v>
      </c>
      <c r="C733" s="1130"/>
      <c r="D733" s="1130"/>
      <c r="E733" s="1130"/>
      <c r="F733" s="258">
        <f>35.1*X2</f>
        <v>46683</v>
      </c>
      <c r="G733" s="258">
        <f t="shared" ref="G733" si="2278">+F733*$X$1</f>
        <v>46683</v>
      </c>
      <c r="H733" s="95"/>
      <c r="I733" s="95"/>
      <c r="J733" s="82">
        <f>F733+900</f>
        <v>47583</v>
      </c>
      <c r="K733" s="258">
        <f>+J733*$X$1</f>
        <v>47583</v>
      </c>
      <c r="L733" s="576">
        <f>F733+500</f>
        <v>47183</v>
      </c>
      <c r="M733" s="258">
        <f t="shared" ref="M733" si="2279">+L733*$X$1</f>
        <v>47183</v>
      </c>
      <c r="N733" s="576">
        <f>F733+300</f>
        <v>46983</v>
      </c>
      <c r="O733" s="258">
        <f t="shared" ref="O733" si="2280">+N733*$X$1</f>
        <v>46983</v>
      </c>
      <c r="P733" s="576">
        <f>F733+190</f>
        <v>46873</v>
      </c>
      <c r="Q733" s="258">
        <f t="shared" ref="Q733" si="2281">+P733*$X$1</f>
        <v>46873</v>
      </c>
      <c r="R733" s="576">
        <f>F733+150</f>
        <v>46833</v>
      </c>
      <c r="S733" s="258">
        <f t="shared" ref="S733" si="2282">+R733*$X$1</f>
        <v>46833</v>
      </c>
      <c r="T733" s="576">
        <f>F733+120</f>
        <v>46803</v>
      </c>
      <c r="U733" s="258">
        <f t="shared" ref="U733" si="2283">+T733*$X$1</f>
        <v>46803</v>
      </c>
      <c r="V733" s="576"/>
      <c r="W733" s="258"/>
      <c r="X733" s="122"/>
      <c r="Y733" s="126"/>
      <c r="Z733" s="122"/>
      <c r="AA733" s="125"/>
      <c r="AB733" s="372" t="s">
        <v>395</v>
      </c>
    </row>
    <row r="734" spans="1:38" ht="12.6" customHeight="1" x14ac:dyDescent="0.2">
      <c r="A734" s="10"/>
      <c r="B734" s="1075" t="s">
        <v>394</v>
      </c>
      <c r="C734" s="1075"/>
      <c r="D734" s="1075"/>
      <c r="E734" s="1075"/>
      <c r="F734" s="257"/>
      <c r="G734" s="257"/>
      <c r="H734" s="91"/>
      <c r="I734" s="91"/>
      <c r="J734" s="559"/>
      <c r="K734" s="257"/>
      <c r="L734" s="559"/>
      <c r="M734" s="257"/>
      <c r="N734" s="559"/>
      <c r="O734" s="257"/>
      <c r="P734" s="559"/>
      <c r="Q734" s="257"/>
      <c r="R734" s="559"/>
      <c r="S734" s="257"/>
      <c r="T734" s="559"/>
      <c r="U734" s="257"/>
      <c r="V734" s="587"/>
      <c r="W734" s="509"/>
      <c r="X734" s="122"/>
      <c r="Y734" s="126"/>
      <c r="Z734" s="122"/>
      <c r="AA734" s="125"/>
      <c r="AB734" s="372" t="s">
        <v>284</v>
      </c>
    </row>
    <row r="735" spans="1:38" s="1" customFormat="1" ht="12.6" customHeight="1" x14ac:dyDescent="0.2">
      <c r="A735" s="18"/>
      <c r="B735" s="667" t="s">
        <v>924</v>
      </c>
      <c r="C735" s="668"/>
      <c r="D735" s="668"/>
      <c r="E735" s="668"/>
      <c r="F735" s="258">
        <v>25940</v>
      </c>
      <c r="G735" s="258">
        <f t="shared" ref="G735" si="2284">+F735*$X$1</f>
        <v>25940</v>
      </c>
      <c r="H735" s="576"/>
      <c r="I735" s="258"/>
      <c r="J735" s="82"/>
      <c r="K735" s="258"/>
      <c r="L735" s="576">
        <f>F735+600</f>
        <v>26540</v>
      </c>
      <c r="M735" s="258">
        <f t="shared" ref="M735:M736" si="2285">+L735*$X$1</f>
        <v>26540</v>
      </c>
      <c r="N735" s="576">
        <f>F735+380</f>
        <v>26320</v>
      </c>
      <c r="O735" s="258">
        <f t="shared" ref="O735:O736" si="2286">+N735*$X$1</f>
        <v>26320</v>
      </c>
      <c r="P735" s="576">
        <f>F735+270</f>
        <v>26210</v>
      </c>
      <c r="Q735" s="258">
        <f t="shared" ref="Q735:Q736" si="2287">+P735*$X$1</f>
        <v>26210</v>
      </c>
      <c r="R735" s="576">
        <f>F735+180</f>
        <v>26120</v>
      </c>
      <c r="S735" s="258">
        <f t="shared" ref="S735:S736" si="2288">+R735*$X$1</f>
        <v>26120</v>
      </c>
      <c r="T735" s="576">
        <f>F735+140</f>
        <v>26080</v>
      </c>
      <c r="U735" s="258">
        <f t="shared" ref="U735:U736" si="2289">+T735*$X$1</f>
        <v>26080</v>
      </c>
      <c r="V735" s="576">
        <f>F735+110</f>
        <v>26050</v>
      </c>
      <c r="W735" s="258">
        <f t="shared" ref="W735:W736" si="2290">+V735*$X$1</f>
        <v>26050</v>
      </c>
      <c r="X735" s="714"/>
      <c r="Y735" s="715"/>
      <c r="Z735" s="715"/>
      <c r="AA735" s="716"/>
      <c r="AB735" s="178" t="s">
        <v>780</v>
      </c>
      <c r="AC735" s="4"/>
      <c r="AD735" s="4"/>
      <c r="AE735" s="4"/>
      <c r="AF735" s="4"/>
      <c r="AG735" s="4"/>
      <c r="AH735" s="116"/>
      <c r="AI735" s="4"/>
      <c r="AJ735" s="4"/>
      <c r="AK735" s="4"/>
      <c r="AL735" s="4"/>
    </row>
    <row r="736" spans="1:38" s="1" customFormat="1" ht="12.6" customHeight="1" x14ac:dyDescent="0.2">
      <c r="A736" s="18"/>
      <c r="B736" s="672" t="s">
        <v>923</v>
      </c>
      <c r="C736" s="673"/>
      <c r="D736" s="673"/>
      <c r="E736" s="673"/>
      <c r="F736" s="257">
        <v>14073</v>
      </c>
      <c r="G736" s="257">
        <f t="shared" ref="G736" si="2291">+F736*$X$1</f>
        <v>14073</v>
      </c>
      <c r="H736" s="559"/>
      <c r="I736" s="257"/>
      <c r="J736" s="68"/>
      <c r="K736" s="257"/>
      <c r="L736" s="559">
        <f>F736+600</f>
        <v>14673</v>
      </c>
      <c r="M736" s="257">
        <f t="shared" si="2285"/>
        <v>14673</v>
      </c>
      <c r="N736" s="559">
        <f>F736+380</f>
        <v>14453</v>
      </c>
      <c r="O736" s="257">
        <f t="shared" si="2286"/>
        <v>14453</v>
      </c>
      <c r="P736" s="559">
        <f>F736+270</f>
        <v>14343</v>
      </c>
      <c r="Q736" s="257">
        <f t="shared" si="2287"/>
        <v>14343</v>
      </c>
      <c r="R736" s="559">
        <f>F736+180</f>
        <v>14253</v>
      </c>
      <c r="S736" s="257">
        <f t="shared" si="2288"/>
        <v>14253</v>
      </c>
      <c r="T736" s="559">
        <f>F736+140</f>
        <v>14213</v>
      </c>
      <c r="U736" s="257">
        <f t="shared" si="2289"/>
        <v>14213</v>
      </c>
      <c r="V736" s="559">
        <f>F736+110</f>
        <v>14183</v>
      </c>
      <c r="W736" s="257">
        <f t="shared" si="2290"/>
        <v>14183</v>
      </c>
      <c r="X736" s="714"/>
      <c r="Y736" s="715"/>
      <c r="Z736" s="715"/>
      <c r="AA736" s="716"/>
      <c r="AB736" s="178" t="s">
        <v>781</v>
      </c>
      <c r="AC736" s="4"/>
      <c r="AD736" s="4"/>
      <c r="AE736" s="4"/>
      <c r="AF736" s="4"/>
      <c r="AG736" s="4"/>
      <c r="AH736" s="116"/>
      <c r="AI736" s="4"/>
      <c r="AJ736" s="4"/>
      <c r="AK736" s="4"/>
      <c r="AL736" s="4"/>
    </row>
    <row r="737" spans="1:34" ht="12.6" customHeight="1" x14ac:dyDescent="0.2">
      <c r="A737" s="188"/>
      <c r="B737" s="669" t="s">
        <v>490</v>
      </c>
      <c r="C737" s="668"/>
      <c r="D737" s="668"/>
      <c r="E737" s="668"/>
      <c r="F737" s="258">
        <v>18624</v>
      </c>
      <c r="G737" s="258">
        <f t="shared" ref="G737" si="2292">+F737*$X$1</f>
        <v>18624</v>
      </c>
      <c r="H737" s="251"/>
      <c r="I737" s="251"/>
      <c r="J737" s="576">
        <f>F737+1000</f>
        <v>19624</v>
      </c>
      <c r="K737" s="258">
        <f t="shared" ref="K737" si="2293">+J737*$X$1</f>
        <v>19624</v>
      </c>
      <c r="L737" s="576">
        <f t="shared" ref="L737" si="2294">F737+800</f>
        <v>19424</v>
      </c>
      <c r="M737" s="258">
        <f t="shared" ref="M737:M740" si="2295">+L737*$X$1</f>
        <v>19424</v>
      </c>
      <c r="N737" s="576">
        <f t="shared" ref="N737" si="2296">F737+700</f>
        <v>19324</v>
      </c>
      <c r="O737" s="258">
        <f t="shared" ref="O737:O740" si="2297">+N737*$X$1</f>
        <v>19324</v>
      </c>
      <c r="P737" s="576">
        <f t="shared" ref="P737" si="2298">F737+600</f>
        <v>19224</v>
      </c>
      <c r="Q737" s="258">
        <f t="shared" ref="Q737:Q740" si="2299">+P737*$X$1</f>
        <v>19224</v>
      </c>
      <c r="R737" s="576">
        <f t="shared" ref="R737" si="2300">F737+500</f>
        <v>19124</v>
      </c>
      <c r="S737" s="258">
        <f t="shared" ref="S737:S740" si="2301">+R737*$X$1</f>
        <v>19124</v>
      </c>
      <c r="T737" s="576">
        <f t="shared" ref="T737" si="2302">F737+450</f>
        <v>19074</v>
      </c>
      <c r="U737" s="258">
        <f t="shared" ref="U737:U740" si="2303">+T737*$X$1</f>
        <v>19074</v>
      </c>
      <c r="V737" s="588"/>
      <c r="W737" s="258"/>
      <c r="X737" s="275"/>
      <c r="Y737" s="275"/>
      <c r="Z737" s="275"/>
      <c r="AA737" s="275"/>
      <c r="AB737" s="372" t="s">
        <v>602</v>
      </c>
    </row>
    <row r="738" spans="1:34" ht="12.6" customHeight="1" x14ac:dyDescent="0.2">
      <c r="A738" s="188"/>
      <c r="B738" s="873" t="s">
        <v>378</v>
      </c>
      <c r="C738" s="740"/>
      <c r="D738" s="740"/>
      <c r="E738" s="740"/>
      <c r="F738" s="257">
        <v>20890</v>
      </c>
      <c r="G738" s="257">
        <f t="shared" ref="G738:G743" si="2304">+F738*$X$1</f>
        <v>20890</v>
      </c>
      <c r="H738" s="252"/>
      <c r="I738" s="252"/>
      <c r="J738" s="559"/>
      <c r="K738" s="257"/>
      <c r="L738" s="559">
        <f>F738+600</f>
        <v>21490</v>
      </c>
      <c r="M738" s="257">
        <f t="shared" si="2295"/>
        <v>21490</v>
      </c>
      <c r="N738" s="559">
        <f>F738+380</f>
        <v>21270</v>
      </c>
      <c r="O738" s="257">
        <f t="shared" si="2297"/>
        <v>21270</v>
      </c>
      <c r="P738" s="559">
        <f>F738+270</f>
        <v>21160</v>
      </c>
      <c r="Q738" s="257">
        <f t="shared" si="2299"/>
        <v>21160</v>
      </c>
      <c r="R738" s="559">
        <f>F738+180</f>
        <v>21070</v>
      </c>
      <c r="S738" s="257">
        <f t="shared" si="2301"/>
        <v>21070</v>
      </c>
      <c r="T738" s="559">
        <f>F738+140</f>
        <v>21030</v>
      </c>
      <c r="U738" s="257">
        <f t="shared" si="2303"/>
        <v>21030</v>
      </c>
      <c r="V738" s="559">
        <f>F738+110</f>
        <v>21000</v>
      </c>
      <c r="W738" s="257">
        <f t="shared" ref="W738:W740" si="2305">+V738*$X$1</f>
        <v>21000</v>
      </c>
      <c r="X738" s="139"/>
      <c r="Y738" s="139"/>
      <c r="Z738" s="139"/>
      <c r="AA738" s="139"/>
      <c r="AB738" s="372" t="s">
        <v>381</v>
      </c>
    </row>
    <row r="739" spans="1:34" ht="12.6" customHeight="1" x14ac:dyDescent="0.2">
      <c r="A739" s="188"/>
      <c r="B739" s="836" t="s">
        <v>489</v>
      </c>
      <c r="C739" s="770"/>
      <c r="D739" s="770"/>
      <c r="E739" s="770"/>
      <c r="F739" s="258">
        <v>21780</v>
      </c>
      <c r="G739" s="258">
        <f t="shared" ref="G739:G740" si="2306">+F739*$X$1</f>
        <v>21780</v>
      </c>
      <c r="H739" s="576">
        <f>F739+3000</f>
        <v>24780</v>
      </c>
      <c r="I739" s="258">
        <f t="shared" ref="I739" si="2307">+H739*$X$1</f>
        <v>24780</v>
      </c>
      <c r="J739" s="576">
        <f t="shared" ref="J739:J745" si="2308">F739+1000</f>
        <v>22780</v>
      </c>
      <c r="K739" s="258">
        <f t="shared" ref="K739" si="2309">+J739*$X$1</f>
        <v>22780</v>
      </c>
      <c r="L739" s="576">
        <f>F739+600</f>
        <v>22380</v>
      </c>
      <c r="M739" s="258">
        <f t="shared" si="2295"/>
        <v>22380</v>
      </c>
      <c r="N739" s="576">
        <f>F739+380</f>
        <v>22160</v>
      </c>
      <c r="O739" s="258">
        <f t="shared" si="2297"/>
        <v>22160</v>
      </c>
      <c r="P739" s="576">
        <f>F739+270</f>
        <v>22050</v>
      </c>
      <c r="Q739" s="258">
        <f t="shared" si="2299"/>
        <v>22050</v>
      </c>
      <c r="R739" s="576">
        <f>F739+180</f>
        <v>21960</v>
      </c>
      <c r="S739" s="258">
        <f t="shared" si="2301"/>
        <v>21960</v>
      </c>
      <c r="T739" s="576">
        <f>F739+140</f>
        <v>21920</v>
      </c>
      <c r="U739" s="258">
        <f t="shared" si="2303"/>
        <v>21920</v>
      </c>
      <c r="V739" s="576">
        <f>F739+110</f>
        <v>21890</v>
      </c>
      <c r="W739" s="258">
        <f t="shared" si="2305"/>
        <v>21890</v>
      </c>
      <c r="X739" s="275"/>
      <c r="Y739" s="275"/>
      <c r="Z739" s="275"/>
      <c r="AA739" s="275"/>
      <c r="AB739" s="372" t="s">
        <v>491</v>
      </c>
    </row>
    <row r="740" spans="1:34" ht="12.6" customHeight="1" x14ac:dyDescent="0.2">
      <c r="A740" s="188"/>
      <c r="B740" s="873" t="s">
        <v>696</v>
      </c>
      <c r="C740" s="740"/>
      <c r="D740" s="740"/>
      <c r="E740" s="740"/>
      <c r="F740" s="257">
        <v>21603</v>
      </c>
      <c r="G740" s="257">
        <f t="shared" si="2306"/>
        <v>21603</v>
      </c>
      <c r="H740" s="559">
        <f>F740+3000</f>
        <v>24603</v>
      </c>
      <c r="I740" s="257">
        <f t="shared" ref="I740" si="2310">+H740*$X$1</f>
        <v>24603</v>
      </c>
      <c r="J740" s="559">
        <f t="shared" si="2308"/>
        <v>22603</v>
      </c>
      <c r="K740" s="257">
        <f t="shared" ref="K740:K745" si="2311">+J740*$X$1</f>
        <v>22603</v>
      </c>
      <c r="L740" s="559">
        <f>F740+600</f>
        <v>22203</v>
      </c>
      <c r="M740" s="257">
        <f t="shared" si="2295"/>
        <v>22203</v>
      </c>
      <c r="N740" s="559">
        <f>F740+380</f>
        <v>21983</v>
      </c>
      <c r="O740" s="257">
        <f t="shared" si="2297"/>
        <v>21983</v>
      </c>
      <c r="P740" s="559">
        <f>F740+270</f>
        <v>21873</v>
      </c>
      <c r="Q740" s="257">
        <f t="shared" si="2299"/>
        <v>21873</v>
      </c>
      <c r="R740" s="559">
        <f>F740+180</f>
        <v>21783</v>
      </c>
      <c r="S740" s="257">
        <f t="shared" si="2301"/>
        <v>21783</v>
      </c>
      <c r="T740" s="559">
        <f>F740+140</f>
        <v>21743</v>
      </c>
      <c r="U740" s="257">
        <f t="shared" si="2303"/>
        <v>21743</v>
      </c>
      <c r="V740" s="559">
        <f>F740+110</f>
        <v>21713</v>
      </c>
      <c r="W740" s="257">
        <f t="shared" si="2305"/>
        <v>21713</v>
      </c>
      <c r="X740" s="404"/>
      <c r="Y740" s="404"/>
      <c r="Z740" s="404"/>
      <c r="AA740" s="404"/>
      <c r="AB740" s="372" t="s">
        <v>697</v>
      </c>
    </row>
    <row r="741" spans="1:34" ht="12.6" customHeight="1" x14ac:dyDescent="0.2">
      <c r="A741" s="188"/>
      <c r="B741" s="836" t="s">
        <v>377</v>
      </c>
      <c r="C741" s="770"/>
      <c r="D741" s="770"/>
      <c r="E741" s="770"/>
      <c r="F741" s="258">
        <v>23148</v>
      </c>
      <c r="G741" s="258">
        <f t="shared" si="2304"/>
        <v>23148</v>
      </c>
      <c r="H741" s="251"/>
      <c r="I741" s="251"/>
      <c r="J741" s="92">
        <f t="shared" si="2308"/>
        <v>24148</v>
      </c>
      <c r="K741" s="283">
        <f t="shared" si="2311"/>
        <v>24148</v>
      </c>
      <c r="L741" s="92">
        <f t="shared" ref="L741:L745" si="2312">F741+800</f>
        <v>23948</v>
      </c>
      <c r="M741" s="283">
        <f t="shared" ref="M741:M745" si="2313">+L741*$X$1</f>
        <v>23948</v>
      </c>
      <c r="N741" s="92">
        <f t="shared" ref="N741:N745" si="2314">F741+700</f>
        <v>23848</v>
      </c>
      <c r="O741" s="283">
        <f t="shared" ref="O741:O745" si="2315">+N741*$X$1</f>
        <v>23848</v>
      </c>
      <c r="P741" s="92">
        <f t="shared" ref="P741:P745" si="2316">F741+600</f>
        <v>23748</v>
      </c>
      <c r="Q741" s="283">
        <f t="shared" ref="Q741:Q745" si="2317">+P741*$X$1</f>
        <v>23748</v>
      </c>
      <c r="R741" s="92">
        <f t="shared" ref="R741:R745" si="2318">F741+500</f>
        <v>23648</v>
      </c>
      <c r="S741" s="283">
        <f t="shared" ref="S741:S745" si="2319">+R741*$X$1</f>
        <v>23648</v>
      </c>
      <c r="T741" s="92">
        <f t="shared" ref="T741:T745" si="2320">F741+450</f>
        <v>23598</v>
      </c>
      <c r="U741" s="283">
        <f t="shared" ref="U741:U745" si="2321">+T741*$X$1</f>
        <v>23598</v>
      </c>
      <c r="V741" s="437"/>
      <c r="W741" s="258"/>
      <c r="X741" s="139"/>
      <c r="Y741" s="139"/>
      <c r="Z741" s="139"/>
      <c r="AA741" s="139"/>
      <c r="AB741" s="372" t="s">
        <v>380</v>
      </c>
    </row>
    <row r="742" spans="1:34" ht="12.6" customHeight="1" x14ac:dyDescent="0.2">
      <c r="A742" s="188"/>
      <c r="B742" s="873" t="s">
        <v>492</v>
      </c>
      <c r="C742" s="740"/>
      <c r="D742" s="740"/>
      <c r="E742" s="740"/>
      <c r="F742" s="333">
        <f>12.37*X2</f>
        <v>16452.099999999999</v>
      </c>
      <c r="G742" s="257">
        <f t="shared" ref="G742" si="2322">+F742*$X$1</f>
        <v>16452.099999999999</v>
      </c>
      <c r="H742" s="252"/>
      <c r="I742" s="252"/>
      <c r="J742" s="93">
        <f t="shared" si="2308"/>
        <v>17452.099999999999</v>
      </c>
      <c r="K742" s="273">
        <f t="shared" si="2311"/>
        <v>17452.099999999999</v>
      </c>
      <c r="L742" s="93">
        <f t="shared" si="2312"/>
        <v>17252.099999999999</v>
      </c>
      <c r="M742" s="273">
        <f t="shared" si="2313"/>
        <v>17252.099999999999</v>
      </c>
      <c r="N742" s="93">
        <f t="shared" si="2314"/>
        <v>17152.099999999999</v>
      </c>
      <c r="O742" s="273">
        <f t="shared" si="2315"/>
        <v>17152.099999999999</v>
      </c>
      <c r="P742" s="93">
        <f t="shared" si="2316"/>
        <v>17052.099999999999</v>
      </c>
      <c r="Q742" s="273">
        <f t="shared" si="2317"/>
        <v>17052.099999999999</v>
      </c>
      <c r="R742" s="93">
        <f t="shared" si="2318"/>
        <v>16952.099999999999</v>
      </c>
      <c r="S742" s="273">
        <f t="shared" si="2319"/>
        <v>16952.099999999999</v>
      </c>
      <c r="T742" s="93">
        <f t="shared" si="2320"/>
        <v>16902.099999999999</v>
      </c>
      <c r="U742" s="273">
        <f t="shared" si="2321"/>
        <v>16902.099999999999</v>
      </c>
      <c r="V742" s="276"/>
      <c r="W742" s="257"/>
      <c r="X742" s="277"/>
      <c r="Y742" s="277"/>
      <c r="Z742" s="277"/>
      <c r="AA742" s="277"/>
      <c r="AB742" s="372" t="s">
        <v>603</v>
      </c>
    </row>
    <row r="743" spans="1:34" ht="12.6" customHeight="1" x14ac:dyDescent="0.2">
      <c r="A743" s="188"/>
      <c r="B743" s="836" t="s">
        <v>423</v>
      </c>
      <c r="C743" s="770"/>
      <c r="D743" s="770"/>
      <c r="E743" s="770"/>
      <c r="F743" s="334">
        <f>9.74*X2</f>
        <v>12954.2</v>
      </c>
      <c r="G743" s="258">
        <f t="shared" si="2304"/>
        <v>12954.2</v>
      </c>
      <c r="H743" s="251"/>
      <c r="I743" s="251"/>
      <c r="J743" s="92">
        <f t="shared" si="2308"/>
        <v>13954.2</v>
      </c>
      <c r="K743" s="283">
        <f t="shared" si="2311"/>
        <v>13954.2</v>
      </c>
      <c r="L743" s="92">
        <f t="shared" si="2312"/>
        <v>13754.2</v>
      </c>
      <c r="M743" s="283">
        <f t="shared" si="2313"/>
        <v>13754.2</v>
      </c>
      <c r="N743" s="92">
        <f t="shared" si="2314"/>
        <v>13654.2</v>
      </c>
      <c r="O743" s="283">
        <f t="shared" si="2315"/>
        <v>13654.2</v>
      </c>
      <c r="P743" s="92">
        <f t="shared" si="2316"/>
        <v>13554.2</v>
      </c>
      <c r="Q743" s="283">
        <f t="shared" si="2317"/>
        <v>13554.2</v>
      </c>
      <c r="R743" s="92">
        <f t="shared" si="2318"/>
        <v>13454.2</v>
      </c>
      <c r="S743" s="283">
        <f t="shared" si="2319"/>
        <v>13454.2</v>
      </c>
      <c r="T743" s="92">
        <f t="shared" si="2320"/>
        <v>13404.2</v>
      </c>
      <c r="U743" s="283">
        <f t="shared" si="2321"/>
        <v>13404.2</v>
      </c>
      <c r="V743" s="576"/>
      <c r="W743" s="258"/>
      <c r="X743" s="139"/>
      <c r="Y743" s="139"/>
      <c r="Z743" s="139"/>
      <c r="AA743" s="139"/>
      <c r="AB743" s="372" t="s">
        <v>593</v>
      </c>
    </row>
    <row r="744" spans="1:34" ht="12.6" customHeight="1" x14ac:dyDescent="0.2">
      <c r="A744" s="188"/>
      <c r="B744" s="873" t="s">
        <v>606</v>
      </c>
      <c r="C744" s="740"/>
      <c r="D744" s="740"/>
      <c r="E744" s="740"/>
      <c r="F744" s="333">
        <f>16.8*X2</f>
        <v>22344</v>
      </c>
      <c r="G744" s="257">
        <f t="shared" ref="G744" si="2323">+F744*$X$1</f>
        <v>22344</v>
      </c>
      <c r="H744" s="252"/>
      <c r="I744" s="252"/>
      <c r="J744" s="93">
        <f t="shared" si="2308"/>
        <v>23344</v>
      </c>
      <c r="K744" s="273">
        <f t="shared" si="2311"/>
        <v>23344</v>
      </c>
      <c r="L744" s="93">
        <f t="shared" si="2312"/>
        <v>23144</v>
      </c>
      <c r="M744" s="273">
        <f t="shared" si="2313"/>
        <v>23144</v>
      </c>
      <c r="N744" s="93">
        <f t="shared" si="2314"/>
        <v>23044</v>
      </c>
      <c r="O744" s="273">
        <f t="shared" si="2315"/>
        <v>23044</v>
      </c>
      <c r="P744" s="93">
        <f t="shared" si="2316"/>
        <v>22944</v>
      </c>
      <c r="Q744" s="273">
        <f t="shared" si="2317"/>
        <v>22944</v>
      </c>
      <c r="R744" s="93">
        <f t="shared" si="2318"/>
        <v>22844</v>
      </c>
      <c r="S744" s="273">
        <f t="shared" si="2319"/>
        <v>22844</v>
      </c>
      <c r="T744" s="93">
        <f t="shared" si="2320"/>
        <v>22794</v>
      </c>
      <c r="U744" s="273">
        <f t="shared" si="2321"/>
        <v>22794</v>
      </c>
      <c r="V744" s="559"/>
      <c r="W744" s="257"/>
      <c r="X744" s="343"/>
      <c r="Y744" s="343"/>
      <c r="Z744" s="343"/>
      <c r="AA744" s="343"/>
      <c r="AB744" s="372" t="s">
        <v>594</v>
      </c>
    </row>
    <row r="745" spans="1:34" ht="12.6" customHeight="1" x14ac:dyDescent="0.2">
      <c r="A745" s="188"/>
      <c r="B745" s="836" t="s">
        <v>422</v>
      </c>
      <c r="C745" s="770"/>
      <c r="D745" s="770"/>
      <c r="E745" s="770"/>
      <c r="F745" s="334">
        <f>12.63*X2</f>
        <v>16797.900000000001</v>
      </c>
      <c r="G745" s="258">
        <f t="shared" ref="G745" si="2324">+F745*$X$1</f>
        <v>16797.900000000001</v>
      </c>
      <c r="H745" s="251"/>
      <c r="I745" s="251"/>
      <c r="J745" s="92">
        <f t="shared" si="2308"/>
        <v>17797.900000000001</v>
      </c>
      <c r="K745" s="283">
        <f t="shared" si="2311"/>
        <v>17797.900000000001</v>
      </c>
      <c r="L745" s="92">
        <f t="shared" si="2312"/>
        <v>17597.900000000001</v>
      </c>
      <c r="M745" s="283">
        <f t="shared" si="2313"/>
        <v>17597.900000000001</v>
      </c>
      <c r="N745" s="92">
        <f t="shared" si="2314"/>
        <v>17497.900000000001</v>
      </c>
      <c r="O745" s="283">
        <f t="shared" si="2315"/>
        <v>17497.900000000001</v>
      </c>
      <c r="P745" s="92">
        <f t="shared" si="2316"/>
        <v>17397.900000000001</v>
      </c>
      <c r="Q745" s="283">
        <f t="shared" si="2317"/>
        <v>17397.900000000001</v>
      </c>
      <c r="R745" s="92">
        <f t="shared" si="2318"/>
        <v>17297.900000000001</v>
      </c>
      <c r="S745" s="283">
        <f t="shared" si="2319"/>
        <v>17297.900000000001</v>
      </c>
      <c r="T745" s="92">
        <f t="shared" si="2320"/>
        <v>17247.900000000001</v>
      </c>
      <c r="U745" s="283">
        <f t="shared" si="2321"/>
        <v>17247.900000000001</v>
      </c>
      <c r="V745" s="576"/>
      <c r="W745" s="258"/>
      <c r="X745" s="139"/>
      <c r="Y745" s="139"/>
      <c r="Z745" s="139"/>
      <c r="AA745" s="139"/>
      <c r="AB745" s="372" t="s">
        <v>595</v>
      </c>
    </row>
    <row r="746" spans="1:34" ht="11.25" customHeight="1" x14ac:dyDescent="0.2">
      <c r="A746" s="188"/>
      <c r="B746" s="98"/>
      <c r="C746" s="449"/>
      <c r="D746" s="449"/>
      <c r="E746" s="449"/>
      <c r="F746" s="376"/>
      <c r="G746" s="298"/>
      <c r="H746" s="106"/>
      <c r="I746" s="298"/>
      <c r="J746" s="106"/>
      <c r="K746" s="298"/>
      <c r="L746" s="106"/>
      <c r="M746" s="298"/>
      <c r="N746" s="106"/>
      <c r="O746" s="298"/>
      <c r="P746" s="106"/>
      <c r="Q746" s="298"/>
      <c r="R746" s="106"/>
      <c r="S746" s="298"/>
      <c r="T746" s="106"/>
      <c r="U746" s="298"/>
      <c r="V746" s="71"/>
      <c r="W746" s="409"/>
      <c r="X746" s="448"/>
      <c r="Y746" s="448"/>
      <c r="Z746" s="448"/>
      <c r="AA746" s="448"/>
      <c r="AB746" s="377"/>
    </row>
    <row r="747" spans="1:34" ht="19.5" customHeight="1" x14ac:dyDescent="0.2">
      <c r="A747" s="26"/>
      <c r="B747" s="1086" t="s">
        <v>285</v>
      </c>
      <c r="C747" s="1087"/>
      <c r="D747" s="1087"/>
      <c r="E747" s="1087"/>
      <c r="F747" s="1087"/>
      <c r="G747" s="1087"/>
      <c r="H747" s="1087"/>
      <c r="I747" s="1087"/>
      <c r="J747" s="1087"/>
      <c r="K747" s="1087"/>
      <c r="L747" s="1087"/>
      <c r="M747" s="1087"/>
      <c r="N747" s="1087"/>
      <c r="O747" s="1087"/>
      <c r="P747" s="1087"/>
      <c r="Q747" s="1087"/>
      <c r="R747" s="1087"/>
      <c r="S747" s="1087"/>
      <c r="T747" s="1087"/>
      <c r="U747" s="1087"/>
      <c r="V747" s="1087"/>
      <c r="W747" s="1088"/>
      <c r="AF747" s="640"/>
      <c r="AG747" s="641"/>
      <c r="AH747" s="641"/>
    </row>
    <row r="748" spans="1:34" ht="12.6" customHeight="1" x14ac:dyDescent="0.2">
      <c r="A748" s="17"/>
      <c r="B748" s="995"/>
      <c r="C748" s="996"/>
      <c r="D748" s="996"/>
      <c r="E748" s="996"/>
      <c r="F748" s="996"/>
      <c r="G748" s="997"/>
      <c r="H748" s="428"/>
      <c r="I748" s="429" t="s">
        <v>267</v>
      </c>
      <c r="J748" s="429"/>
      <c r="K748" s="429" t="s">
        <v>17</v>
      </c>
      <c r="L748" s="429"/>
      <c r="M748" s="429" t="s">
        <v>18</v>
      </c>
      <c r="N748" s="429"/>
      <c r="O748" s="429" t="s">
        <v>19</v>
      </c>
      <c r="P748" s="429"/>
      <c r="Q748" s="429" t="s">
        <v>268</v>
      </c>
      <c r="R748" s="429"/>
      <c r="S748" s="429" t="s">
        <v>20</v>
      </c>
      <c r="T748" s="429"/>
      <c r="U748" s="429" t="s">
        <v>21</v>
      </c>
      <c r="V748" s="429"/>
      <c r="W748" s="429" t="s">
        <v>22</v>
      </c>
    </row>
    <row r="749" spans="1:34" ht="12.6" customHeight="1" x14ac:dyDescent="0.2">
      <c r="A749" s="988"/>
      <c r="B749" s="998" t="s">
        <v>464</v>
      </c>
      <c r="C749" s="999"/>
      <c r="D749" s="999"/>
      <c r="E749" s="999"/>
      <c r="F749" s="999"/>
      <c r="G749" s="1000"/>
      <c r="H749" s="537"/>
      <c r="I749" s="344"/>
      <c r="J749" s="345"/>
      <c r="K749" s="322"/>
      <c r="L749" s="262">
        <v>130</v>
      </c>
      <c r="M749" s="322">
        <f>+L749*$X$1</f>
        <v>130</v>
      </c>
      <c r="N749" s="406">
        <v>70</v>
      </c>
      <c r="O749" s="322">
        <f>+N749*$X$1</f>
        <v>70</v>
      </c>
      <c r="P749" s="406">
        <v>50</v>
      </c>
      <c r="Q749" s="322">
        <v>55</v>
      </c>
      <c r="R749" s="406">
        <v>50</v>
      </c>
      <c r="S749" s="322">
        <f>+R749*$X$1</f>
        <v>50</v>
      </c>
      <c r="T749" s="406">
        <v>40</v>
      </c>
      <c r="U749" s="323">
        <f>+T749*$X$1</f>
        <v>40</v>
      </c>
      <c r="V749" s="406">
        <v>35</v>
      </c>
      <c r="W749" s="322">
        <f>+V749*$X$1</f>
        <v>35</v>
      </c>
    </row>
    <row r="750" spans="1:34" ht="12.6" customHeight="1" x14ac:dyDescent="0.2">
      <c r="A750" s="988"/>
      <c r="B750" s="1083" t="s">
        <v>286</v>
      </c>
      <c r="C750" s="1084"/>
      <c r="D750" s="1084"/>
      <c r="E750" s="1084"/>
      <c r="F750" s="1084"/>
      <c r="G750" s="1085"/>
      <c r="H750" s="538"/>
      <c r="I750" s="346"/>
      <c r="J750" s="347">
        <v>220</v>
      </c>
      <c r="K750" s="324">
        <f>+J750*$X$1</f>
        <v>220</v>
      </c>
      <c r="L750" s="348">
        <v>160</v>
      </c>
      <c r="M750" s="349">
        <f>+L750*$X$1</f>
        <v>160</v>
      </c>
      <c r="N750" s="102">
        <v>130</v>
      </c>
      <c r="O750" s="349">
        <f>+N750*$X$1</f>
        <v>130</v>
      </c>
      <c r="P750" s="102">
        <v>110</v>
      </c>
      <c r="Q750" s="349">
        <f>+P750*$X$1</f>
        <v>110</v>
      </c>
      <c r="R750" s="102">
        <v>90</v>
      </c>
      <c r="S750" s="349">
        <f>+R750*$X$1</f>
        <v>90</v>
      </c>
      <c r="T750" s="102">
        <v>70</v>
      </c>
      <c r="U750" s="349">
        <f>+T750*$X$1</f>
        <v>70</v>
      </c>
      <c r="V750" s="102">
        <v>55</v>
      </c>
      <c r="W750" s="349">
        <f>+V750*$X$1</f>
        <v>55</v>
      </c>
    </row>
    <row r="751" spans="1:34" ht="12.6" customHeight="1" x14ac:dyDescent="0.2">
      <c r="A751" s="988"/>
      <c r="B751" s="998" t="s">
        <v>465</v>
      </c>
      <c r="C751" s="999"/>
      <c r="D751" s="999"/>
      <c r="E751" s="999"/>
      <c r="F751" s="999"/>
      <c r="G751" s="1000"/>
      <c r="H751" s="262"/>
      <c r="I751" s="322"/>
      <c r="J751" s="262"/>
      <c r="K751" s="322"/>
      <c r="L751" s="262">
        <v>130</v>
      </c>
      <c r="M751" s="322">
        <f>+L751*$X$1</f>
        <v>130</v>
      </c>
      <c r="N751" s="406">
        <v>80</v>
      </c>
      <c r="O751" s="322">
        <f>+N751*$X$1</f>
        <v>80</v>
      </c>
      <c r="P751" s="406">
        <v>75</v>
      </c>
      <c r="Q751" s="322">
        <f>+P751*$X$1</f>
        <v>75</v>
      </c>
      <c r="R751" s="406">
        <v>65</v>
      </c>
      <c r="S751" s="322">
        <f>+R751*$X$1</f>
        <v>65</v>
      </c>
      <c r="T751" s="406">
        <v>55</v>
      </c>
      <c r="U751" s="323">
        <f>+T751*$X$1</f>
        <v>55</v>
      </c>
      <c r="V751" s="406">
        <v>50</v>
      </c>
      <c r="W751" s="322">
        <f>+V751*$X$1</f>
        <v>50</v>
      </c>
    </row>
    <row r="752" spans="1:34" ht="12.6" customHeight="1" x14ac:dyDescent="0.2">
      <c r="A752" s="988"/>
      <c r="B752" s="1125" t="s">
        <v>463</v>
      </c>
      <c r="C752" s="1126"/>
      <c r="D752" s="1126"/>
      <c r="E752" s="1126"/>
      <c r="F752" s="1126"/>
      <c r="G752" s="1127"/>
      <c r="H752" s="350">
        <v>400</v>
      </c>
      <c r="I752" s="324">
        <f>+H752*$X$1</f>
        <v>400</v>
      </c>
      <c r="J752" s="350">
        <v>220</v>
      </c>
      <c r="K752" s="324">
        <f>+J752*$X$1</f>
        <v>220</v>
      </c>
      <c r="L752" s="350">
        <v>160</v>
      </c>
      <c r="M752" s="324">
        <f>+L752*$X$1</f>
        <v>160</v>
      </c>
      <c r="N752" s="531">
        <v>130</v>
      </c>
      <c r="O752" s="324">
        <f>+N752*$X$1</f>
        <v>130</v>
      </c>
      <c r="P752" s="531">
        <v>120</v>
      </c>
      <c r="Q752" s="324">
        <f>+P752*$X$1</f>
        <v>120</v>
      </c>
      <c r="R752" s="531">
        <v>90</v>
      </c>
      <c r="S752" s="324">
        <f>+R752*$X$1</f>
        <v>90</v>
      </c>
      <c r="T752" s="531">
        <v>80</v>
      </c>
      <c r="U752" s="349">
        <f>+T752*$X$1</f>
        <v>80</v>
      </c>
      <c r="V752" s="531">
        <v>70</v>
      </c>
      <c r="W752" s="324">
        <f>+V752*$X$1</f>
        <v>70</v>
      </c>
    </row>
    <row r="753" spans="1:35" ht="12.75" customHeight="1" x14ac:dyDescent="0.2">
      <c r="A753" s="988"/>
      <c r="B753" s="1095" t="s">
        <v>772</v>
      </c>
      <c r="C753" s="1096"/>
      <c r="D753" s="1096"/>
      <c r="E753" s="1096"/>
      <c r="F753" s="1096"/>
      <c r="G753" s="1096"/>
      <c r="H753" s="1096"/>
      <c r="I753" s="1096"/>
      <c r="J753" s="1096"/>
      <c r="K753" s="1096"/>
      <c r="L753" s="1096"/>
      <c r="M753" s="1096"/>
      <c r="N753" s="1096"/>
      <c r="O753" s="1096"/>
      <c r="P753" s="1096"/>
      <c r="Q753" s="1096"/>
      <c r="R753" s="1096"/>
      <c r="S753" s="1096"/>
      <c r="T753" s="1096"/>
      <c r="U753" s="1096"/>
      <c r="V753" s="1096"/>
      <c r="W753" s="1097"/>
    </row>
    <row r="754" spans="1:35" ht="13.5" customHeight="1" x14ac:dyDescent="0.2">
      <c r="A754" s="988"/>
      <c r="B754" s="1128" t="s">
        <v>531</v>
      </c>
      <c r="C754" s="1101"/>
      <c r="D754" s="1101"/>
      <c r="E754" s="1101"/>
      <c r="F754" s="1101"/>
      <c r="G754" s="1129"/>
      <c r="H754" s="1072"/>
      <c r="I754" s="1067" t="s">
        <v>267</v>
      </c>
      <c r="J754" s="1072"/>
      <c r="K754" s="1067" t="s">
        <v>17</v>
      </c>
      <c r="L754" s="1067"/>
      <c r="M754" s="1067" t="s">
        <v>18</v>
      </c>
      <c r="N754" s="1067"/>
      <c r="O754" s="1067" t="s">
        <v>19</v>
      </c>
      <c r="P754" s="1067"/>
      <c r="Q754" s="1067" t="s">
        <v>268</v>
      </c>
      <c r="R754" s="1067"/>
      <c r="S754" s="1067" t="s">
        <v>20</v>
      </c>
      <c r="T754" s="1067"/>
      <c r="U754" s="1067" t="s">
        <v>21</v>
      </c>
      <c r="V754" s="1067"/>
      <c r="W754" s="1067" t="s">
        <v>22</v>
      </c>
    </row>
    <row r="755" spans="1:35" ht="11.25" customHeight="1" x14ac:dyDescent="0.2">
      <c r="A755" s="988"/>
      <c r="B755" s="907"/>
      <c r="C755" s="908"/>
      <c r="D755" s="908"/>
      <c r="E755" s="908"/>
      <c r="F755" s="908"/>
      <c r="G755" s="909"/>
      <c r="H755" s="1073"/>
      <c r="I755" s="1074"/>
      <c r="J755" s="1073"/>
      <c r="K755" s="1074"/>
      <c r="L755" s="1068"/>
      <c r="M755" s="1068"/>
      <c r="N755" s="1068"/>
      <c r="O755" s="1068"/>
      <c r="P755" s="1068"/>
      <c r="Q755" s="1068"/>
      <c r="R755" s="1068"/>
      <c r="S755" s="1068"/>
      <c r="T755" s="1068"/>
      <c r="U755" s="1068"/>
      <c r="V755" s="1068"/>
      <c r="W755" s="1068"/>
      <c r="AB755" s="56"/>
      <c r="AC755" s="56"/>
      <c r="AD755" s="56"/>
      <c r="AE755" s="56"/>
      <c r="AF755" s="56"/>
      <c r="AG755" s="56"/>
      <c r="AH755" s="56"/>
      <c r="AI755" s="56"/>
    </row>
    <row r="756" spans="1:35" ht="12.6" customHeight="1" x14ac:dyDescent="0.2">
      <c r="A756" s="988"/>
      <c r="B756" s="992" t="s">
        <v>529</v>
      </c>
      <c r="C756" s="993"/>
      <c r="D756" s="993"/>
      <c r="E756" s="993"/>
      <c r="F756" s="993"/>
      <c r="G756" s="994"/>
      <c r="H756" s="82">
        <v>700</v>
      </c>
      <c r="I756" s="325">
        <f>+H756*$X$1</f>
        <v>700</v>
      </c>
      <c r="J756" s="82">
        <v>600</v>
      </c>
      <c r="K756" s="325">
        <f>+J756*$X$1</f>
        <v>600</v>
      </c>
      <c r="L756" s="406">
        <v>450</v>
      </c>
      <c r="M756" s="322">
        <f>+L756*$X$1</f>
        <v>450</v>
      </c>
      <c r="N756" s="406">
        <v>390</v>
      </c>
      <c r="O756" s="322">
        <f>+N756*$X$1</f>
        <v>390</v>
      </c>
      <c r="P756" s="406">
        <v>360</v>
      </c>
      <c r="Q756" s="322">
        <f>+P756*$X$1</f>
        <v>360</v>
      </c>
      <c r="R756" s="406">
        <v>320</v>
      </c>
      <c r="S756" s="322">
        <f>+R756*$X$1</f>
        <v>320</v>
      </c>
      <c r="T756" s="406">
        <v>300</v>
      </c>
      <c r="U756" s="322">
        <f>+T756*$X$1</f>
        <v>300</v>
      </c>
      <c r="V756" s="406">
        <v>290</v>
      </c>
      <c r="W756" s="322">
        <f>+V756*$X$1</f>
        <v>290</v>
      </c>
    </row>
    <row r="757" spans="1:35" ht="12.6" customHeight="1" x14ac:dyDescent="0.2">
      <c r="A757" s="988"/>
      <c r="B757" s="989" t="s">
        <v>526</v>
      </c>
      <c r="C757" s="990"/>
      <c r="D757" s="990"/>
      <c r="E757" s="990"/>
      <c r="F757" s="990"/>
      <c r="G757" s="991"/>
      <c r="H757" s="68">
        <v>750</v>
      </c>
      <c r="I757" s="351">
        <f>+H757*$X$1</f>
        <v>750</v>
      </c>
      <c r="J757" s="68">
        <v>650</v>
      </c>
      <c r="K757" s="351">
        <f>+J757*$X$1</f>
        <v>650</v>
      </c>
      <c r="L757" s="531">
        <v>600</v>
      </c>
      <c r="M757" s="324">
        <f>+L757*$X$1</f>
        <v>600</v>
      </c>
      <c r="N757" s="531">
        <v>540</v>
      </c>
      <c r="O757" s="324">
        <f>+N757*$X$1</f>
        <v>540</v>
      </c>
      <c r="P757" s="531">
        <v>500</v>
      </c>
      <c r="Q757" s="324">
        <f>+P757*$X$1</f>
        <v>500</v>
      </c>
      <c r="R757" s="531">
        <v>460</v>
      </c>
      <c r="S757" s="324">
        <f>+R757*$X$1</f>
        <v>460</v>
      </c>
      <c r="T757" s="531">
        <v>430</v>
      </c>
      <c r="U757" s="324">
        <f>+T757*$X$1</f>
        <v>430</v>
      </c>
      <c r="V757" s="531">
        <v>400</v>
      </c>
      <c r="W757" s="324">
        <f>+V757*$X$1</f>
        <v>400</v>
      </c>
    </row>
    <row r="758" spans="1:35" ht="12.6" customHeight="1" x14ac:dyDescent="0.2">
      <c r="A758" s="988"/>
      <c r="B758" s="992" t="s">
        <v>528</v>
      </c>
      <c r="C758" s="993"/>
      <c r="D758" s="993"/>
      <c r="E758" s="993"/>
      <c r="F758" s="993"/>
      <c r="G758" s="994"/>
      <c r="H758" s="82">
        <v>1000</v>
      </c>
      <c r="I758" s="325">
        <f>+H758*$X$1</f>
        <v>1000</v>
      </c>
      <c r="J758" s="82">
        <v>910</v>
      </c>
      <c r="K758" s="325">
        <f>+J758*$X$1</f>
        <v>910</v>
      </c>
      <c r="L758" s="406">
        <v>800</v>
      </c>
      <c r="M758" s="322">
        <f>+L758*$X$1</f>
        <v>800</v>
      </c>
      <c r="N758" s="406">
        <v>720</v>
      </c>
      <c r="O758" s="322">
        <f>+N758*$X$1</f>
        <v>720</v>
      </c>
      <c r="P758" s="406">
        <v>670</v>
      </c>
      <c r="Q758" s="322">
        <f>+P758*$X$1</f>
        <v>670</v>
      </c>
      <c r="R758" s="406">
        <v>640</v>
      </c>
      <c r="S758" s="322">
        <f>+R758*$X$1</f>
        <v>640</v>
      </c>
      <c r="T758" s="406">
        <v>625</v>
      </c>
      <c r="U758" s="322">
        <f>+T758*$X$1</f>
        <v>625</v>
      </c>
      <c r="V758" s="406">
        <v>600</v>
      </c>
      <c r="W758" s="322">
        <f>+V758*$X$1</f>
        <v>600</v>
      </c>
    </row>
    <row r="759" spans="1:35" ht="12.6" customHeight="1" x14ac:dyDescent="0.2">
      <c r="A759" s="988"/>
      <c r="B759" s="989" t="s">
        <v>527</v>
      </c>
      <c r="C759" s="990"/>
      <c r="D759" s="990"/>
      <c r="E759" s="990"/>
      <c r="F759" s="990"/>
      <c r="G759" s="991"/>
      <c r="H759" s="68">
        <v>1330</v>
      </c>
      <c r="I759" s="426">
        <f>+H759*$X$1</f>
        <v>1330</v>
      </c>
      <c r="J759" s="68">
        <v>1200</v>
      </c>
      <c r="K759" s="427">
        <f>+J759*$X$1</f>
        <v>1200</v>
      </c>
      <c r="L759" s="531">
        <v>1050</v>
      </c>
      <c r="M759" s="324">
        <f>+L759*$X$1</f>
        <v>1050</v>
      </c>
      <c r="N759" s="531">
        <v>960</v>
      </c>
      <c r="O759" s="324">
        <f>+N759*$X$1</f>
        <v>960</v>
      </c>
      <c r="P759" s="531">
        <v>920</v>
      </c>
      <c r="Q759" s="324">
        <f>+P759*$X$1</f>
        <v>920</v>
      </c>
      <c r="R759" s="531">
        <v>890</v>
      </c>
      <c r="S759" s="324">
        <f>+R759*$X$1</f>
        <v>890</v>
      </c>
      <c r="T759" s="531">
        <v>870</v>
      </c>
      <c r="U759" s="324">
        <f>+T759*$X$1</f>
        <v>870</v>
      </c>
      <c r="V759" s="531">
        <v>850</v>
      </c>
      <c r="W759" s="324">
        <f>+V759*$X$1</f>
        <v>850</v>
      </c>
    </row>
    <row r="760" spans="1:35" ht="9" customHeight="1" x14ac:dyDescent="0.2">
      <c r="A760" s="188"/>
      <c r="B760" s="189"/>
      <c r="C760" s="189"/>
      <c r="D760" s="189"/>
      <c r="E760" s="189"/>
      <c r="F760" s="190"/>
      <c r="G760" s="190"/>
      <c r="H760" s="71"/>
      <c r="I760" s="191"/>
      <c r="J760" s="191"/>
      <c r="K760" s="191"/>
      <c r="L760" s="191"/>
      <c r="M760" s="191"/>
      <c r="N760" s="191"/>
      <c r="O760" s="191"/>
      <c r="P760" s="191"/>
      <c r="Q760" s="191"/>
      <c r="R760" s="191"/>
      <c r="S760" s="191"/>
      <c r="T760" s="191"/>
      <c r="U760" s="191"/>
      <c r="V760" s="71"/>
      <c r="W760" s="183"/>
      <c r="X760" s="182"/>
      <c r="Y760" s="182"/>
      <c r="Z760" s="182"/>
      <c r="AA760" s="182"/>
      <c r="AB760" s="192"/>
    </row>
    <row r="761" spans="1:35" ht="17.25" customHeight="1" x14ac:dyDescent="0.2">
      <c r="B761" s="1081" t="s">
        <v>470</v>
      </c>
      <c r="C761" s="1082"/>
      <c r="D761" s="1082"/>
      <c r="E761" s="1082"/>
      <c r="F761" s="1082"/>
      <c r="G761" s="1082"/>
      <c r="H761" s="1082"/>
      <c r="I761" s="1082"/>
      <c r="J761" s="1082"/>
      <c r="K761" s="66" t="s">
        <v>466</v>
      </c>
      <c r="L761" s="67">
        <v>30</v>
      </c>
      <c r="M761" s="321">
        <f>+L761*$X$1</f>
        <v>30</v>
      </c>
      <c r="N761" s="65"/>
      <c r="O761" s="66" t="s">
        <v>467</v>
      </c>
      <c r="P761" s="67">
        <v>28</v>
      </c>
      <c r="Q761" s="321">
        <f>+P761*$X$1</f>
        <v>28</v>
      </c>
      <c r="R761" s="43"/>
      <c r="S761" s="43"/>
      <c r="T761" s="43"/>
      <c r="U761" s="43"/>
      <c r="V761" s="43"/>
      <c r="W761" s="43"/>
    </row>
    <row r="762" spans="1:35" ht="10.5" customHeight="1" x14ac:dyDescent="0.2">
      <c r="B762" s="46"/>
      <c r="C762" s="159"/>
      <c r="D762" s="159"/>
      <c r="E762" s="159"/>
      <c r="F762" s="159"/>
      <c r="G762" s="159"/>
      <c r="H762" s="159"/>
      <c r="I762" s="159"/>
      <c r="J762" s="159"/>
      <c r="K762" s="47"/>
      <c r="L762" s="48"/>
      <c r="M762" s="49"/>
      <c r="N762" s="43"/>
      <c r="O762" s="47"/>
      <c r="P762" s="48"/>
      <c r="Q762" s="49"/>
      <c r="R762" s="43"/>
      <c r="S762" s="43"/>
      <c r="T762" s="43"/>
      <c r="U762" s="43"/>
      <c r="V762" s="43"/>
      <c r="W762" s="43"/>
    </row>
    <row r="763" spans="1:35" x14ac:dyDescent="0.2">
      <c r="B763" s="3"/>
      <c r="C763" s="1079" t="s">
        <v>287</v>
      </c>
      <c r="D763" s="1080"/>
      <c r="E763" s="1080"/>
      <c r="F763" s="1080"/>
      <c r="G763" s="1080"/>
      <c r="H763" s="1080"/>
      <c r="I763" s="1080"/>
      <c r="J763" s="4"/>
      <c r="K763" s="4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7"/>
      <c r="W763" s="7"/>
    </row>
    <row r="764" spans="1:35" ht="12.6" customHeight="1" x14ac:dyDescent="0.2">
      <c r="B764" s="3"/>
      <c r="C764" s="1069" t="s">
        <v>288</v>
      </c>
      <c r="D764" s="1070"/>
      <c r="E764" s="1070"/>
      <c r="F764" s="1070"/>
      <c r="G764" s="1071"/>
      <c r="H764" s="378"/>
      <c r="I764" s="375"/>
      <c r="J764" s="4"/>
      <c r="K764" s="4"/>
      <c r="L764" s="34"/>
      <c r="M764" s="3"/>
      <c r="N764" s="3"/>
      <c r="O764" s="3"/>
      <c r="P764" s="3"/>
      <c r="Q764" s="3"/>
      <c r="R764" s="3"/>
      <c r="S764" s="3"/>
      <c r="T764" s="3"/>
      <c r="U764" s="3"/>
      <c r="V764" s="7"/>
      <c r="W764" s="7"/>
    </row>
    <row r="765" spans="1:35" ht="12.6" customHeight="1" x14ac:dyDescent="0.2">
      <c r="B765" s="3"/>
      <c r="C765" s="1076" t="s">
        <v>289</v>
      </c>
      <c r="D765" s="1077"/>
      <c r="E765" s="1077"/>
      <c r="F765" s="1077"/>
      <c r="G765" s="1078"/>
      <c r="H765" s="38"/>
      <c r="I765" s="379"/>
      <c r="J765" s="4"/>
      <c r="K765" s="4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7"/>
      <c r="W765" s="7"/>
    </row>
    <row r="766" spans="1:35" ht="12.6" customHeight="1" x14ac:dyDescent="0.2">
      <c r="B766" s="3"/>
      <c r="C766" s="1076" t="s">
        <v>290</v>
      </c>
      <c r="D766" s="1077"/>
      <c r="E766" s="1077"/>
      <c r="F766" s="1077"/>
      <c r="G766" s="1078"/>
      <c r="H766" s="40"/>
      <c r="I766" s="320"/>
      <c r="J766" s="4"/>
      <c r="K766" s="4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7"/>
      <c r="W766" s="7"/>
    </row>
    <row r="767" spans="1:35" ht="15.95" customHeight="1" x14ac:dyDescent="0.2">
      <c r="B767" s="3"/>
      <c r="C767" s="1100" t="s">
        <v>524</v>
      </c>
      <c r="D767" s="1101"/>
      <c r="E767" s="1101"/>
      <c r="F767" s="1101"/>
      <c r="G767" s="1101"/>
      <c r="H767" s="1102"/>
      <c r="I767" s="1103"/>
      <c r="J767" s="4"/>
      <c r="K767" s="4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7"/>
      <c r="W767" s="7"/>
    </row>
    <row r="768" spans="1:35" ht="15.75" customHeight="1" x14ac:dyDescent="0.2">
      <c r="B768" s="3"/>
      <c r="C768" s="907"/>
      <c r="D768" s="908"/>
      <c r="E768" s="908"/>
      <c r="F768" s="908"/>
      <c r="G768" s="908"/>
      <c r="H768" s="1104"/>
      <c r="I768" s="1105"/>
      <c r="J768" s="4"/>
      <c r="K768" s="4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7"/>
      <c r="W768" s="7"/>
    </row>
    <row r="769" spans="2:34" ht="10.5" customHeight="1" thickBot="1" x14ac:dyDescent="0.25">
      <c r="B769" s="4"/>
      <c r="C769" s="45"/>
      <c r="D769" s="45"/>
      <c r="E769" s="45"/>
      <c r="F769" s="45"/>
      <c r="G769" s="45"/>
      <c r="H769" s="39"/>
      <c r="I769" s="304"/>
      <c r="J769" s="4"/>
      <c r="K769" s="4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7"/>
      <c r="W769" s="7"/>
    </row>
    <row r="770" spans="2:34" ht="13.5" customHeight="1" x14ac:dyDescent="0.2">
      <c r="B770" s="1115" t="s">
        <v>1031</v>
      </c>
      <c r="C770" s="1116"/>
      <c r="D770" s="1116"/>
      <c r="E770" s="1116"/>
      <c r="F770" s="1116"/>
      <c r="G770" s="1116"/>
      <c r="H770" s="1116"/>
      <c r="I770" s="1116"/>
      <c r="J770" s="1116"/>
      <c r="K770" s="1116"/>
      <c r="L770" s="1116"/>
      <c r="M770" s="1116"/>
      <c r="N770" s="1116"/>
      <c r="O770" s="1116"/>
      <c r="P770" s="1116"/>
      <c r="Q770" s="1116"/>
      <c r="R770" s="1116"/>
      <c r="S770" s="1116"/>
      <c r="T770" s="1116"/>
      <c r="U770" s="1116"/>
      <c r="V770" s="1116"/>
      <c r="W770" s="1117"/>
    </row>
    <row r="771" spans="2:34" ht="13.5" customHeight="1" x14ac:dyDescent="0.2">
      <c r="B771" s="1118"/>
      <c r="C771" s="1119"/>
      <c r="D771" s="1119"/>
      <c r="E771" s="1119"/>
      <c r="F771" s="1119"/>
      <c r="G771" s="1119"/>
      <c r="H771" s="1119"/>
      <c r="I771" s="1119"/>
      <c r="J771" s="1119"/>
      <c r="K771" s="1119"/>
      <c r="L771" s="1119"/>
      <c r="M771" s="1119"/>
      <c r="N771" s="1119"/>
      <c r="O771" s="1119"/>
      <c r="P771" s="1119"/>
      <c r="Q771" s="1119"/>
      <c r="R771" s="1119"/>
      <c r="S771" s="1119"/>
      <c r="T771" s="1119"/>
      <c r="U771" s="1119"/>
      <c r="V771" s="1119"/>
      <c r="W771" s="1120"/>
    </row>
    <row r="772" spans="2:34" ht="13.5" customHeight="1" thickBot="1" x14ac:dyDescent="0.25">
      <c r="B772" s="1121"/>
      <c r="C772" s="1122"/>
      <c r="D772" s="1122"/>
      <c r="E772" s="1122"/>
      <c r="F772" s="1122"/>
      <c r="G772" s="1122"/>
      <c r="H772" s="1122"/>
      <c r="I772" s="1122"/>
      <c r="J772" s="1122"/>
      <c r="K772" s="1122"/>
      <c r="L772" s="1122"/>
      <c r="M772" s="1122"/>
      <c r="N772" s="1122"/>
      <c r="O772" s="1122"/>
      <c r="P772" s="1122"/>
      <c r="Q772" s="1122"/>
      <c r="R772" s="1122"/>
      <c r="S772" s="1122"/>
      <c r="T772" s="1122"/>
      <c r="U772" s="1122"/>
      <c r="V772" s="1122"/>
      <c r="W772" s="1123"/>
    </row>
    <row r="773" spans="2:34" ht="9" customHeight="1" x14ac:dyDescent="0.2">
      <c r="B773" s="4"/>
      <c r="C773" s="37"/>
      <c r="D773" s="37"/>
      <c r="E773" s="37"/>
      <c r="F773" s="37"/>
      <c r="G773" s="37"/>
      <c r="H773" s="39"/>
      <c r="I773" s="39"/>
      <c r="J773" s="4"/>
      <c r="K773" s="4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7"/>
      <c r="W773" s="7"/>
    </row>
    <row r="774" spans="2:34" ht="23.25" customHeight="1" x14ac:dyDescent="0.2">
      <c r="B774" s="3"/>
      <c r="C774" s="1089" t="s">
        <v>604</v>
      </c>
      <c r="D774" s="1090"/>
      <c r="E774" s="1090"/>
      <c r="F774" s="1090"/>
      <c r="G774" s="1090"/>
      <c r="H774" s="1090"/>
      <c r="I774" s="1091"/>
      <c r="J774" s="41"/>
      <c r="K774" s="41"/>
      <c r="L774" s="41"/>
      <c r="M774" s="41"/>
      <c r="N774" s="41"/>
      <c r="O774" s="41"/>
      <c r="P774" s="41"/>
      <c r="Q774" s="41"/>
      <c r="R774" s="41"/>
      <c r="S774" s="41"/>
      <c r="T774" s="41"/>
      <c r="U774" s="41"/>
      <c r="V774" s="41"/>
      <c r="W774" s="41"/>
      <c r="X774" s="41"/>
      <c r="AF774" s="640" t="s">
        <v>3</v>
      </c>
      <c r="AG774" s="641"/>
      <c r="AH774" s="641"/>
    </row>
    <row r="775" spans="2:34" ht="12.95" customHeight="1" x14ac:dyDescent="0.2">
      <c r="B775" s="3"/>
      <c r="C775" s="1106"/>
      <c r="D775" s="1107"/>
      <c r="E775" s="1107"/>
      <c r="F775" s="1107"/>
      <c r="G775" s="1107"/>
      <c r="H775" s="1107"/>
      <c r="I775" s="1108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7"/>
      <c r="W775" s="7"/>
    </row>
    <row r="776" spans="2:34" ht="12.95" customHeight="1" x14ac:dyDescent="0.2">
      <c r="B776" s="3"/>
      <c r="C776" s="1109"/>
      <c r="D776" s="1110"/>
      <c r="E776" s="1110"/>
      <c r="F776" s="1110"/>
      <c r="G776" s="1110"/>
      <c r="H776" s="1110"/>
      <c r="I776" s="1111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7"/>
      <c r="W776" s="7"/>
    </row>
    <row r="777" spans="2:34" ht="12.95" customHeight="1" x14ac:dyDescent="0.2">
      <c r="B777" s="3"/>
      <c r="C777" s="1109"/>
      <c r="D777" s="1110"/>
      <c r="E777" s="1110"/>
      <c r="F777" s="1110"/>
      <c r="G777" s="1110"/>
      <c r="H777" s="1110"/>
      <c r="I777" s="1111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7"/>
      <c r="W777" s="7"/>
    </row>
    <row r="778" spans="2:34" ht="12.95" customHeight="1" x14ac:dyDescent="0.2">
      <c r="B778" s="3"/>
      <c r="C778" s="1109"/>
      <c r="D778" s="1110"/>
      <c r="E778" s="1110"/>
      <c r="F778" s="1110"/>
      <c r="G778" s="1110"/>
      <c r="H778" s="1110"/>
      <c r="I778" s="1111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7"/>
      <c r="W778" s="7"/>
    </row>
    <row r="779" spans="2:34" ht="12.95" customHeight="1" x14ac:dyDescent="0.2">
      <c r="B779" s="3"/>
      <c r="C779" s="1109"/>
      <c r="D779" s="1110"/>
      <c r="E779" s="1110"/>
      <c r="F779" s="1110"/>
      <c r="G779" s="1110"/>
      <c r="H779" s="1110"/>
      <c r="I779" s="1111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7"/>
      <c r="W779" s="7"/>
    </row>
    <row r="780" spans="2:34" ht="12.95" customHeight="1" x14ac:dyDescent="0.2">
      <c r="B780" s="3"/>
      <c r="C780" s="1109"/>
      <c r="D780" s="1110"/>
      <c r="E780" s="1110"/>
      <c r="F780" s="1110"/>
      <c r="G780" s="1110"/>
      <c r="H780" s="1110"/>
      <c r="I780" s="1111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7"/>
      <c r="W780" s="7"/>
    </row>
    <row r="781" spans="2:34" ht="10.5" customHeight="1" x14ac:dyDescent="0.2">
      <c r="B781" s="3"/>
      <c r="C781" s="1112"/>
      <c r="D781" s="1113"/>
      <c r="E781" s="1113"/>
      <c r="F781" s="1113"/>
      <c r="G781" s="1113"/>
      <c r="H781" s="1113"/>
      <c r="I781" s="1114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7"/>
      <c r="W781" s="7"/>
    </row>
    <row r="782" spans="2:34" ht="12.6" customHeight="1" x14ac:dyDescent="0.2">
      <c r="B782" s="3"/>
      <c r="C782" s="1092" t="s">
        <v>373</v>
      </c>
      <c r="D782" s="1092"/>
      <c r="E782" s="1093"/>
      <c r="F782" s="1093"/>
      <c r="G782" s="1094"/>
      <c r="H782" s="40">
        <v>1500</v>
      </c>
      <c r="I782" s="324">
        <f>+H782*$X$1</f>
        <v>1500</v>
      </c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7"/>
      <c r="W782" s="7"/>
    </row>
    <row r="783" spans="2:34" ht="12.6" customHeight="1" x14ac:dyDescent="0.2">
      <c r="B783" s="3"/>
      <c r="C783" s="1092" t="s">
        <v>605</v>
      </c>
      <c r="D783" s="1092"/>
      <c r="E783" s="1093"/>
      <c r="F783" s="1093"/>
      <c r="G783" s="1094"/>
      <c r="H783" s="40">
        <v>1400</v>
      </c>
      <c r="I783" s="324">
        <f>+H783*$X$1</f>
        <v>1400</v>
      </c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7"/>
      <c r="W783" s="7"/>
    </row>
    <row r="784" spans="2:34" ht="9.75" customHeight="1" x14ac:dyDescent="0.2">
      <c r="B784" s="3"/>
      <c r="C784" s="44"/>
      <c r="D784" s="42"/>
      <c r="E784" s="42"/>
      <c r="F784" s="42"/>
      <c r="G784" s="37"/>
      <c r="H784" s="39"/>
      <c r="I784" s="39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7"/>
      <c r="W784" s="7"/>
    </row>
    <row r="785" spans="2:34" ht="15.75" customHeight="1" x14ac:dyDescent="0.2">
      <c r="B785" s="1032" t="s">
        <v>525</v>
      </c>
      <c r="C785" s="1033"/>
      <c r="D785" s="1033"/>
      <c r="E785" s="1033"/>
      <c r="F785" s="1033"/>
      <c r="G785" s="1033"/>
      <c r="H785" s="1033"/>
      <c r="I785" s="1033"/>
      <c r="J785" s="1033"/>
      <c r="K785" s="1033"/>
      <c r="L785" s="1033"/>
      <c r="M785" s="1033"/>
      <c r="N785" s="1033"/>
      <c r="O785" s="1033"/>
      <c r="P785" s="1033"/>
      <c r="Q785" s="1033"/>
      <c r="R785" s="1033"/>
      <c r="S785" s="1033"/>
      <c r="T785" s="1033"/>
      <c r="U785" s="1033"/>
      <c r="V785" s="1033"/>
      <c r="W785" s="1034"/>
    </row>
    <row r="786" spans="2:34" ht="10.5" customHeight="1" x14ac:dyDescent="0.2">
      <c r="B786" s="24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25"/>
      <c r="O786" s="25"/>
      <c r="P786" s="25"/>
      <c r="Q786" s="25"/>
      <c r="R786" s="25"/>
      <c r="S786" s="25"/>
      <c r="T786" s="25"/>
      <c r="U786" s="25"/>
      <c r="V786" s="25"/>
      <c r="W786" s="25"/>
    </row>
    <row r="787" spans="2:34" ht="15.75" customHeight="1" x14ac:dyDescent="0.2">
      <c r="B787" s="1030" t="s">
        <v>291</v>
      </c>
      <c r="C787" s="1031"/>
      <c r="D787" s="1031"/>
      <c r="E787" s="1031"/>
      <c r="F787" s="1031"/>
      <c r="G787" s="1031"/>
      <c r="H787" s="1031"/>
      <c r="I787" s="1031"/>
      <c r="J787" s="1031"/>
      <c r="K787" s="1031"/>
      <c r="L787" s="1031"/>
      <c r="M787" s="1031"/>
      <c r="N787" s="1031"/>
      <c r="O787" s="1031"/>
      <c r="P787" s="1031"/>
      <c r="Q787" s="1031"/>
      <c r="R787" s="1031"/>
      <c r="S787" s="1031"/>
      <c r="T787" s="1031"/>
      <c r="U787" s="1031"/>
      <c r="V787" s="1031"/>
      <c r="W787" s="1031"/>
    </row>
    <row r="788" spans="2:34" ht="15.75" customHeight="1" x14ac:dyDescent="0.2">
      <c r="B788" s="1030" t="s">
        <v>292</v>
      </c>
      <c r="C788" s="1031"/>
      <c r="D788" s="1031"/>
      <c r="E788" s="1031"/>
      <c r="F788" s="1031"/>
      <c r="G788" s="1031"/>
      <c r="H788" s="1031"/>
      <c r="I788" s="1031"/>
      <c r="J788" s="1031"/>
      <c r="K788" s="1031"/>
      <c r="L788" s="1031"/>
      <c r="M788" s="1031"/>
      <c r="N788" s="1031"/>
      <c r="O788" s="1031"/>
      <c r="P788" s="1031"/>
      <c r="Q788" s="1031"/>
      <c r="R788" s="1031"/>
      <c r="S788" s="1031"/>
      <c r="T788" s="1031"/>
      <c r="U788" s="1031"/>
      <c r="V788" s="1031"/>
      <c r="W788" s="1031"/>
      <c r="AF788" s="640"/>
      <c r="AG788" s="641"/>
      <c r="AH788" s="641"/>
    </row>
    <row r="789" spans="2:34" ht="15.75" customHeight="1" x14ac:dyDescent="0.2">
      <c r="B789" s="1030" t="s">
        <v>293</v>
      </c>
      <c r="C789" s="1031"/>
      <c r="D789" s="1031"/>
      <c r="E789" s="1031"/>
      <c r="F789" s="1031"/>
      <c r="G789" s="1031"/>
      <c r="H789" s="1031"/>
      <c r="I789" s="1031"/>
      <c r="J789" s="1031"/>
      <c r="K789" s="1031"/>
      <c r="L789" s="1031"/>
      <c r="M789" s="1031"/>
      <c r="N789" s="1031"/>
      <c r="O789" s="1031"/>
      <c r="P789" s="1031"/>
      <c r="Q789" s="1031"/>
      <c r="R789" s="1031"/>
      <c r="S789" s="1031"/>
      <c r="T789" s="1031"/>
      <c r="U789" s="1031"/>
      <c r="V789" s="1031"/>
      <c r="W789" s="1031"/>
    </row>
    <row r="790" spans="2:34" ht="9.75" customHeight="1" x14ac:dyDescent="0.2">
      <c r="B790" s="11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</row>
    <row r="791" spans="2:34" ht="18" customHeight="1" thickBot="1" x14ac:dyDescent="0.25">
      <c r="B791" s="1064" t="s">
        <v>294</v>
      </c>
      <c r="C791" s="1065"/>
      <c r="D791" s="1065"/>
      <c r="E791" s="1065"/>
      <c r="F791" s="1065"/>
      <c r="G791" s="1065"/>
      <c r="H791" s="1065"/>
      <c r="I791" s="1065"/>
      <c r="J791" s="1065"/>
      <c r="K791" s="1065"/>
      <c r="L791" s="1065"/>
      <c r="M791" s="1065"/>
      <c r="N791" s="1065"/>
      <c r="O791" s="1065"/>
      <c r="P791" s="1065"/>
      <c r="Q791" s="1065"/>
      <c r="R791" s="1065"/>
      <c r="S791" s="1065"/>
      <c r="T791" s="1065"/>
      <c r="U791" s="1065"/>
      <c r="V791" s="1065"/>
      <c r="W791" s="1066"/>
    </row>
    <row r="792" spans="2:34" x14ac:dyDescent="0.2">
      <c r="B792" s="1053" t="s">
        <v>900</v>
      </c>
      <c r="C792" s="1054"/>
      <c r="D792" s="1054"/>
      <c r="E792" s="1054"/>
      <c r="F792" s="1054"/>
      <c r="G792" s="1054"/>
      <c r="H792" s="1054"/>
      <c r="I792" s="1054"/>
      <c r="J792" s="1054"/>
      <c r="K792" s="1054"/>
      <c r="L792" s="1054"/>
      <c r="M792" s="1054"/>
      <c r="N792" s="1055"/>
      <c r="O792" s="1055"/>
      <c r="P792" s="1055"/>
      <c r="Q792" s="1055"/>
      <c r="R792" s="1055"/>
      <c r="S792" s="1055"/>
      <c r="T792" s="1055"/>
      <c r="U792" s="1055"/>
      <c r="V792" s="1055"/>
      <c r="W792" s="1056"/>
    </row>
    <row r="793" spans="2:34" ht="12.75" customHeight="1" x14ac:dyDescent="0.2">
      <c r="B793" s="1057"/>
      <c r="C793" s="1054"/>
      <c r="D793" s="1054"/>
      <c r="E793" s="1054"/>
      <c r="F793" s="1054"/>
      <c r="G793" s="1054"/>
      <c r="H793" s="1054"/>
      <c r="I793" s="1054"/>
      <c r="J793" s="1054"/>
      <c r="K793" s="1054"/>
      <c r="L793" s="1054"/>
      <c r="M793" s="1054"/>
      <c r="N793" s="1055"/>
      <c r="O793" s="1055"/>
      <c r="P793" s="1055"/>
      <c r="Q793" s="1055"/>
      <c r="R793" s="1055"/>
      <c r="S793" s="1055"/>
      <c r="T793" s="1055"/>
      <c r="U793" s="1055"/>
      <c r="V793" s="1055"/>
      <c r="W793" s="1056"/>
    </row>
    <row r="794" spans="2:34" x14ac:dyDescent="0.2">
      <c r="B794" s="1057"/>
      <c r="C794" s="1054"/>
      <c r="D794" s="1054"/>
      <c r="E794" s="1054"/>
      <c r="F794" s="1054"/>
      <c r="G794" s="1054"/>
      <c r="H794" s="1054"/>
      <c r="I794" s="1054"/>
      <c r="J794" s="1054"/>
      <c r="K794" s="1054"/>
      <c r="L794" s="1054"/>
      <c r="M794" s="1054"/>
      <c r="N794" s="1055"/>
      <c r="O794" s="1055"/>
      <c r="P794" s="1055"/>
      <c r="Q794" s="1055"/>
      <c r="R794" s="1055"/>
      <c r="S794" s="1055"/>
      <c r="T794" s="1055"/>
      <c r="U794" s="1055"/>
      <c r="V794" s="1055"/>
      <c r="W794" s="1056"/>
    </row>
    <row r="795" spans="2:34" x14ac:dyDescent="0.2">
      <c r="B795" s="1058"/>
      <c r="C795" s="1059"/>
      <c r="D795" s="1059"/>
      <c r="E795" s="1059"/>
      <c r="F795" s="1059"/>
      <c r="G795" s="1059"/>
      <c r="H795" s="1059"/>
      <c r="I795" s="1059"/>
      <c r="J795" s="1059"/>
      <c r="K795" s="1059"/>
      <c r="L795" s="1059"/>
      <c r="M795" s="1059"/>
      <c r="N795" s="1060"/>
      <c r="O795" s="1060"/>
      <c r="P795" s="1060"/>
      <c r="Q795" s="1060"/>
      <c r="R795" s="1060"/>
      <c r="S795" s="1060"/>
      <c r="T795" s="1060"/>
      <c r="U795" s="1060"/>
      <c r="V795" s="1060"/>
      <c r="W795" s="1061"/>
    </row>
    <row r="796" spans="2:34" ht="12.6" customHeight="1" x14ac:dyDescent="0.2">
      <c r="B796" s="194"/>
      <c r="C796" s="194"/>
      <c r="D796" s="194"/>
      <c r="E796" s="194"/>
      <c r="F796" s="194"/>
      <c r="G796" s="194"/>
      <c r="H796" s="194"/>
      <c r="I796" s="194"/>
      <c r="J796" s="194"/>
      <c r="K796" s="194"/>
      <c r="L796" s="194"/>
      <c r="M796" s="195"/>
      <c r="N796" s="59"/>
      <c r="O796" s="59"/>
      <c r="P796" s="59"/>
      <c r="Q796" s="59"/>
      <c r="R796" s="59"/>
      <c r="S796" s="59"/>
      <c r="T796" s="59"/>
      <c r="U796" s="59"/>
      <c r="V796" s="59"/>
      <c r="W796" s="59"/>
    </row>
    <row r="797" spans="2:34" ht="12.6" customHeight="1" x14ac:dyDescent="0.2">
      <c r="B797" s="194"/>
      <c r="C797" s="194"/>
      <c r="D797" s="194"/>
      <c r="E797" s="194"/>
      <c r="F797" s="194"/>
      <c r="G797" s="194"/>
      <c r="H797" s="194"/>
      <c r="I797" s="194"/>
      <c r="J797" s="194"/>
      <c r="K797" s="194"/>
      <c r="L797" s="194"/>
      <c r="M797" s="195"/>
      <c r="N797" s="59"/>
      <c r="O797" s="59"/>
      <c r="P797" s="59"/>
      <c r="Q797" s="59"/>
      <c r="R797" s="59"/>
      <c r="S797" s="59"/>
      <c r="T797" s="59"/>
      <c r="U797" s="59"/>
      <c r="V797" s="59"/>
      <c r="W797" s="59"/>
    </row>
    <row r="798" spans="2:34" ht="12.6" customHeight="1" x14ac:dyDescent="0.2">
      <c r="B798" s="194"/>
      <c r="C798" s="194"/>
      <c r="D798" s="194"/>
      <c r="E798" s="194"/>
      <c r="F798" s="194"/>
      <c r="G798" s="194"/>
      <c r="H798" s="194"/>
      <c r="I798" s="194"/>
      <c r="J798" s="194"/>
      <c r="K798" s="194"/>
      <c r="L798" s="194"/>
      <c r="M798" s="195"/>
      <c r="N798" s="59"/>
      <c r="O798" s="59"/>
      <c r="P798" s="59"/>
      <c r="Q798" s="59"/>
      <c r="R798" s="59"/>
      <c r="S798" s="59"/>
      <c r="T798" s="59"/>
      <c r="U798" s="59"/>
      <c r="V798" s="59"/>
      <c r="W798" s="59"/>
    </row>
    <row r="799" spans="2:34" x14ac:dyDescent="0.2">
      <c r="B799" s="1062" t="s">
        <v>295</v>
      </c>
      <c r="C799" s="1063"/>
      <c r="D799" s="1063"/>
      <c r="E799" s="1063"/>
      <c r="F799" s="1063"/>
      <c r="G799" s="1063"/>
      <c r="H799" s="1063"/>
      <c r="I799" s="1063"/>
      <c r="J799" s="1063"/>
      <c r="K799" s="1063"/>
      <c r="L799" s="1063"/>
      <c r="M799" s="1063"/>
      <c r="N799" s="1063"/>
      <c r="O799" s="1063"/>
      <c r="P799" s="1063"/>
      <c r="Q799" s="1063"/>
      <c r="R799" s="1063"/>
      <c r="S799" s="1063"/>
      <c r="T799" s="1063"/>
      <c r="U799" s="1063"/>
      <c r="V799" s="1063"/>
      <c r="W799" s="1063"/>
    </row>
    <row r="800" spans="2:34" x14ac:dyDescent="0.2">
      <c r="B800" s="1063"/>
      <c r="C800" s="1063"/>
      <c r="D800" s="1063"/>
      <c r="E800" s="1063"/>
      <c r="F800" s="1063"/>
      <c r="G800" s="1063"/>
      <c r="H800" s="1063"/>
      <c r="I800" s="1063"/>
      <c r="J800" s="1063"/>
      <c r="K800" s="1063"/>
      <c r="L800" s="1063"/>
      <c r="M800" s="1063"/>
      <c r="N800" s="1063"/>
      <c r="O800" s="1063"/>
      <c r="P800" s="1063"/>
      <c r="Q800" s="1063"/>
      <c r="R800" s="1063"/>
      <c r="S800" s="1063"/>
      <c r="T800" s="1063"/>
      <c r="U800" s="1063"/>
      <c r="V800" s="1063"/>
      <c r="W800" s="1063"/>
    </row>
    <row r="801" spans="2:24" x14ac:dyDescent="0.2">
      <c r="B801" s="1052" t="s">
        <v>296</v>
      </c>
      <c r="C801" s="1031"/>
      <c r="D801" s="1031"/>
      <c r="E801" s="1031"/>
      <c r="F801" s="1031"/>
      <c r="G801" s="1031"/>
      <c r="H801" s="1031"/>
      <c r="I801" s="1031"/>
      <c r="J801" s="1031"/>
      <c r="K801" s="1031"/>
      <c r="L801" s="1031"/>
      <c r="M801" s="1031"/>
      <c r="N801" s="1031"/>
      <c r="O801" s="1031"/>
      <c r="P801" s="1031"/>
      <c r="Q801" s="1031"/>
      <c r="R801" s="1031"/>
      <c r="S801" s="1031"/>
      <c r="T801" s="1031"/>
      <c r="U801" s="1031"/>
      <c r="V801" s="1031"/>
      <c r="W801" s="1031"/>
    </row>
    <row r="802" spans="2:24" ht="14.25" customHeight="1" x14ac:dyDescent="0.2">
      <c r="B802" s="479"/>
      <c r="C802" s="478"/>
      <c r="D802" s="478"/>
      <c r="E802" s="478"/>
      <c r="F802" s="478"/>
      <c r="G802" s="478"/>
      <c r="H802" s="478"/>
      <c r="I802" s="478"/>
      <c r="J802" s="478"/>
      <c r="K802" s="478"/>
      <c r="L802" s="478"/>
      <c r="M802" s="478"/>
      <c r="N802" s="478"/>
      <c r="O802" s="478"/>
      <c r="P802" s="478"/>
      <c r="Q802" s="478"/>
      <c r="R802" s="478"/>
      <c r="S802" s="478"/>
      <c r="T802" s="478"/>
      <c r="U802" s="478"/>
      <c r="V802" s="478"/>
      <c r="W802" s="478"/>
    </row>
    <row r="803" spans="2:24" ht="16.5" customHeight="1" x14ac:dyDescent="0.2">
      <c r="B803" s="1051" t="s">
        <v>904</v>
      </c>
      <c r="C803" s="652"/>
      <c r="D803" s="652"/>
      <c r="E803" s="652"/>
      <c r="F803" s="652"/>
      <c r="G803" s="652"/>
      <c r="H803" s="652"/>
      <c r="I803" s="652"/>
      <c r="J803" s="652"/>
      <c r="K803" s="652"/>
      <c r="L803" s="652"/>
      <c r="M803" s="652"/>
      <c r="N803" s="652"/>
      <c r="O803" s="652"/>
      <c r="P803" s="652"/>
      <c r="Q803" s="652"/>
      <c r="R803" s="652"/>
      <c r="S803" s="652"/>
      <c r="T803" s="652"/>
      <c r="U803" s="652"/>
      <c r="V803" s="652"/>
      <c r="W803" s="652"/>
    </row>
    <row r="804" spans="2:24" ht="11.25" customHeight="1" x14ac:dyDescent="0.2">
      <c r="B804" s="217"/>
      <c r="C804" s="217"/>
      <c r="D804" s="217"/>
      <c r="E804" s="217"/>
      <c r="F804" s="217"/>
      <c r="G804" s="217"/>
      <c r="H804" s="217"/>
      <c r="I804" s="217"/>
      <c r="J804" s="217"/>
      <c r="K804" s="217"/>
      <c r="L804" s="217"/>
      <c r="M804" s="217"/>
      <c r="N804" s="217"/>
      <c r="O804" s="217"/>
      <c r="P804" s="217"/>
      <c r="Q804" s="217"/>
      <c r="R804" s="217"/>
      <c r="S804" s="217"/>
      <c r="T804" s="217"/>
      <c r="U804" s="217"/>
      <c r="V804" s="217"/>
      <c r="W804" s="217"/>
      <c r="X804" s="62"/>
    </row>
    <row r="805" spans="2:24" ht="8.25" customHeight="1" x14ac:dyDescent="0.2">
      <c r="B805" s="1035" t="s">
        <v>899</v>
      </c>
      <c r="C805" s="1036"/>
      <c r="D805" s="1036"/>
      <c r="E805" s="1036"/>
      <c r="F805" s="1036"/>
      <c r="G805" s="1036"/>
      <c r="H805" s="1036"/>
      <c r="I805" s="1036"/>
      <c r="J805" s="1036"/>
      <c r="K805" s="1037"/>
      <c r="L805" s="1037"/>
      <c r="M805" s="1037"/>
      <c r="N805" s="1037"/>
      <c r="O805" s="1037"/>
      <c r="P805" s="1037"/>
      <c r="Q805" s="1037"/>
      <c r="R805" s="1037"/>
      <c r="S805" s="1037"/>
      <c r="T805" s="1037"/>
      <c r="U805" s="1037"/>
      <c r="V805" s="1037"/>
      <c r="W805" s="1038"/>
    </row>
    <row r="806" spans="2:24" ht="12.75" customHeight="1" x14ac:dyDescent="0.2">
      <c r="B806" s="1039"/>
      <c r="C806" s="1040"/>
      <c r="D806" s="1040"/>
      <c r="E806" s="1040"/>
      <c r="F806" s="1040"/>
      <c r="G806" s="1040"/>
      <c r="H806" s="1040"/>
      <c r="I806" s="1040"/>
      <c r="J806" s="1040"/>
      <c r="K806" s="1041"/>
      <c r="L806" s="1041"/>
      <c r="M806" s="1041"/>
      <c r="N806" s="1041"/>
      <c r="O806" s="1041"/>
      <c r="P806" s="1041"/>
      <c r="Q806" s="1041"/>
      <c r="R806" s="1041"/>
      <c r="S806" s="1041"/>
      <c r="T806" s="1041"/>
      <c r="U806" s="1041"/>
      <c r="V806" s="1041"/>
      <c r="W806" s="1042"/>
    </row>
    <row r="807" spans="2:24" x14ac:dyDescent="0.2">
      <c r="B807" s="1043"/>
      <c r="C807" s="1044"/>
      <c r="D807" s="1044"/>
      <c r="E807" s="1044"/>
      <c r="F807" s="1044"/>
      <c r="G807" s="1044"/>
      <c r="H807" s="1044"/>
      <c r="I807" s="1044"/>
      <c r="J807" s="1044"/>
      <c r="K807" s="1041"/>
      <c r="L807" s="1041"/>
      <c r="M807" s="1041"/>
      <c r="N807" s="1041"/>
      <c r="O807" s="1041"/>
      <c r="P807" s="1041"/>
      <c r="Q807" s="1041"/>
      <c r="R807" s="1041"/>
      <c r="S807" s="1041"/>
      <c r="T807" s="1041"/>
      <c r="U807" s="1041"/>
      <c r="V807" s="1041"/>
      <c r="W807" s="1042"/>
    </row>
    <row r="808" spans="2:24" x14ac:dyDescent="0.2">
      <c r="B808" s="1043"/>
      <c r="C808" s="1044"/>
      <c r="D808" s="1044"/>
      <c r="E808" s="1044"/>
      <c r="F808" s="1044"/>
      <c r="G808" s="1044"/>
      <c r="H808" s="1044"/>
      <c r="I808" s="1044"/>
      <c r="J808" s="1044"/>
      <c r="K808" s="1041"/>
      <c r="L808" s="1041"/>
      <c r="M808" s="1041"/>
      <c r="N808" s="1041"/>
      <c r="O808" s="1041"/>
      <c r="P808" s="1041"/>
      <c r="Q808" s="1041"/>
      <c r="R808" s="1041"/>
      <c r="S808" s="1041"/>
      <c r="T808" s="1041"/>
      <c r="U808" s="1041"/>
      <c r="V808" s="1041"/>
      <c r="W808" s="1042"/>
    </row>
    <row r="809" spans="2:24" x14ac:dyDescent="0.2">
      <c r="B809" s="1043"/>
      <c r="C809" s="1044"/>
      <c r="D809" s="1044"/>
      <c r="E809" s="1044"/>
      <c r="F809" s="1044"/>
      <c r="G809" s="1044"/>
      <c r="H809" s="1044"/>
      <c r="I809" s="1044"/>
      <c r="J809" s="1044"/>
      <c r="K809" s="1041"/>
      <c r="L809" s="1041"/>
      <c r="M809" s="1041"/>
      <c r="N809" s="1041"/>
      <c r="O809" s="1041"/>
      <c r="P809" s="1041"/>
      <c r="Q809" s="1041"/>
      <c r="R809" s="1041"/>
      <c r="S809" s="1041"/>
      <c r="T809" s="1041"/>
      <c r="U809" s="1041"/>
      <c r="V809" s="1041"/>
      <c r="W809" s="1042"/>
    </row>
    <row r="810" spans="2:24" x14ac:dyDescent="0.2">
      <c r="B810" s="1043"/>
      <c r="C810" s="1044"/>
      <c r="D810" s="1044"/>
      <c r="E810" s="1044"/>
      <c r="F810" s="1044"/>
      <c r="G810" s="1044"/>
      <c r="H810" s="1044"/>
      <c r="I810" s="1044"/>
      <c r="J810" s="1044"/>
      <c r="K810" s="1041"/>
      <c r="L810" s="1041"/>
      <c r="M810" s="1041"/>
      <c r="N810" s="1041"/>
      <c r="O810" s="1041"/>
      <c r="P810" s="1041"/>
      <c r="Q810" s="1041"/>
      <c r="R810" s="1041"/>
      <c r="S810" s="1041"/>
      <c r="T810" s="1041"/>
      <c r="U810" s="1041"/>
      <c r="V810" s="1041"/>
      <c r="W810" s="1042"/>
    </row>
    <row r="811" spans="2:24" x14ac:dyDescent="0.2">
      <c r="B811" s="1045"/>
      <c r="C811" s="1046"/>
      <c r="D811" s="1046"/>
      <c r="E811" s="1046"/>
      <c r="F811" s="1046"/>
      <c r="G811" s="1046"/>
      <c r="H811" s="1046"/>
      <c r="I811" s="1046"/>
      <c r="J811" s="1046"/>
      <c r="K811" s="1046"/>
      <c r="L811" s="1046"/>
      <c r="M811" s="1046"/>
      <c r="N811" s="1046"/>
      <c r="O811" s="1046"/>
      <c r="P811" s="1046"/>
      <c r="Q811" s="1046"/>
      <c r="R811" s="1046"/>
      <c r="S811" s="1046"/>
      <c r="T811" s="1046"/>
      <c r="U811" s="1046"/>
      <c r="V811" s="1046"/>
      <c r="W811" s="1047"/>
    </row>
    <row r="812" spans="2:24" ht="15" customHeight="1" x14ac:dyDescent="0.2">
      <c r="B812" s="1048"/>
      <c r="C812" s="1049"/>
      <c r="D812" s="1049"/>
      <c r="E812" s="1049"/>
      <c r="F812" s="1049"/>
      <c r="G812" s="1049"/>
      <c r="H812" s="1049"/>
      <c r="I812" s="1049"/>
      <c r="J812" s="1049"/>
      <c r="K812" s="1049"/>
      <c r="L812" s="1049"/>
      <c r="M812" s="1049"/>
      <c r="N812" s="1049"/>
      <c r="O812" s="1049"/>
      <c r="P812" s="1049"/>
      <c r="Q812" s="1049"/>
      <c r="R812" s="1049"/>
      <c r="S812" s="1049"/>
      <c r="T812" s="1049"/>
      <c r="U812" s="1049"/>
      <c r="V812" s="1049"/>
      <c r="W812" s="1050"/>
    </row>
    <row r="813" spans="2:24" ht="12.6" customHeight="1" x14ac:dyDescent="0.2">
      <c r="B813" s="3"/>
      <c r="C813" s="3"/>
      <c r="D813" s="3"/>
      <c r="E813" s="4"/>
      <c r="F813" s="4"/>
      <c r="G813" s="4"/>
      <c r="H813" s="4"/>
      <c r="I813" s="4"/>
      <c r="J813" s="4"/>
      <c r="K813" s="4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7"/>
      <c r="W813" s="7"/>
    </row>
    <row r="814" spans="2:24" ht="18.75" customHeight="1" x14ac:dyDescent="0.2">
      <c r="B814" s="1027" t="s">
        <v>297</v>
      </c>
      <c r="C814" s="1028"/>
      <c r="D814" s="1028"/>
      <c r="E814" s="1028"/>
      <c r="F814" s="1028"/>
      <c r="G814" s="1028"/>
      <c r="H814" s="1028"/>
      <c r="I814" s="1028"/>
      <c r="J814" s="1028"/>
      <c r="K814" s="1028"/>
      <c r="L814" s="1028"/>
      <c r="M814" s="1028"/>
      <c r="N814" s="1028"/>
      <c r="O814" s="1028"/>
      <c r="P814" s="1028"/>
      <c r="Q814" s="1028"/>
      <c r="R814" s="1028"/>
      <c r="S814" s="1028"/>
      <c r="T814" s="1028"/>
      <c r="U814" s="1028"/>
      <c r="V814" s="1028"/>
      <c r="W814" s="1029"/>
    </row>
    <row r="815" spans="2:24" x14ac:dyDescent="0.2">
      <c r="B815" s="3"/>
      <c r="C815" s="3"/>
      <c r="D815" s="3"/>
      <c r="E815" s="4"/>
      <c r="F815" s="4"/>
      <c r="G815" s="4"/>
      <c r="H815" s="4"/>
      <c r="I815" s="4"/>
      <c r="J815" s="4"/>
      <c r="K815" s="4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7"/>
      <c r="W815" s="7"/>
    </row>
    <row r="816" spans="2:24" x14ac:dyDescent="0.2">
      <c r="B816" s="3"/>
      <c r="C816" s="3"/>
      <c r="D816" s="3"/>
      <c r="E816" s="4"/>
      <c r="F816" s="4"/>
      <c r="G816" s="4"/>
      <c r="H816" s="4"/>
      <c r="I816" s="4"/>
      <c r="J816" s="4"/>
      <c r="K816" s="4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7"/>
      <c r="W816" s="7"/>
    </row>
    <row r="817" spans="2:23" x14ac:dyDescent="0.2">
      <c r="B817" s="3"/>
      <c r="C817" s="3"/>
      <c r="D817" s="3"/>
      <c r="E817" s="4"/>
      <c r="F817" s="4"/>
      <c r="G817" s="4"/>
      <c r="H817" s="4"/>
      <c r="I817" s="4"/>
      <c r="J817" s="4"/>
      <c r="K817" s="4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7"/>
      <c r="W817" s="7"/>
    </row>
    <row r="818" spans="2:23" x14ac:dyDescent="0.2">
      <c r="B818" s="3"/>
      <c r="C818" s="3"/>
      <c r="D818" s="3"/>
      <c r="E818" s="4"/>
      <c r="F818" s="4"/>
      <c r="G818" s="4"/>
      <c r="H818" s="4"/>
      <c r="I818" s="4"/>
      <c r="J818" s="4"/>
      <c r="K818" s="4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7"/>
      <c r="W818" s="7"/>
    </row>
    <row r="819" spans="2:23" x14ac:dyDescent="0.2">
      <c r="B819" s="3"/>
      <c r="C819" s="3"/>
      <c r="D819" s="3"/>
      <c r="E819" s="4"/>
      <c r="F819" s="4"/>
      <c r="G819" s="4"/>
      <c r="H819" s="4"/>
      <c r="I819" s="4"/>
      <c r="J819" s="4"/>
      <c r="K819" s="4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7"/>
      <c r="W819" s="7"/>
    </row>
    <row r="820" spans="2:23" x14ac:dyDescent="0.2">
      <c r="B820" s="3"/>
      <c r="C820" s="3"/>
      <c r="D820" s="3"/>
      <c r="E820" s="4"/>
      <c r="F820" s="4"/>
      <c r="G820" s="4"/>
      <c r="H820" s="4"/>
      <c r="I820" s="4"/>
      <c r="J820" s="4"/>
      <c r="K820" s="4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7"/>
      <c r="W820" s="7"/>
    </row>
    <row r="821" spans="2:23" x14ac:dyDescent="0.2">
      <c r="B821" s="3"/>
      <c r="C821" s="3"/>
      <c r="D821" s="3"/>
      <c r="E821" s="4"/>
      <c r="F821" s="4"/>
      <c r="G821" s="4"/>
      <c r="H821" s="4"/>
      <c r="I821" s="4"/>
      <c r="J821" s="4"/>
      <c r="K821" s="4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7"/>
      <c r="W821" s="7"/>
    </row>
    <row r="822" spans="2:23" x14ac:dyDescent="0.2">
      <c r="B822" s="3"/>
      <c r="C822" s="3"/>
      <c r="D822" s="3"/>
      <c r="E822" s="4"/>
      <c r="F822" s="4"/>
      <c r="G822" s="4"/>
      <c r="H822" s="4"/>
      <c r="I822" s="4"/>
      <c r="J822" s="4"/>
      <c r="K822" s="4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7"/>
      <c r="W822" s="7"/>
    </row>
    <row r="823" spans="2:23" x14ac:dyDescent="0.2">
      <c r="B823" s="3"/>
      <c r="C823" s="3"/>
      <c r="D823" s="3"/>
      <c r="E823" s="4"/>
      <c r="F823" s="4"/>
      <c r="G823" s="4"/>
      <c r="H823" s="4"/>
      <c r="I823" s="4"/>
      <c r="J823" s="4"/>
      <c r="K823" s="4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7"/>
      <c r="W823" s="7"/>
    </row>
    <row r="824" spans="2:23" x14ac:dyDescent="0.2">
      <c r="B824" s="3"/>
      <c r="C824" s="3"/>
      <c r="D824" s="3"/>
      <c r="E824" s="4"/>
      <c r="F824" s="4"/>
      <c r="G824" s="4"/>
      <c r="H824" s="4"/>
      <c r="I824" s="4"/>
      <c r="J824" s="4"/>
      <c r="K824" s="4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7"/>
      <c r="W824" s="7"/>
    </row>
    <row r="825" spans="2:23" x14ac:dyDescent="0.2">
      <c r="B825" s="3"/>
      <c r="C825" s="3"/>
      <c r="D825" s="3"/>
      <c r="E825" s="4"/>
      <c r="F825" s="4"/>
      <c r="G825" s="4"/>
      <c r="H825" s="4"/>
      <c r="I825" s="4"/>
      <c r="J825" s="4"/>
      <c r="K825" s="4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7"/>
      <c r="W825" s="7"/>
    </row>
    <row r="826" spans="2:23" x14ac:dyDescent="0.2">
      <c r="B826" s="3"/>
      <c r="C826" s="3"/>
      <c r="D826" s="3"/>
      <c r="E826" s="4"/>
      <c r="F826" s="4"/>
      <c r="G826" s="4"/>
      <c r="H826" s="4"/>
      <c r="I826" s="4"/>
      <c r="J826" s="4"/>
      <c r="K826" s="4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7"/>
      <c r="W826" s="7"/>
    </row>
    <row r="827" spans="2:23" ht="12.75" customHeight="1" x14ac:dyDescent="0.2">
      <c r="B827" s="3"/>
      <c r="C827" s="3"/>
      <c r="D827" s="3"/>
      <c r="E827" s="4"/>
      <c r="F827" s="4"/>
      <c r="G827" s="4"/>
      <c r="H827" s="4"/>
      <c r="I827" s="4"/>
      <c r="J827" s="4"/>
      <c r="K827" s="4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7"/>
      <c r="W827" s="7"/>
    </row>
    <row r="828" spans="2:23" x14ac:dyDescent="0.2">
      <c r="B828" s="3"/>
      <c r="C828" s="3"/>
      <c r="D828" s="3"/>
      <c r="E828" s="4"/>
      <c r="F828" s="4"/>
      <c r="G828" s="4"/>
      <c r="H828" s="4"/>
      <c r="I828" s="4"/>
      <c r="J828" s="4"/>
      <c r="K828" s="4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7"/>
      <c r="W828" s="7"/>
    </row>
    <row r="829" spans="2:23" x14ac:dyDescent="0.2">
      <c r="B829" s="3"/>
      <c r="C829" s="3"/>
      <c r="D829" s="3"/>
      <c r="E829" s="4"/>
      <c r="F829" s="4"/>
      <c r="G829" s="4"/>
      <c r="H829" s="4"/>
      <c r="I829" s="4"/>
      <c r="J829" s="4"/>
      <c r="K829" s="4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7"/>
      <c r="W829" s="7"/>
    </row>
    <row r="830" spans="2:23" x14ac:dyDescent="0.2">
      <c r="B830" s="3"/>
      <c r="C830" s="3"/>
      <c r="D830" s="3"/>
      <c r="E830" s="4"/>
      <c r="F830" s="4"/>
      <c r="G830" s="4"/>
      <c r="H830" s="4"/>
      <c r="I830" s="4"/>
      <c r="J830" s="4"/>
      <c r="K830" s="4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7"/>
      <c r="W830" s="7"/>
    </row>
    <row r="831" spans="2:23" x14ac:dyDescent="0.2">
      <c r="B831" s="3"/>
      <c r="C831" s="3"/>
      <c r="D831" s="3"/>
      <c r="E831" s="4"/>
      <c r="F831" s="4"/>
      <c r="G831" s="4"/>
      <c r="H831" s="4"/>
      <c r="I831" s="4"/>
      <c r="J831" s="4"/>
      <c r="K831" s="4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7"/>
      <c r="W831" s="7"/>
    </row>
    <row r="832" spans="2:23" x14ac:dyDescent="0.2">
      <c r="B832" s="3"/>
      <c r="C832" s="3"/>
      <c r="D832" s="3"/>
      <c r="E832" s="4"/>
      <c r="F832" s="4"/>
      <c r="G832" s="4"/>
      <c r="H832" s="4"/>
      <c r="I832" s="4"/>
      <c r="J832" s="4"/>
      <c r="K832" s="4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7"/>
      <c r="W832" s="7"/>
    </row>
    <row r="833" spans="2:23" x14ac:dyDescent="0.2">
      <c r="B833" s="3"/>
      <c r="C833" s="3"/>
      <c r="D833" s="3"/>
      <c r="E833" s="4"/>
      <c r="F833" s="4"/>
      <c r="G833" s="4"/>
      <c r="H833" s="4"/>
      <c r="I833" s="4"/>
      <c r="J833" s="4"/>
      <c r="K833" s="4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7"/>
      <c r="W833" s="7"/>
    </row>
    <row r="834" spans="2:23" x14ac:dyDescent="0.2">
      <c r="B834" s="3"/>
      <c r="C834" s="3"/>
      <c r="D834" s="3"/>
      <c r="E834" s="4"/>
      <c r="F834" s="4"/>
      <c r="G834" s="4"/>
      <c r="H834" s="4"/>
      <c r="I834" s="4"/>
      <c r="J834" s="4"/>
      <c r="K834" s="4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7"/>
      <c r="W834" s="7"/>
    </row>
    <row r="835" spans="2:23" x14ac:dyDescent="0.2">
      <c r="B835" s="3"/>
      <c r="C835" s="3"/>
      <c r="D835" s="3"/>
      <c r="E835" s="4"/>
      <c r="F835" s="4"/>
      <c r="G835" s="4"/>
      <c r="H835" s="4"/>
      <c r="I835" s="4"/>
      <c r="J835" s="4"/>
      <c r="K835" s="4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7"/>
      <c r="W835" s="7"/>
    </row>
    <row r="836" spans="2:23" x14ac:dyDescent="0.2">
      <c r="B836" s="3"/>
      <c r="C836" s="3"/>
      <c r="D836" s="3"/>
      <c r="E836" s="4"/>
      <c r="F836" s="4"/>
      <c r="G836" s="4"/>
      <c r="H836" s="4"/>
      <c r="I836" s="4"/>
      <c r="J836" s="4"/>
      <c r="K836" s="4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7"/>
      <c r="W836" s="7"/>
    </row>
    <row r="837" spans="2:23" x14ac:dyDescent="0.2">
      <c r="B837" s="3"/>
      <c r="C837" s="3"/>
      <c r="D837" s="3"/>
      <c r="E837" s="4"/>
      <c r="F837" s="4"/>
      <c r="G837" s="4"/>
      <c r="H837" s="4"/>
      <c r="I837" s="4"/>
      <c r="J837" s="4"/>
      <c r="K837" s="4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7"/>
      <c r="W837" s="7"/>
    </row>
    <row r="838" spans="2:23" x14ac:dyDescent="0.2">
      <c r="B838" s="3"/>
      <c r="C838" s="3"/>
      <c r="D838" s="3"/>
      <c r="E838" s="4"/>
      <c r="F838" s="4"/>
      <c r="G838" s="4"/>
      <c r="H838" s="4"/>
      <c r="I838" s="4"/>
      <c r="J838" s="4"/>
      <c r="K838" s="4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7"/>
      <c r="W838" s="7"/>
    </row>
    <row r="839" spans="2:23" x14ac:dyDescent="0.2">
      <c r="B839" s="3"/>
      <c r="C839" s="3"/>
      <c r="D839" s="3"/>
      <c r="E839" s="4"/>
      <c r="F839" s="4"/>
      <c r="G839" s="4"/>
      <c r="H839" s="4"/>
      <c r="I839" s="4"/>
      <c r="J839" s="4"/>
      <c r="K839" s="4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7"/>
      <c r="W839" s="7"/>
    </row>
    <row r="840" spans="2:23" x14ac:dyDescent="0.2">
      <c r="B840" s="3"/>
      <c r="C840" s="3"/>
      <c r="D840" s="3"/>
      <c r="E840" s="4"/>
      <c r="F840" s="4"/>
      <c r="G840" s="4"/>
      <c r="H840" s="4"/>
      <c r="I840" s="4"/>
      <c r="J840" s="4"/>
      <c r="K840" s="4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7"/>
      <c r="W840" s="7"/>
    </row>
    <row r="841" spans="2:23" x14ac:dyDescent="0.2">
      <c r="B841" s="3"/>
      <c r="C841" s="3"/>
      <c r="D841" s="3"/>
      <c r="E841" s="4"/>
      <c r="F841" s="4"/>
      <c r="G841" s="4"/>
      <c r="H841" s="4"/>
      <c r="I841" s="4"/>
      <c r="J841" s="4"/>
      <c r="K841" s="4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7"/>
      <c r="W841" s="7"/>
    </row>
    <row r="842" spans="2:23" x14ac:dyDescent="0.2">
      <c r="B842" s="3"/>
      <c r="C842" s="3"/>
      <c r="D842" s="3"/>
      <c r="E842" s="4"/>
      <c r="F842" s="4"/>
      <c r="G842" s="4"/>
      <c r="H842" s="4"/>
      <c r="I842" s="4"/>
      <c r="J842" s="4"/>
      <c r="K842" s="4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7"/>
      <c r="W842" s="7"/>
    </row>
    <row r="843" spans="2:23" x14ac:dyDescent="0.2">
      <c r="B843" s="3"/>
      <c r="C843" s="3"/>
      <c r="D843" s="3"/>
      <c r="E843" s="4"/>
      <c r="F843" s="4"/>
      <c r="G843" s="4"/>
      <c r="H843" s="4"/>
      <c r="I843" s="4"/>
      <c r="J843" s="4"/>
      <c r="K843" s="4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7"/>
      <c r="W843" s="7"/>
    </row>
    <row r="844" spans="2:23" x14ac:dyDescent="0.2">
      <c r="B844" s="3"/>
      <c r="C844" s="3"/>
      <c r="D844" s="3"/>
      <c r="E844" s="4"/>
      <c r="F844" s="4"/>
      <c r="G844" s="4"/>
      <c r="H844" s="4"/>
      <c r="I844" s="4"/>
      <c r="J844" s="4"/>
      <c r="K844" s="4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7"/>
      <c r="W844" s="7"/>
    </row>
    <row r="845" spans="2:23" x14ac:dyDescent="0.2">
      <c r="B845" s="3"/>
      <c r="C845" s="3"/>
      <c r="D845" s="3"/>
      <c r="E845" s="4"/>
      <c r="F845" s="4"/>
      <c r="G845" s="4"/>
      <c r="H845" s="4"/>
      <c r="I845" s="4"/>
      <c r="J845" s="4"/>
      <c r="K845" s="4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7"/>
      <c r="W845" s="7"/>
    </row>
    <row r="846" spans="2:23" x14ac:dyDescent="0.2">
      <c r="B846" s="3"/>
      <c r="C846" s="3"/>
      <c r="D846" s="3"/>
      <c r="E846" s="4"/>
      <c r="F846" s="4"/>
      <c r="G846" s="4"/>
      <c r="H846" s="4"/>
      <c r="I846" s="4"/>
      <c r="J846" s="4"/>
      <c r="K846" s="4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7"/>
      <c r="W846" s="7"/>
    </row>
    <row r="847" spans="2:23" x14ac:dyDescent="0.2">
      <c r="B847" s="3"/>
      <c r="C847" s="3"/>
      <c r="D847" s="3"/>
      <c r="E847" s="4"/>
      <c r="F847" s="4"/>
      <c r="G847" s="4"/>
      <c r="H847" s="4"/>
      <c r="I847" s="4"/>
      <c r="J847" s="4"/>
      <c r="K847" s="4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7"/>
      <c r="W847" s="7"/>
    </row>
    <row r="848" spans="2:23" x14ac:dyDescent="0.2">
      <c r="B848" s="3"/>
      <c r="C848" s="3"/>
      <c r="D848" s="3"/>
      <c r="E848" s="4"/>
      <c r="F848" s="4"/>
      <c r="G848" s="4"/>
      <c r="H848" s="4"/>
      <c r="I848" s="4"/>
      <c r="J848" s="4"/>
      <c r="K848" s="4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7"/>
      <c r="W848" s="7"/>
    </row>
    <row r="849" spans="2:23" x14ac:dyDescent="0.2">
      <c r="B849" s="3"/>
      <c r="C849" s="3"/>
      <c r="D849" s="3"/>
      <c r="E849" s="4"/>
      <c r="F849" s="4"/>
      <c r="G849" s="4"/>
      <c r="H849" s="4"/>
      <c r="I849" s="4"/>
      <c r="J849" s="4"/>
      <c r="K849" s="4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7"/>
      <c r="W849" s="7"/>
    </row>
    <row r="850" spans="2:23" x14ac:dyDescent="0.2">
      <c r="B850" s="3"/>
      <c r="C850" s="3"/>
      <c r="D850" s="3"/>
      <c r="E850" s="4"/>
      <c r="F850" s="4"/>
      <c r="G850" s="4"/>
      <c r="H850" s="4"/>
      <c r="I850" s="4"/>
      <c r="J850" s="4"/>
      <c r="K850" s="4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7"/>
      <c r="W850" s="7"/>
    </row>
    <row r="851" spans="2:23" x14ac:dyDescent="0.2">
      <c r="B851" s="3"/>
      <c r="C851" s="3"/>
      <c r="D851" s="3"/>
      <c r="E851" s="4"/>
      <c r="F851" s="4"/>
      <c r="G851" s="4"/>
      <c r="H851" s="4"/>
      <c r="I851" s="4"/>
      <c r="J851" s="4"/>
      <c r="K851" s="4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7"/>
      <c r="W851" s="7"/>
    </row>
    <row r="852" spans="2:23" x14ac:dyDescent="0.2">
      <c r="B852" s="3"/>
      <c r="C852" s="3"/>
      <c r="D852" s="3"/>
      <c r="E852" s="4"/>
      <c r="F852" s="4"/>
      <c r="G852" s="4"/>
      <c r="H852" s="4"/>
      <c r="I852" s="4"/>
      <c r="J852" s="4"/>
      <c r="K852" s="4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7"/>
      <c r="W852" s="7"/>
    </row>
    <row r="853" spans="2:23" x14ac:dyDescent="0.2">
      <c r="B853" s="3"/>
      <c r="C853" s="3"/>
      <c r="D853" s="3"/>
      <c r="E853" s="4"/>
      <c r="F853" s="4"/>
      <c r="G853" s="4"/>
      <c r="H853" s="4"/>
      <c r="I853" s="4"/>
      <c r="J853" s="4"/>
      <c r="K853" s="4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7"/>
      <c r="W853" s="7"/>
    </row>
    <row r="854" spans="2:23" x14ac:dyDescent="0.2">
      <c r="B854" s="3"/>
      <c r="C854" s="3"/>
      <c r="D854" s="3"/>
      <c r="E854" s="4"/>
      <c r="F854" s="4"/>
      <c r="G854" s="4"/>
      <c r="H854" s="4"/>
      <c r="I854" s="4"/>
      <c r="J854" s="4"/>
      <c r="K854" s="4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7"/>
      <c r="W854" s="7"/>
    </row>
    <row r="855" spans="2:23" x14ac:dyDescent="0.2">
      <c r="B855" s="3"/>
      <c r="C855" s="3"/>
      <c r="D855" s="3"/>
      <c r="E855" s="4"/>
      <c r="F855" s="4"/>
      <c r="G855" s="4"/>
      <c r="H855" s="4"/>
      <c r="I855" s="4"/>
      <c r="J855" s="4"/>
      <c r="K855" s="4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7"/>
      <c r="W855" s="7"/>
    </row>
    <row r="856" spans="2:23" x14ac:dyDescent="0.2">
      <c r="B856" s="3"/>
      <c r="C856" s="3"/>
      <c r="D856" s="3"/>
      <c r="E856" s="4"/>
      <c r="F856" s="4"/>
      <c r="G856" s="4"/>
      <c r="H856" s="4"/>
      <c r="I856" s="4"/>
      <c r="J856" s="4"/>
      <c r="K856" s="4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7"/>
      <c r="W856" s="7"/>
    </row>
    <row r="857" spans="2:23" x14ac:dyDescent="0.2">
      <c r="B857" s="3"/>
      <c r="C857" s="3"/>
      <c r="D857" s="3"/>
      <c r="E857" s="4"/>
      <c r="F857" s="4"/>
      <c r="G857" s="4"/>
      <c r="H857" s="4"/>
      <c r="I857" s="4"/>
      <c r="J857" s="4"/>
      <c r="K857" s="4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7"/>
      <c r="W857" s="7"/>
    </row>
    <row r="858" spans="2:23" x14ac:dyDescent="0.2">
      <c r="B858" s="3"/>
      <c r="C858" s="3"/>
      <c r="D858" s="3"/>
      <c r="E858" s="4"/>
      <c r="F858" s="4"/>
      <c r="G858" s="4"/>
      <c r="H858" s="4"/>
      <c r="I858" s="4"/>
      <c r="J858" s="4"/>
      <c r="K858" s="4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7"/>
      <c r="W858" s="7"/>
    </row>
    <row r="859" spans="2:23" x14ac:dyDescent="0.2">
      <c r="B859" s="3"/>
      <c r="C859" s="3"/>
      <c r="D859" s="3"/>
      <c r="E859" s="4"/>
      <c r="F859" s="4"/>
      <c r="G859" s="4"/>
      <c r="H859" s="4"/>
      <c r="I859" s="4"/>
      <c r="J859" s="4"/>
      <c r="K859" s="4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7"/>
      <c r="W859" s="7"/>
    </row>
    <row r="860" spans="2:23" x14ac:dyDescent="0.2">
      <c r="B860" s="3"/>
      <c r="C860" s="3"/>
      <c r="D860" s="3"/>
      <c r="E860" s="4"/>
      <c r="F860" s="4"/>
      <c r="G860" s="4"/>
      <c r="H860" s="4"/>
      <c r="I860" s="4"/>
      <c r="J860" s="4"/>
      <c r="K860" s="4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7"/>
      <c r="W860" s="7"/>
    </row>
    <row r="861" spans="2:23" x14ac:dyDescent="0.2">
      <c r="B861" s="3"/>
      <c r="C861" s="3"/>
      <c r="D861" s="3"/>
      <c r="E861" s="4"/>
      <c r="F861" s="4"/>
      <c r="G861" s="4"/>
      <c r="H861" s="4"/>
      <c r="I861" s="4"/>
      <c r="J861" s="4"/>
      <c r="K861" s="4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7"/>
      <c r="W861" s="7"/>
    </row>
    <row r="862" spans="2:23" x14ac:dyDescent="0.2">
      <c r="B862" s="3"/>
      <c r="C862" s="3"/>
      <c r="D862" s="3"/>
      <c r="E862" s="4"/>
      <c r="F862" s="4"/>
      <c r="G862" s="4"/>
      <c r="H862" s="4"/>
      <c r="I862" s="4"/>
      <c r="J862" s="4"/>
      <c r="K862" s="4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7"/>
      <c r="W862" s="7"/>
    </row>
    <row r="863" spans="2:23" x14ac:dyDescent="0.2">
      <c r="B863" s="3"/>
      <c r="C863" s="3"/>
      <c r="D863" s="3"/>
      <c r="E863" s="4"/>
      <c r="F863" s="4"/>
      <c r="G863" s="4"/>
      <c r="H863" s="4"/>
      <c r="I863" s="4"/>
      <c r="J863" s="4"/>
      <c r="K863" s="4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7"/>
      <c r="W863" s="7"/>
    </row>
    <row r="864" spans="2:23" x14ac:dyDescent="0.2">
      <c r="B864" s="3"/>
      <c r="C864" s="3"/>
      <c r="D864" s="3"/>
      <c r="E864" s="4"/>
      <c r="F864" s="4"/>
      <c r="G864" s="4"/>
      <c r="H864" s="4"/>
      <c r="I864" s="4"/>
      <c r="J864" s="4"/>
      <c r="K864" s="4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7"/>
      <c r="W864" s="7"/>
    </row>
    <row r="865" spans="2:23" x14ac:dyDescent="0.2">
      <c r="B865" s="3"/>
      <c r="C865" s="3"/>
      <c r="D865" s="3"/>
      <c r="E865" s="4"/>
      <c r="F865" s="4"/>
      <c r="G865" s="4"/>
      <c r="H865" s="4"/>
      <c r="I865" s="4"/>
      <c r="J865" s="4"/>
      <c r="K865" s="4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7"/>
      <c r="W865" s="7"/>
    </row>
    <row r="866" spans="2:23" x14ac:dyDescent="0.2">
      <c r="B866" s="3"/>
      <c r="C866" s="3"/>
      <c r="D866" s="3"/>
      <c r="E866" s="4"/>
      <c r="F866" s="4"/>
      <c r="G866" s="4"/>
      <c r="H866" s="4"/>
      <c r="I866" s="4"/>
      <c r="J866" s="4"/>
      <c r="K866" s="4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7"/>
      <c r="W866" s="7"/>
    </row>
    <row r="867" spans="2:23" x14ac:dyDescent="0.2">
      <c r="B867" s="3"/>
      <c r="C867" s="3"/>
      <c r="D867" s="3"/>
      <c r="E867" s="4"/>
      <c r="F867" s="4"/>
      <c r="G867" s="4"/>
      <c r="H867" s="4"/>
      <c r="I867" s="4"/>
      <c r="J867" s="4"/>
      <c r="K867" s="4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7"/>
      <c r="W867" s="7"/>
    </row>
    <row r="868" spans="2:23" x14ac:dyDescent="0.2">
      <c r="B868" s="3"/>
      <c r="C868" s="3"/>
      <c r="D868" s="3"/>
      <c r="E868" s="4"/>
      <c r="F868" s="4"/>
      <c r="G868" s="4"/>
      <c r="H868" s="4"/>
      <c r="I868" s="4"/>
      <c r="J868" s="4"/>
      <c r="K868" s="4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7"/>
      <c r="W868" s="7"/>
    </row>
    <row r="869" spans="2:23" x14ac:dyDescent="0.2">
      <c r="B869" s="3"/>
      <c r="C869" s="3"/>
      <c r="D869" s="3"/>
      <c r="E869" s="4"/>
      <c r="F869" s="4"/>
      <c r="G869" s="4"/>
      <c r="H869" s="4"/>
      <c r="I869" s="4"/>
      <c r="J869" s="4"/>
      <c r="K869" s="4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7"/>
      <c r="W869" s="7"/>
    </row>
    <row r="870" spans="2:23" x14ac:dyDescent="0.2">
      <c r="B870" s="3"/>
      <c r="C870" s="3"/>
      <c r="D870" s="3"/>
      <c r="E870" s="4"/>
      <c r="F870" s="4"/>
      <c r="G870" s="4"/>
      <c r="H870" s="4"/>
      <c r="I870" s="4"/>
      <c r="J870" s="4"/>
      <c r="K870" s="4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7"/>
      <c r="W870" s="7"/>
    </row>
    <row r="871" spans="2:23" x14ac:dyDescent="0.2">
      <c r="B871" s="3"/>
      <c r="C871" s="3"/>
      <c r="D871" s="3"/>
      <c r="E871" s="4"/>
      <c r="F871" s="4"/>
      <c r="G871" s="4"/>
      <c r="H871" s="4"/>
      <c r="I871" s="4"/>
      <c r="J871" s="4"/>
      <c r="K871" s="4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7"/>
      <c r="W871" s="7"/>
    </row>
    <row r="872" spans="2:23" x14ac:dyDescent="0.2">
      <c r="B872" s="3"/>
      <c r="C872" s="3"/>
      <c r="D872" s="3"/>
      <c r="E872" s="4"/>
      <c r="F872" s="4"/>
      <c r="G872" s="4"/>
      <c r="H872" s="4"/>
      <c r="I872" s="4"/>
      <c r="J872" s="4"/>
      <c r="K872" s="4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7"/>
      <c r="W872" s="7"/>
    </row>
    <row r="873" spans="2:23" x14ac:dyDescent="0.2">
      <c r="B873" s="3"/>
      <c r="C873" s="3"/>
      <c r="D873" s="3"/>
      <c r="E873" s="4"/>
      <c r="F873" s="4"/>
      <c r="G873" s="4"/>
      <c r="H873" s="4"/>
      <c r="I873" s="4"/>
      <c r="J873" s="4"/>
      <c r="K873" s="4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7"/>
      <c r="W873" s="7"/>
    </row>
    <row r="874" spans="2:23" x14ac:dyDescent="0.2">
      <c r="B874" s="3"/>
      <c r="C874" s="3"/>
      <c r="D874" s="3"/>
      <c r="E874" s="4"/>
      <c r="F874" s="4"/>
      <c r="G874" s="4"/>
      <c r="H874" s="4"/>
      <c r="I874" s="4"/>
      <c r="J874" s="4"/>
      <c r="K874" s="4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7"/>
      <c r="W874" s="7"/>
    </row>
    <row r="875" spans="2:23" x14ac:dyDescent="0.2">
      <c r="B875" s="3"/>
      <c r="C875" s="3"/>
      <c r="D875" s="3"/>
      <c r="E875" s="4"/>
      <c r="F875" s="4"/>
      <c r="G875" s="4"/>
      <c r="H875" s="4"/>
      <c r="I875" s="4"/>
      <c r="J875" s="4"/>
      <c r="K875" s="4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7"/>
      <c r="W875" s="7"/>
    </row>
    <row r="876" spans="2:23" x14ac:dyDescent="0.2">
      <c r="B876" s="3"/>
      <c r="C876" s="3"/>
      <c r="D876" s="3"/>
      <c r="E876" s="4"/>
      <c r="F876" s="4"/>
      <c r="G876" s="4"/>
      <c r="H876" s="4"/>
      <c r="I876" s="4"/>
      <c r="J876" s="4"/>
      <c r="K876" s="4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7"/>
      <c r="W876" s="7"/>
    </row>
    <row r="877" spans="2:23" x14ac:dyDescent="0.2">
      <c r="B877" s="3"/>
      <c r="C877" s="3"/>
      <c r="D877" s="3"/>
      <c r="E877" s="4"/>
      <c r="F877" s="4"/>
      <c r="G877" s="4"/>
      <c r="H877" s="4"/>
      <c r="I877" s="4"/>
      <c r="J877" s="4"/>
      <c r="K877" s="4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7"/>
      <c r="W877" s="7"/>
    </row>
    <row r="878" spans="2:23" x14ac:dyDescent="0.2">
      <c r="B878" s="3"/>
      <c r="C878" s="3"/>
      <c r="D878" s="3"/>
      <c r="E878" s="4"/>
      <c r="F878" s="4"/>
      <c r="G878" s="4"/>
      <c r="H878" s="4"/>
      <c r="I878" s="4"/>
      <c r="J878" s="4"/>
      <c r="K878" s="4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7"/>
      <c r="W878" s="7"/>
    </row>
    <row r="879" spans="2:23" x14ac:dyDescent="0.2">
      <c r="B879" s="3"/>
      <c r="C879" s="3"/>
      <c r="D879" s="3"/>
      <c r="E879" s="4"/>
      <c r="F879" s="4"/>
      <c r="G879" s="4"/>
      <c r="H879" s="4"/>
      <c r="I879" s="4"/>
      <c r="J879" s="4"/>
      <c r="K879" s="4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7"/>
      <c r="W879" s="7"/>
    </row>
    <row r="880" spans="2:23" x14ac:dyDescent="0.2">
      <c r="B880" s="3"/>
      <c r="C880" s="3"/>
      <c r="D880" s="3"/>
      <c r="E880" s="4"/>
      <c r="F880" s="4"/>
      <c r="G880" s="4"/>
      <c r="H880" s="4"/>
      <c r="I880" s="4"/>
      <c r="J880" s="4"/>
      <c r="K880" s="4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7"/>
      <c r="W880" s="7"/>
    </row>
    <row r="881" spans="2:23" x14ac:dyDescent="0.2">
      <c r="B881" s="3"/>
      <c r="C881" s="3"/>
      <c r="D881" s="3"/>
      <c r="E881" s="4"/>
      <c r="F881" s="4"/>
      <c r="G881" s="4"/>
      <c r="H881" s="4"/>
      <c r="I881" s="4"/>
      <c r="J881" s="4"/>
      <c r="K881" s="4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7"/>
      <c r="W881" s="7"/>
    </row>
    <row r="882" spans="2:23" x14ac:dyDescent="0.2">
      <c r="B882" s="3"/>
      <c r="C882" s="3"/>
      <c r="D882" s="3"/>
      <c r="E882" s="4"/>
      <c r="F882" s="4"/>
      <c r="G882" s="4"/>
      <c r="H882" s="4"/>
      <c r="I882" s="4"/>
      <c r="J882" s="4"/>
      <c r="K882" s="4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7"/>
      <c r="W882" s="7"/>
    </row>
    <row r="883" spans="2:23" x14ac:dyDescent="0.2">
      <c r="B883" s="3"/>
      <c r="C883" s="3"/>
      <c r="D883" s="3"/>
      <c r="E883" s="4"/>
      <c r="F883" s="4"/>
      <c r="G883" s="4"/>
      <c r="H883" s="4"/>
      <c r="I883" s="4"/>
      <c r="J883" s="4"/>
      <c r="K883" s="4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7"/>
      <c r="W883" s="7"/>
    </row>
    <row r="884" spans="2:23" x14ac:dyDescent="0.2">
      <c r="B884" s="3"/>
      <c r="C884" s="3"/>
      <c r="D884" s="3"/>
      <c r="E884" s="4"/>
      <c r="F884" s="4"/>
      <c r="G884" s="4"/>
      <c r="H884" s="4"/>
      <c r="I884" s="4"/>
      <c r="J884" s="4"/>
      <c r="K884" s="4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7"/>
      <c r="W884" s="7"/>
    </row>
    <row r="885" spans="2:23" x14ac:dyDescent="0.2">
      <c r="B885" s="3"/>
      <c r="C885" s="3"/>
      <c r="D885" s="3"/>
      <c r="E885" s="4"/>
      <c r="F885" s="4"/>
      <c r="G885" s="4"/>
      <c r="H885" s="4"/>
      <c r="I885" s="4"/>
      <c r="J885" s="4"/>
      <c r="K885" s="4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7"/>
      <c r="W885" s="7"/>
    </row>
    <row r="886" spans="2:23" x14ac:dyDescent="0.2">
      <c r="B886" s="3"/>
      <c r="C886" s="3"/>
      <c r="D886" s="3"/>
      <c r="E886" s="4"/>
      <c r="F886" s="4"/>
      <c r="G886" s="4"/>
      <c r="H886" s="4"/>
      <c r="I886" s="4"/>
      <c r="J886" s="4"/>
      <c r="K886" s="4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7"/>
      <c r="W886" s="7"/>
    </row>
    <row r="887" spans="2:23" x14ac:dyDescent="0.2">
      <c r="B887" s="3"/>
      <c r="C887" s="3"/>
      <c r="D887" s="3"/>
      <c r="E887" s="4"/>
      <c r="F887" s="4"/>
      <c r="G887" s="4"/>
      <c r="H887" s="4"/>
      <c r="I887" s="4"/>
      <c r="J887" s="4"/>
      <c r="K887" s="4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7"/>
      <c r="W887" s="7"/>
    </row>
    <row r="888" spans="2:23" x14ac:dyDescent="0.2">
      <c r="B888" s="3"/>
      <c r="C888" s="3"/>
      <c r="D888" s="3"/>
      <c r="E888" s="4"/>
      <c r="F888" s="4"/>
      <c r="G888" s="4"/>
      <c r="H888" s="4"/>
      <c r="I888" s="4"/>
      <c r="J888" s="4"/>
      <c r="K888" s="4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7"/>
      <c r="W888" s="7"/>
    </row>
    <row r="889" spans="2:23" x14ac:dyDescent="0.2">
      <c r="B889" s="3"/>
      <c r="C889" s="3"/>
      <c r="D889" s="3"/>
      <c r="E889" s="4"/>
      <c r="F889" s="4"/>
      <c r="G889" s="4"/>
      <c r="H889" s="4"/>
      <c r="I889" s="4"/>
      <c r="J889" s="4"/>
      <c r="K889" s="4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7"/>
      <c r="W889" s="7"/>
    </row>
    <row r="890" spans="2:23" x14ac:dyDescent="0.2">
      <c r="B890" s="3"/>
      <c r="C890" s="3"/>
      <c r="D890" s="3"/>
      <c r="E890" s="4"/>
      <c r="F890" s="4"/>
      <c r="G890" s="4"/>
      <c r="H890" s="4"/>
      <c r="I890" s="4"/>
      <c r="J890" s="4"/>
      <c r="K890" s="4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7"/>
      <c r="W890" s="7"/>
    </row>
    <row r="891" spans="2:23" x14ac:dyDescent="0.2">
      <c r="B891" s="3"/>
      <c r="C891" s="3"/>
      <c r="D891" s="3"/>
      <c r="E891" s="4"/>
      <c r="F891" s="4"/>
      <c r="G891" s="4"/>
      <c r="H891" s="4"/>
      <c r="I891" s="4"/>
      <c r="J891" s="4"/>
      <c r="K891" s="4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7"/>
      <c r="W891" s="7"/>
    </row>
    <row r="892" spans="2:23" x14ac:dyDescent="0.2">
      <c r="B892" s="3"/>
      <c r="C892" s="3"/>
      <c r="D892" s="3"/>
      <c r="E892" s="4"/>
      <c r="F892" s="4"/>
      <c r="G892" s="4"/>
      <c r="H892" s="4"/>
      <c r="I892" s="4"/>
      <c r="J892" s="4"/>
      <c r="K892" s="4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7"/>
      <c r="W892" s="7"/>
    </row>
    <row r="893" spans="2:23" x14ac:dyDescent="0.2">
      <c r="B893" s="3"/>
      <c r="C893" s="3"/>
      <c r="D893" s="3"/>
      <c r="E893" s="4"/>
      <c r="F893" s="4"/>
      <c r="G893" s="4"/>
      <c r="H893" s="4"/>
      <c r="I893" s="4"/>
      <c r="J893" s="4"/>
      <c r="K893" s="4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7"/>
      <c r="W893" s="7"/>
    </row>
    <row r="894" spans="2:23" x14ac:dyDescent="0.2">
      <c r="B894" s="3"/>
      <c r="C894" s="3"/>
      <c r="D894" s="3"/>
      <c r="E894" s="4"/>
      <c r="F894" s="4"/>
      <c r="G894" s="4"/>
      <c r="H894" s="4"/>
      <c r="I894" s="4"/>
      <c r="J894" s="4"/>
      <c r="K894" s="4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7"/>
      <c r="W894" s="7"/>
    </row>
    <row r="895" spans="2:23" x14ac:dyDescent="0.2">
      <c r="B895" s="3"/>
      <c r="C895" s="3"/>
      <c r="D895" s="3"/>
      <c r="E895" s="4"/>
      <c r="F895" s="4"/>
      <c r="G895" s="4"/>
      <c r="H895" s="4"/>
      <c r="I895" s="4"/>
      <c r="J895" s="4"/>
      <c r="K895" s="4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7"/>
      <c r="W895" s="7"/>
    </row>
    <row r="896" spans="2:23" x14ac:dyDescent="0.2">
      <c r="B896" s="3"/>
      <c r="C896" s="3"/>
      <c r="D896" s="3"/>
      <c r="E896" s="4"/>
      <c r="F896" s="4"/>
      <c r="G896" s="4"/>
      <c r="H896" s="4"/>
      <c r="I896" s="4"/>
      <c r="J896" s="4"/>
      <c r="K896" s="4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7"/>
      <c r="W896" s="7"/>
    </row>
    <row r="897" spans="2:23" x14ac:dyDescent="0.2">
      <c r="B897" s="3"/>
      <c r="C897" s="3"/>
      <c r="D897" s="3"/>
      <c r="E897" s="4"/>
      <c r="F897" s="4"/>
      <c r="G897" s="4"/>
      <c r="H897" s="4"/>
      <c r="I897" s="4"/>
      <c r="J897" s="4"/>
      <c r="K897" s="4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7"/>
      <c r="W897" s="7"/>
    </row>
    <row r="898" spans="2:23" x14ac:dyDescent="0.2">
      <c r="B898" s="3"/>
      <c r="C898" s="3"/>
      <c r="D898" s="3"/>
      <c r="E898" s="4"/>
      <c r="F898" s="4"/>
      <c r="G898" s="4"/>
      <c r="H898" s="4"/>
      <c r="I898" s="4"/>
      <c r="J898" s="4"/>
      <c r="K898" s="4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7"/>
      <c r="W898" s="7"/>
    </row>
    <row r="899" spans="2:23" x14ac:dyDescent="0.2">
      <c r="B899" s="3"/>
      <c r="C899" s="3"/>
      <c r="D899" s="3"/>
      <c r="E899" s="4"/>
      <c r="F899" s="4"/>
      <c r="G899" s="4"/>
      <c r="H899" s="4"/>
      <c r="I899" s="4"/>
      <c r="J899" s="4"/>
      <c r="K899" s="4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7"/>
      <c r="W899" s="7"/>
    </row>
    <row r="900" spans="2:23" x14ac:dyDescent="0.2">
      <c r="B900" s="3"/>
      <c r="C900" s="3"/>
      <c r="D900" s="3"/>
      <c r="E900" s="4"/>
      <c r="F900" s="4"/>
      <c r="G900" s="4"/>
      <c r="H900" s="4"/>
      <c r="I900" s="4"/>
      <c r="J900" s="4"/>
      <c r="K900" s="4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7"/>
      <c r="W900" s="7"/>
    </row>
    <row r="901" spans="2:23" x14ac:dyDescent="0.2">
      <c r="B901" s="3"/>
      <c r="C901" s="3"/>
      <c r="D901" s="3"/>
      <c r="E901" s="4"/>
      <c r="F901" s="4"/>
      <c r="G901" s="4"/>
      <c r="H901" s="4"/>
      <c r="I901" s="4"/>
      <c r="J901" s="4"/>
      <c r="K901" s="4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7"/>
      <c r="W901" s="7"/>
    </row>
    <row r="902" spans="2:23" x14ac:dyDescent="0.2">
      <c r="B902" s="3"/>
      <c r="C902" s="3"/>
      <c r="D902" s="3"/>
      <c r="E902" s="4"/>
      <c r="F902" s="4"/>
      <c r="G902" s="4"/>
      <c r="H902" s="4"/>
      <c r="I902" s="4"/>
      <c r="J902" s="4"/>
      <c r="K902" s="4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7"/>
      <c r="W902" s="7"/>
    </row>
    <row r="903" spans="2:23" x14ac:dyDescent="0.2">
      <c r="B903" s="3"/>
      <c r="C903" s="3"/>
      <c r="D903" s="3"/>
      <c r="E903" s="4"/>
      <c r="F903" s="4"/>
      <c r="G903" s="4"/>
      <c r="H903" s="4"/>
      <c r="I903" s="4"/>
      <c r="J903" s="4"/>
      <c r="K903" s="4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7"/>
      <c r="W903" s="7"/>
    </row>
    <row r="904" spans="2:23" x14ac:dyDescent="0.2">
      <c r="B904" s="3"/>
      <c r="C904" s="3"/>
      <c r="D904" s="3"/>
      <c r="E904" s="4"/>
      <c r="F904" s="4"/>
      <c r="G904" s="4"/>
      <c r="H904" s="4"/>
      <c r="I904" s="4"/>
      <c r="J904" s="4"/>
      <c r="K904" s="4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7"/>
      <c r="W904" s="7"/>
    </row>
    <row r="905" spans="2:23" x14ac:dyDescent="0.2">
      <c r="B905" s="3"/>
      <c r="C905" s="3"/>
      <c r="D905" s="3"/>
      <c r="E905" s="4"/>
      <c r="F905" s="4"/>
      <c r="G905" s="4"/>
      <c r="H905" s="4"/>
      <c r="I905" s="4"/>
      <c r="J905" s="4"/>
      <c r="K905" s="4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7"/>
      <c r="W905" s="7"/>
    </row>
    <row r="906" spans="2:23" x14ac:dyDescent="0.2">
      <c r="B906" s="3"/>
      <c r="C906" s="3"/>
      <c r="D906" s="3"/>
      <c r="E906" s="4"/>
      <c r="F906" s="4"/>
      <c r="G906" s="4"/>
      <c r="H906" s="4"/>
      <c r="I906" s="4"/>
      <c r="J906" s="4"/>
      <c r="K906" s="4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7"/>
      <c r="W906" s="7"/>
    </row>
    <row r="907" spans="2:23" x14ac:dyDescent="0.2">
      <c r="B907" s="3"/>
      <c r="C907" s="3"/>
      <c r="D907" s="3"/>
      <c r="E907" s="4"/>
      <c r="F907" s="4"/>
      <c r="G907" s="4"/>
      <c r="H907" s="4"/>
      <c r="I907" s="4"/>
      <c r="J907" s="4"/>
      <c r="K907" s="4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7"/>
      <c r="W907" s="7"/>
    </row>
    <row r="908" spans="2:23" x14ac:dyDescent="0.2">
      <c r="B908" s="3"/>
      <c r="C908" s="3"/>
      <c r="D908" s="3"/>
      <c r="E908" s="4"/>
      <c r="F908" s="4"/>
      <c r="G908" s="4"/>
      <c r="H908" s="4"/>
      <c r="I908" s="4"/>
      <c r="J908" s="4"/>
      <c r="K908" s="4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7"/>
      <c r="W908" s="7"/>
    </row>
    <row r="909" spans="2:23" x14ac:dyDescent="0.2">
      <c r="B909" s="3"/>
      <c r="C909" s="3"/>
      <c r="D909" s="3"/>
      <c r="E909" s="4"/>
      <c r="F909" s="4"/>
      <c r="G909" s="4"/>
      <c r="H909" s="4"/>
      <c r="I909" s="4"/>
      <c r="J909" s="4"/>
      <c r="K909" s="4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7"/>
      <c r="W909" s="7"/>
    </row>
    <row r="910" spans="2:23" x14ac:dyDescent="0.2">
      <c r="B910" s="3"/>
      <c r="C910" s="3"/>
      <c r="D910" s="3"/>
      <c r="E910" s="4"/>
      <c r="F910" s="4"/>
      <c r="G910" s="4"/>
      <c r="H910" s="4"/>
      <c r="I910" s="4"/>
      <c r="J910" s="4"/>
      <c r="K910" s="4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7"/>
      <c r="W910" s="7"/>
    </row>
    <row r="911" spans="2:23" x14ac:dyDescent="0.2">
      <c r="B911" s="3"/>
      <c r="C911" s="3"/>
      <c r="D911" s="3"/>
      <c r="E911" s="4"/>
      <c r="F911" s="4"/>
      <c r="G911" s="4"/>
      <c r="H911" s="4"/>
      <c r="I911" s="4"/>
      <c r="J911" s="4"/>
      <c r="K911" s="4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7"/>
      <c r="W911" s="7"/>
    </row>
    <row r="912" spans="2:23" x14ac:dyDescent="0.2">
      <c r="B912" s="3"/>
      <c r="C912" s="3"/>
      <c r="D912" s="3"/>
      <c r="E912" s="4"/>
      <c r="F912" s="4"/>
      <c r="G912" s="4"/>
      <c r="H912" s="4"/>
      <c r="I912" s="4"/>
      <c r="J912" s="4"/>
      <c r="K912" s="4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7"/>
      <c r="W912" s="7"/>
    </row>
    <row r="913" spans="2:23" x14ac:dyDescent="0.2">
      <c r="B913" s="3"/>
      <c r="C913" s="3"/>
      <c r="D913" s="3"/>
      <c r="E913" s="4"/>
      <c r="F913" s="4"/>
      <c r="G913" s="4"/>
      <c r="H913" s="4"/>
      <c r="I913" s="4"/>
      <c r="J913" s="4"/>
      <c r="K913" s="4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7"/>
      <c r="W913" s="7"/>
    </row>
    <row r="914" spans="2:23" x14ac:dyDescent="0.2">
      <c r="B914" s="3"/>
      <c r="C914" s="3"/>
      <c r="D914" s="3"/>
      <c r="E914" s="4"/>
      <c r="F914" s="4"/>
      <c r="G914" s="4"/>
      <c r="H914" s="4"/>
      <c r="I914" s="4"/>
      <c r="J914" s="4"/>
      <c r="K914" s="4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7"/>
      <c r="W914" s="7"/>
    </row>
    <row r="915" spans="2:23" x14ac:dyDescent="0.2">
      <c r="B915" s="3"/>
      <c r="C915" s="3"/>
      <c r="D915" s="3"/>
      <c r="E915" s="4"/>
      <c r="F915" s="4"/>
      <c r="G915" s="4"/>
      <c r="H915" s="4"/>
      <c r="I915" s="4"/>
      <c r="J915" s="4"/>
      <c r="K915" s="4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7"/>
      <c r="W915" s="7"/>
    </row>
    <row r="916" spans="2:23" x14ac:dyDescent="0.2">
      <c r="B916" s="3"/>
      <c r="C916" s="3"/>
      <c r="D916" s="3"/>
      <c r="E916" s="4"/>
      <c r="F916" s="4"/>
      <c r="G916" s="4"/>
      <c r="H916" s="4"/>
      <c r="I916" s="4"/>
      <c r="J916" s="4"/>
      <c r="K916" s="4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7"/>
      <c r="W916" s="7"/>
    </row>
    <row r="917" spans="2:23" x14ac:dyDescent="0.2">
      <c r="B917" s="3"/>
      <c r="C917" s="3"/>
      <c r="D917" s="3"/>
      <c r="E917" s="4"/>
      <c r="F917" s="4"/>
      <c r="G917" s="4"/>
      <c r="H917" s="4"/>
      <c r="I917" s="4"/>
      <c r="J917" s="4"/>
      <c r="K917" s="4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7"/>
      <c r="W917" s="7"/>
    </row>
    <row r="918" spans="2:23" x14ac:dyDescent="0.2">
      <c r="B918" s="3"/>
      <c r="C918" s="3"/>
      <c r="D918" s="3"/>
      <c r="E918" s="4"/>
      <c r="F918" s="4"/>
      <c r="G918" s="4"/>
      <c r="H918" s="4"/>
      <c r="I918" s="4"/>
      <c r="J918" s="4"/>
      <c r="K918" s="4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7"/>
      <c r="W918" s="7"/>
    </row>
    <row r="919" spans="2:23" x14ac:dyDescent="0.2">
      <c r="B919" s="3"/>
      <c r="C919" s="3"/>
      <c r="D919" s="3"/>
      <c r="E919" s="4"/>
      <c r="F919" s="4"/>
      <c r="G919" s="4"/>
      <c r="H919" s="4"/>
      <c r="I919" s="4"/>
      <c r="J919" s="4"/>
      <c r="K919" s="4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7"/>
      <c r="W919" s="7"/>
    </row>
    <row r="920" spans="2:23" x14ac:dyDescent="0.2">
      <c r="B920" s="3"/>
      <c r="C920" s="3"/>
      <c r="D920" s="3"/>
      <c r="E920" s="4"/>
      <c r="F920" s="4"/>
      <c r="G920" s="4"/>
      <c r="H920" s="4"/>
      <c r="I920" s="4"/>
      <c r="J920" s="4"/>
      <c r="K920" s="4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7"/>
      <c r="W920" s="7"/>
    </row>
    <row r="921" spans="2:23" x14ac:dyDescent="0.2">
      <c r="B921" s="3"/>
      <c r="C921" s="3"/>
      <c r="D921" s="3"/>
      <c r="E921" s="4"/>
      <c r="F921" s="4"/>
      <c r="G921" s="4"/>
      <c r="H921" s="4"/>
      <c r="I921" s="4"/>
      <c r="J921" s="4"/>
      <c r="K921" s="4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7"/>
      <c r="W921" s="7"/>
    </row>
    <row r="922" spans="2:23" x14ac:dyDescent="0.2">
      <c r="B922" s="3"/>
      <c r="C922" s="3"/>
      <c r="D922" s="3"/>
      <c r="E922" s="4"/>
      <c r="F922" s="4"/>
      <c r="G922" s="4"/>
      <c r="H922" s="4"/>
      <c r="I922" s="4"/>
      <c r="J922" s="4"/>
      <c r="K922" s="4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7"/>
      <c r="W922" s="7"/>
    </row>
    <row r="923" spans="2:23" x14ac:dyDescent="0.2">
      <c r="B923" s="3"/>
      <c r="C923" s="3"/>
      <c r="D923" s="3"/>
      <c r="E923" s="4"/>
      <c r="F923" s="4"/>
      <c r="G923" s="4"/>
      <c r="H923" s="4"/>
      <c r="I923" s="4"/>
      <c r="J923" s="4"/>
      <c r="K923" s="4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7"/>
      <c r="W923" s="7"/>
    </row>
    <row r="924" spans="2:23" x14ac:dyDescent="0.2">
      <c r="B924" s="3"/>
      <c r="C924" s="3"/>
      <c r="D924" s="3"/>
      <c r="E924" s="4"/>
      <c r="F924" s="4"/>
      <c r="G924" s="4"/>
      <c r="H924" s="4"/>
      <c r="I924" s="4"/>
      <c r="J924" s="4"/>
      <c r="K924" s="4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7"/>
      <c r="W924" s="7"/>
    </row>
    <row r="925" spans="2:23" x14ac:dyDescent="0.2">
      <c r="B925" s="3"/>
      <c r="C925" s="3"/>
      <c r="D925" s="3"/>
      <c r="E925" s="4"/>
      <c r="F925" s="4"/>
      <c r="G925" s="4"/>
      <c r="H925" s="4"/>
      <c r="I925" s="4"/>
      <c r="J925" s="4"/>
      <c r="K925" s="4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7"/>
      <c r="W925" s="7"/>
    </row>
    <row r="926" spans="2:23" x14ac:dyDescent="0.2">
      <c r="B926" s="3"/>
      <c r="C926" s="3"/>
      <c r="D926" s="3"/>
      <c r="E926" s="4"/>
      <c r="F926" s="4"/>
      <c r="G926" s="4"/>
      <c r="H926" s="4"/>
      <c r="I926" s="4"/>
      <c r="J926" s="4"/>
      <c r="K926" s="4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7"/>
      <c r="W926" s="7"/>
    </row>
    <row r="927" spans="2:23" x14ac:dyDescent="0.2">
      <c r="B927" s="3"/>
      <c r="C927" s="3"/>
      <c r="D927" s="3"/>
      <c r="E927" s="4"/>
      <c r="F927" s="4"/>
      <c r="G927" s="4"/>
      <c r="H927" s="4"/>
      <c r="I927" s="4"/>
      <c r="J927" s="4"/>
      <c r="K927" s="4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7"/>
      <c r="W927" s="7"/>
    </row>
    <row r="928" spans="2:23" x14ac:dyDescent="0.2">
      <c r="B928" s="3"/>
      <c r="C928" s="3"/>
      <c r="D928" s="3"/>
      <c r="E928" s="4"/>
      <c r="F928" s="4"/>
      <c r="G928" s="4"/>
      <c r="H928" s="4"/>
      <c r="I928" s="4"/>
      <c r="J928" s="4"/>
      <c r="K928" s="4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7"/>
      <c r="W928" s="7"/>
    </row>
    <row r="929" spans="2:23" x14ac:dyDescent="0.2">
      <c r="B929" s="3"/>
      <c r="C929" s="3"/>
      <c r="D929" s="3"/>
      <c r="E929" s="4"/>
      <c r="F929" s="4"/>
      <c r="G929" s="4"/>
      <c r="H929" s="4"/>
      <c r="I929" s="4"/>
      <c r="J929" s="4"/>
      <c r="K929" s="4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7"/>
      <c r="W929" s="7"/>
    </row>
    <row r="930" spans="2:23" x14ac:dyDescent="0.2">
      <c r="B930" s="3"/>
      <c r="C930" s="3"/>
      <c r="D930" s="3"/>
      <c r="E930" s="4"/>
      <c r="F930" s="4"/>
      <c r="G930" s="4"/>
      <c r="H930" s="4"/>
      <c r="I930" s="4"/>
      <c r="J930" s="4"/>
      <c r="K930" s="4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7"/>
      <c r="W930" s="7"/>
    </row>
    <row r="931" spans="2:23" x14ac:dyDescent="0.2">
      <c r="B931" s="3"/>
      <c r="C931" s="3"/>
      <c r="D931" s="3"/>
      <c r="E931" s="4"/>
      <c r="F931" s="4"/>
      <c r="G931" s="4"/>
      <c r="H931" s="4"/>
      <c r="I931" s="4"/>
      <c r="J931" s="4"/>
      <c r="K931" s="4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7"/>
      <c r="W931" s="7"/>
    </row>
    <row r="932" spans="2:23" x14ac:dyDescent="0.2">
      <c r="B932" s="3"/>
      <c r="C932" s="3"/>
      <c r="D932" s="3"/>
      <c r="E932" s="4"/>
      <c r="F932" s="4"/>
      <c r="G932" s="4"/>
      <c r="H932" s="4"/>
      <c r="I932" s="4"/>
      <c r="J932" s="4"/>
      <c r="K932" s="4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7"/>
      <c r="W932" s="7"/>
    </row>
    <row r="933" spans="2:23" x14ac:dyDescent="0.2">
      <c r="B933" s="3"/>
      <c r="C933" s="3"/>
      <c r="D933" s="3"/>
      <c r="E933" s="4"/>
      <c r="F933" s="4"/>
      <c r="G933" s="4"/>
      <c r="H933" s="4"/>
      <c r="I933" s="4"/>
      <c r="J933" s="4"/>
      <c r="K933" s="4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7"/>
      <c r="W933" s="7"/>
    </row>
    <row r="934" spans="2:23" x14ac:dyDescent="0.2">
      <c r="B934" s="3"/>
      <c r="C934" s="3"/>
      <c r="D934" s="3"/>
      <c r="E934" s="4"/>
      <c r="F934" s="4"/>
      <c r="G934" s="4"/>
      <c r="H934" s="4"/>
      <c r="I934" s="4"/>
      <c r="J934" s="4"/>
      <c r="K934" s="4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7"/>
      <c r="W934" s="7"/>
    </row>
    <row r="935" spans="2:23" x14ac:dyDescent="0.2">
      <c r="B935" s="3"/>
      <c r="C935" s="3"/>
      <c r="D935" s="3"/>
      <c r="E935" s="4"/>
      <c r="F935" s="4"/>
      <c r="G935" s="4"/>
      <c r="H935" s="4"/>
      <c r="I935" s="4"/>
      <c r="J935" s="4"/>
      <c r="K935" s="4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7"/>
      <c r="W935" s="7"/>
    </row>
    <row r="936" spans="2:23" x14ac:dyDescent="0.2">
      <c r="B936" s="3"/>
      <c r="C936" s="3"/>
      <c r="D936" s="3"/>
      <c r="E936" s="4"/>
      <c r="F936" s="4"/>
      <c r="G936" s="4"/>
      <c r="H936" s="4"/>
      <c r="I936" s="4"/>
      <c r="J936" s="4"/>
      <c r="K936" s="4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7"/>
      <c r="W936" s="7"/>
    </row>
    <row r="937" spans="2:23" x14ac:dyDescent="0.2">
      <c r="B937" s="3"/>
      <c r="C937" s="3"/>
      <c r="D937" s="3"/>
      <c r="E937" s="4"/>
      <c r="F937" s="4"/>
      <c r="G937" s="4"/>
      <c r="H937" s="4"/>
      <c r="I937" s="4"/>
      <c r="J937" s="4"/>
      <c r="K937" s="4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7"/>
      <c r="W937" s="7"/>
    </row>
    <row r="938" spans="2:23" x14ac:dyDescent="0.2">
      <c r="B938" s="3"/>
      <c r="C938" s="3"/>
      <c r="D938" s="3"/>
      <c r="E938" s="4"/>
      <c r="F938" s="4"/>
      <c r="G938" s="4"/>
      <c r="H938" s="4"/>
      <c r="I938" s="4"/>
      <c r="J938" s="4"/>
      <c r="K938" s="4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7"/>
      <c r="W938" s="7"/>
    </row>
    <row r="939" spans="2:23" x14ac:dyDescent="0.2">
      <c r="B939" s="3"/>
      <c r="C939" s="3"/>
      <c r="D939" s="3"/>
      <c r="E939" s="4"/>
      <c r="F939" s="4"/>
      <c r="G939" s="4"/>
      <c r="H939" s="4"/>
      <c r="I939" s="4"/>
      <c r="J939" s="4"/>
      <c r="K939" s="4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7"/>
      <c r="W939" s="7"/>
    </row>
    <row r="940" spans="2:23" x14ac:dyDescent="0.2">
      <c r="B940" s="3"/>
      <c r="C940" s="3"/>
      <c r="D940" s="3"/>
      <c r="E940" s="4"/>
      <c r="F940" s="4"/>
      <c r="G940" s="4"/>
      <c r="H940" s="4"/>
      <c r="I940" s="4"/>
      <c r="J940" s="4"/>
      <c r="K940" s="4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7"/>
      <c r="W940" s="7"/>
    </row>
    <row r="941" spans="2:23" x14ac:dyDescent="0.2">
      <c r="B941" s="3"/>
      <c r="C941" s="3"/>
      <c r="D941" s="3"/>
      <c r="E941" s="4"/>
      <c r="F941" s="4"/>
      <c r="G941" s="4"/>
      <c r="H941" s="4"/>
      <c r="I941" s="4"/>
      <c r="J941" s="4"/>
      <c r="K941" s="4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7"/>
      <c r="W941" s="7"/>
    </row>
    <row r="942" spans="2:23" x14ac:dyDescent="0.2">
      <c r="B942" s="3"/>
      <c r="C942" s="3"/>
      <c r="D942" s="3"/>
      <c r="E942" s="4"/>
      <c r="F942" s="4"/>
      <c r="G942" s="4"/>
      <c r="H942" s="4"/>
      <c r="I942" s="4"/>
      <c r="J942" s="4"/>
      <c r="K942" s="4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7"/>
      <c r="W942" s="7"/>
    </row>
    <row r="943" spans="2:23" x14ac:dyDescent="0.2">
      <c r="B943" s="3"/>
      <c r="C943" s="3"/>
      <c r="D943" s="3"/>
      <c r="E943" s="4"/>
      <c r="F943" s="4"/>
      <c r="G943" s="4"/>
      <c r="H943" s="4"/>
      <c r="I943" s="4"/>
      <c r="J943" s="4"/>
      <c r="K943" s="4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7"/>
      <c r="W943" s="7"/>
    </row>
    <row r="944" spans="2:23" x14ac:dyDescent="0.2">
      <c r="B944" s="3"/>
      <c r="C944" s="3"/>
      <c r="D944" s="3"/>
      <c r="E944" s="4"/>
      <c r="F944" s="4"/>
      <c r="G944" s="4"/>
      <c r="H944" s="4"/>
      <c r="I944" s="4"/>
      <c r="J944" s="4"/>
      <c r="K944" s="4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7"/>
      <c r="W944" s="7"/>
    </row>
    <row r="945" spans="2:23" x14ac:dyDescent="0.2">
      <c r="B945" s="3"/>
      <c r="C945" s="3"/>
      <c r="D945" s="3"/>
      <c r="E945" s="4"/>
      <c r="F945" s="4"/>
      <c r="G945" s="4"/>
      <c r="H945" s="4"/>
      <c r="I945" s="4"/>
      <c r="J945" s="4"/>
      <c r="K945" s="4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7"/>
      <c r="W945" s="7"/>
    </row>
    <row r="946" spans="2:23" x14ac:dyDescent="0.2">
      <c r="B946" s="3"/>
      <c r="C946" s="3"/>
      <c r="D946" s="3"/>
      <c r="E946" s="4"/>
      <c r="F946" s="4"/>
      <c r="G946" s="4"/>
      <c r="H946" s="4"/>
      <c r="I946" s="4"/>
      <c r="J946" s="4"/>
      <c r="K946" s="4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7"/>
      <c r="W946" s="7"/>
    </row>
    <row r="947" spans="2:23" x14ac:dyDescent="0.2">
      <c r="B947" s="3"/>
      <c r="C947" s="3"/>
      <c r="D947" s="3"/>
      <c r="E947" s="4"/>
      <c r="F947" s="4"/>
      <c r="G947" s="4"/>
      <c r="H947" s="4"/>
      <c r="I947" s="4"/>
      <c r="J947" s="4"/>
      <c r="K947" s="4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7"/>
      <c r="W947" s="7"/>
    </row>
    <row r="948" spans="2:23" x14ac:dyDescent="0.2">
      <c r="B948" s="3"/>
      <c r="C948" s="3"/>
      <c r="D948" s="3"/>
      <c r="E948" s="4"/>
      <c r="F948" s="4"/>
      <c r="G948" s="4"/>
      <c r="H948" s="4"/>
      <c r="I948" s="4"/>
      <c r="J948" s="4"/>
      <c r="K948" s="4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7"/>
      <c r="W948" s="7"/>
    </row>
    <row r="949" spans="2:23" x14ac:dyDescent="0.2">
      <c r="B949" s="3"/>
      <c r="C949" s="3"/>
      <c r="D949" s="3"/>
      <c r="E949" s="4"/>
      <c r="F949" s="4"/>
      <c r="G949" s="4"/>
      <c r="H949" s="4"/>
      <c r="I949" s="4"/>
      <c r="J949" s="4"/>
      <c r="K949" s="4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7"/>
      <c r="W949" s="7"/>
    </row>
    <row r="950" spans="2:23" x14ac:dyDescent="0.2">
      <c r="B950" s="3"/>
      <c r="C950" s="3"/>
      <c r="D950" s="3"/>
      <c r="E950" s="4"/>
      <c r="F950" s="4"/>
      <c r="G950" s="4"/>
      <c r="H950" s="4"/>
      <c r="I950" s="4"/>
      <c r="J950" s="4"/>
      <c r="K950" s="4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7"/>
      <c r="W950" s="7"/>
    </row>
    <row r="951" spans="2:23" x14ac:dyDescent="0.2">
      <c r="B951" s="3"/>
      <c r="C951" s="3"/>
      <c r="D951" s="3"/>
      <c r="E951" s="4"/>
      <c r="F951" s="4"/>
      <c r="G951" s="4"/>
      <c r="H951" s="4"/>
      <c r="I951" s="4"/>
      <c r="J951" s="4"/>
      <c r="K951" s="4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7"/>
      <c r="W951" s="7"/>
    </row>
    <row r="952" spans="2:23" x14ac:dyDescent="0.2">
      <c r="B952" s="3"/>
      <c r="C952" s="3"/>
      <c r="D952" s="3"/>
      <c r="E952" s="4"/>
      <c r="F952" s="4"/>
      <c r="G952" s="4"/>
      <c r="H952" s="4"/>
      <c r="I952" s="4"/>
      <c r="J952" s="4"/>
      <c r="K952" s="4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7"/>
      <c r="W952" s="7"/>
    </row>
    <row r="953" spans="2:23" x14ac:dyDescent="0.2">
      <c r="B953" s="3"/>
      <c r="C953" s="3"/>
      <c r="D953" s="3"/>
      <c r="E953" s="4"/>
      <c r="F953" s="4"/>
      <c r="G953" s="4"/>
      <c r="H953" s="4"/>
      <c r="I953" s="4"/>
      <c r="J953" s="4"/>
      <c r="K953" s="4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7"/>
      <c r="W953" s="7"/>
    </row>
    <row r="954" spans="2:23" x14ac:dyDescent="0.2">
      <c r="B954" s="3"/>
      <c r="C954" s="3"/>
      <c r="D954" s="3"/>
      <c r="E954" s="4"/>
      <c r="F954" s="4"/>
      <c r="G954" s="4"/>
      <c r="H954" s="4"/>
      <c r="I954" s="4"/>
      <c r="J954" s="4"/>
      <c r="K954" s="4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7"/>
      <c r="W954" s="7"/>
    </row>
    <row r="955" spans="2:23" x14ac:dyDescent="0.2">
      <c r="B955" s="3"/>
      <c r="C955" s="3"/>
      <c r="D955" s="3"/>
      <c r="E955" s="4"/>
      <c r="F955" s="4"/>
      <c r="G955" s="4"/>
      <c r="H955" s="4"/>
      <c r="I955" s="4"/>
      <c r="J955" s="4"/>
      <c r="K955" s="4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7"/>
      <c r="W955" s="7"/>
    </row>
    <row r="956" spans="2:23" x14ac:dyDescent="0.2">
      <c r="B956" s="3"/>
      <c r="C956" s="3"/>
      <c r="D956" s="3"/>
      <c r="E956" s="4"/>
      <c r="F956" s="4"/>
      <c r="G956" s="4"/>
      <c r="H956" s="4"/>
      <c r="I956" s="4"/>
      <c r="J956" s="4"/>
      <c r="K956" s="4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7"/>
      <c r="W956" s="7"/>
    </row>
    <row r="957" spans="2:23" x14ac:dyDescent="0.2">
      <c r="B957" s="3"/>
      <c r="C957" s="3"/>
      <c r="D957" s="3"/>
      <c r="E957" s="4"/>
      <c r="F957" s="4"/>
      <c r="G957" s="4"/>
      <c r="H957" s="4"/>
      <c r="I957" s="4"/>
      <c r="J957" s="4"/>
      <c r="K957" s="4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7"/>
      <c r="W957" s="7"/>
    </row>
    <row r="958" spans="2:23" x14ac:dyDescent="0.2">
      <c r="B958" s="3"/>
      <c r="C958" s="3"/>
      <c r="D958" s="3"/>
      <c r="E958" s="4"/>
      <c r="F958" s="4"/>
      <c r="G958" s="4"/>
      <c r="H958" s="4"/>
      <c r="I958" s="4"/>
      <c r="J958" s="4"/>
      <c r="K958" s="4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7"/>
      <c r="W958" s="7"/>
    </row>
    <row r="959" spans="2:23" x14ac:dyDescent="0.2">
      <c r="B959" s="3"/>
      <c r="C959" s="3"/>
      <c r="D959" s="3"/>
      <c r="E959" s="4"/>
      <c r="F959" s="4"/>
      <c r="G959" s="4"/>
      <c r="H959" s="4"/>
      <c r="I959" s="4"/>
      <c r="J959" s="4"/>
      <c r="K959" s="4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7"/>
      <c r="W959" s="7"/>
    </row>
    <row r="960" spans="2:23" x14ac:dyDescent="0.2">
      <c r="B960" s="3"/>
      <c r="C960" s="3"/>
      <c r="D960" s="3"/>
      <c r="E960" s="4"/>
      <c r="F960" s="4"/>
      <c r="G960" s="4"/>
      <c r="H960" s="4"/>
      <c r="I960" s="4"/>
      <c r="J960" s="4"/>
      <c r="K960" s="4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7"/>
      <c r="W960" s="7"/>
    </row>
    <row r="961" spans="2:23" x14ac:dyDescent="0.2">
      <c r="B961" s="3"/>
      <c r="C961" s="3"/>
      <c r="D961" s="3"/>
      <c r="E961" s="4"/>
      <c r="F961" s="4"/>
      <c r="G961" s="4"/>
      <c r="H961" s="4"/>
      <c r="I961" s="4"/>
      <c r="J961" s="4"/>
      <c r="K961" s="4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7"/>
      <c r="W961" s="7"/>
    </row>
    <row r="962" spans="2:23" x14ac:dyDescent="0.2">
      <c r="B962" s="3"/>
      <c r="C962" s="3"/>
      <c r="D962" s="3"/>
      <c r="E962" s="4"/>
      <c r="F962" s="4"/>
      <c r="G962" s="4"/>
      <c r="H962" s="4"/>
      <c r="I962" s="4"/>
      <c r="J962" s="4"/>
      <c r="K962" s="4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7"/>
      <c r="W962" s="7"/>
    </row>
    <row r="963" spans="2:23" x14ac:dyDescent="0.2">
      <c r="B963" s="3"/>
      <c r="C963" s="3"/>
      <c r="D963" s="3"/>
      <c r="E963" s="4"/>
      <c r="F963" s="4"/>
      <c r="G963" s="4"/>
      <c r="H963" s="4"/>
      <c r="I963" s="4"/>
      <c r="J963" s="4"/>
      <c r="K963" s="4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7"/>
      <c r="W963" s="7"/>
    </row>
    <row r="964" spans="2:23" x14ac:dyDescent="0.2">
      <c r="B964" s="3"/>
      <c r="C964" s="3"/>
      <c r="D964" s="3"/>
      <c r="E964" s="4"/>
      <c r="F964" s="4"/>
      <c r="G964" s="4"/>
      <c r="H964" s="4"/>
      <c r="I964" s="4"/>
      <c r="J964" s="4"/>
      <c r="K964" s="4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7"/>
      <c r="W964" s="7"/>
    </row>
    <row r="965" spans="2:23" x14ac:dyDescent="0.2">
      <c r="B965" s="3"/>
      <c r="C965" s="3"/>
      <c r="D965" s="3"/>
      <c r="E965" s="4"/>
      <c r="F965" s="4"/>
      <c r="G965" s="4"/>
      <c r="H965" s="4"/>
      <c r="I965" s="4"/>
      <c r="J965" s="4"/>
      <c r="K965" s="4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7"/>
      <c r="W965" s="7"/>
    </row>
    <row r="966" spans="2:23" x14ac:dyDescent="0.2">
      <c r="B966" s="3"/>
      <c r="C966" s="3"/>
      <c r="D966" s="3"/>
      <c r="E966" s="4"/>
      <c r="F966" s="4"/>
      <c r="G966" s="4"/>
      <c r="H966" s="4"/>
      <c r="I966" s="4"/>
      <c r="J966" s="4"/>
      <c r="K966" s="4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7"/>
      <c r="W966" s="7"/>
    </row>
    <row r="967" spans="2:23" x14ac:dyDescent="0.2">
      <c r="B967" s="3"/>
      <c r="C967" s="3"/>
      <c r="D967" s="3"/>
      <c r="E967" s="4"/>
      <c r="F967" s="4"/>
      <c r="G967" s="4"/>
      <c r="H967" s="4"/>
      <c r="I967" s="4"/>
      <c r="J967" s="4"/>
      <c r="K967" s="4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7"/>
      <c r="W967" s="7"/>
    </row>
    <row r="968" spans="2:23" x14ac:dyDescent="0.2">
      <c r="B968" s="3"/>
      <c r="C968" s="3"/>
      <c r="D968" s="3"/>
      <c r="E968" s="4"/>
      <c r="F968" s="4"/>
      <c r="G968" s="4"/>
      <c r="H968" s="4"/>
      <c r="I968" s="4"/>
      <c r="J968" s="4"/>
      <c r="K968" s="4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7"/>
      <c r="W968" s="7"/>
    </row>
    <row r="969" spans="2:23" x14ac:dyDescent="0.2">
      <c r="B969" s="3"/>
      <c r="C969" s="3"/>
      <c r="D969" s="3"/>
      <c r="E969" s="4"/>
      <c r="F969" s="4"/>
      <c r="G969" s="4"/>
      <c r="H969" s="4"/>
      <c r="I969" s="4"/>
      <c r="J969" s="4"/>
      <c r="K969" s="4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7"/>
      <c r="W969" s="7"/>
    </row>
    <row r="970" spans="2:23" x14ac:dyDescent="0.2">
      <c r="B970" s="3"/>
      <c r="C970" s="3"/>
      <c r="D970" s="3"/>
      <c r="E970" s="4"/>
      <c r="F970" s="4"/>
      <c r="G970" s="4"/>
      <c r="H970" s="4"/>
      <c r="I970" s="4"/>
      <c r="J970" s="4"/>
      <c r="K970" s="4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7"/>
      <c r="W970" s="7"/>
    </row>
    <row r="971" spans="2:23" x14ac:dyDescent="0.2">
      <c r="B971" s="3"/>
      <c r="C971" s="3"/>
      <c r="D971" s="3"/>
      <c r="E971" s="4"/>
      <c r="F971" s="4"/>
      <c r="G971" s="4"/>
      <c r="H971" s="4"/>
      <c r="I971" s="4"/>
      <c r="J971" s="4"/>
      <c r="K971" s="4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7"/>
      <c r="W971" s="7"/>
    </row>
    <row r="972" spans="2:23" x14ac:dyDescent="0.2">
      <c r="B972" s="3"/>
      <c r="C972" s="3"/>
      <c r="D972" s="3"/>
      <c r="E972" s="4"/>
      <c r="F972" s="4"/>
      <c r="G972" s="4"/>
      <c r="H972" s="4"/>
      <c r="I972" s="4"/>
      <c r="J972" s="4"/>
      <c r="K972" s="4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7"/>
      <c r="W972" s="7"/>
    </row>
    <row r="973" spans="2:23" x14ac:dyDescent="0.2">
      <c r="B973" s="3"/>
      <c r="C973" s="3"/>
      <c r="D973" s="3"/>
      <c r="E973" s="4"/>
      <c r="F973" s="4"/>
      <c r="G973" s="4"/>
      <c r="H973" s="4"/>
      <c r="I973" s="4"/>
      <c r="J973" s="4"/>
      <c r="K973" s="4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7"/>
      <c r="W973" s="7"/>
    </row>
    <row r="974" spans="2:23" x14ac:dyDescent="0.2">
      <c r="B974" s="3"/>
      <c r="C974" s="3"/>
      <c r="D974" s="3"/>
      <c r="E974" s="4"/>
      <c r="F974" s="4"/>
      <c r="G974" s="4"/>
      <c r="H974" s="4"/>
      <c r="I974" s="4"/>
      <c r="J974" s="4"/>
      <c r="K974" s="4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7"/>
      <c r="W974" s="7"/>
    </row>
    <row r="975" spans="2:23" x14ac:dyDescent="0.2">
      <c r="B975" s="3"/>
      <c r="C975" s="3"/>
      <c r="D975" s="3"/>
      <c r="E975" s="4"/>
      <c r="F975" s="4"/>
      <c r="G975" s="4"/>
      <c r="H975" s="4"/>
      <c r="I975" s="4"/>
      <c r="J975" s="4"/>
      <c r="K975" s="4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7"/>
      <c r="W975" s="7"/>
    </row>
    <row r="976" spans="2:23" x14ac:dyDescent="0.2">
      <c r="B976" s="3"/>
      <c r="C976" s="3"/>
      <c r="D976" s="3"/>
      <c r="E976" s="4"/>
      <c r="F976" s="4"/>
      <c r="G976" s="4"/>
      <c r="H976" s="4"/>
      <c r="I976" s="4"/>
      <c r="J976" s="4"/>
      <c r="K976" s="4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7"/>
      <c r="W976" s="7"/>
    </row>
    <row r="977" spans="2:23" x14ac:dyDescent="0.2">
      <c r="B977" s="3"/>
      <c r="C977" s="3"/>
      <c r="D977" s="3"/>
      <c r="E977" s="4"/>
      <c r="F977" s="4"/>
      <c r="G977" s="4"/>
      <c r="H977" s="4"/>
      <c r="I977" s="4"/>
      <c r="J977" s="4"/>
      <c r="K977" s="4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7"/>
      <c r="W977" s="7"/>
    </row>
    <row r="978" spans="2:23" x14ac:dyDescent="0.2">
      <c r="B978" s="3"/>
      <c r="C978" s="3"/>
      <c r="D978" s="3"/>
      <c r="E978" s="4"/>
      <c r="F978" s="4"/>
      <c r="G978" s="4"/>
      <c r="H978" s="4"/>
      <c r="I978" s="4"/>
      <c r="J978" s="4"/>
      <c r="K978" s="4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7"/>
      <c r="W978" s="7"/>
    </row>
    <row r="979" spans="2:23" x14ac:dyDescent="0.2">
      <c r="B979" s="3"/>
      <c r="C979" s="3"/>
      <c r="D979" s="3"/>
      <c r="E979" s="4"/>
      <c r="F979" s="4"/>
      <c r="G979" s="4"/>
      <c r="H979" s="4"/>
      <c r="I979" s="4"/>
      <c r="J979" s="4"/>
      <c r="K979" s="4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7"/>
      <c r="W979" s="7"/>
    </row>
    <row r="980" spans="2:23" x14ac:dyDescent="0.2">
      <c r="B980" s="3"/>
      <c r="C980" s="3"/>
      <c r="D980" s="3"/>
      <c r="E980" s="4"/>
      <c r="F980" s="4"/>
      <c r="G980" s="4"/>
      <c r="H980" s="4"/>
      <c r="I980" s="4"/>
      <c r="J980" s="4"/>
      <c r="K980" s="4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7"/>
      <c r="W980" s="7"/>
    </row>
    <row r="981" spans="2:23" x14ac:dyDescent="0.2">
      <c r="B981" s="3"/>
      <c r="C981" s="3"/>
      <c r="D981" s="3"/>
      <c r="E981" s="4"/>
      <c r="F981" s="4"/>
      <c r="G981" s="4"/>
      <c r="H981" s="4"/>
      <c r="I981" s="4"/>
      <c r="J981" s="4"/>
      <c r="K981" s="4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7"/>
      <c r="W981" s="7"/>
    </row>
    <row r="982" spans="2:23" x14ac:dyDescent="0.2">
      <c r="B982" s="3"/>
      <c r="C982" s="3"/>
      <c r="D982" s="3"/>
      <c r="E982" s="4"/>
      <c r="F982" s="4"/>
      <c r="G982" s="4"/>
      <c r="H982" s="4"/>
      <c r="I982" s="4"/>
      <c r="J982" s="4"/>
      <c r="K982" s="4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7"/>
      <c r="W982" s="7"/>
    </row>
    <row r="983" spans="2:23" x14ac:dyDescent="0.2">
      <c r="B983" s="3"/>
      <c r="C983" s="3"/>
      <c r="D983" s="3"/>
      <c r="E983" s="4"/>
      <c r="F983" s="4"/>
      <c r="G983" s="4"/>
      <c r="H983" s="4"/>
      <c r="I983" s="4"/>
      <c r="J983" s="4"/>
      <c r="K983" s="4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7"/>
      <c r="W983" s="7"/>
    </row>
    <row r="984" spans="2:23" x14ac:dyDescent="0.2">
      <c r="B984" s="3"/>
      <c r="C984" s="3"/>
      <c r="D984" s="3"/>
      <c r="E984" s="4"/>
      <c r="F984" s="4"/>
      <c r="G984" s="4"/>
      <c r="H984" s="4"/>
      <c r="I984" s="4"/>
      <c r="J984" s="4"/>
      <c r="K984" s="4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7"/>
      <c r="W984" s="7"/>
    </row>
    <row r="985" spans="2:23" x14ac:dyDescent="0.2">
      <c r="B985" s="3"/>
      <c r="C985" s="3"/>
      <c r="D985" s="3"/>
      <c r="E985" s="4"/>
      <c r="F985" s="4"/>
      <c r="G985" s="4"/>
      <c r="H985" s="4"/>
      <c r="I985" s="4"/>
      <c r="J985" s="4"/>
      <c r="K985" s="4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7"/>
      <c r="W985" s="7"/>
    </row>
    <row r="986" spans="2:23" x14ac:dyDescent="0.2">
      <c r="B986" s="3"/>
      <c r="C986" s="3"/>
      <c r="D986" s="3"/>
      <c r="E986" s="4"/>
      <c r="F986" s="4"/>
      <c r="G986" s="4"/>
      <c r="H986" s="4"/>
      <c r="I986" s="4"/>
      <c r="J986" s="4"/>
      <c r="K986" s="4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7"/>
      <c r="W986" s="7"/>
    </row>
    <row r="987" spans="2:23" x14ac:dyDescent="0.2">
      <c r="B987" s="3"/>
      <c r="C987" s="3"/>
      <c r="D987" s="3"/>
      <c r="E987" s="4"/>
      <c r="F987" s="4"/>
      <c r="G987" s="4"/>
      <c r="H987" s="4"/>
      <c r="I987" s="4"/>
      <c r="J987" s="4"/>
      <c r="K987" s="4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7"/>
      <c r="W987" s="7"/>
    </row>
    <row r="988" spans="2:23" x14ac:dyDescent="0.2">
      <c r="B988" s="3"/>
      <c r="C988" s="3"/>
      <c r="D988" s="3"/>
      <c r="E988" s="4"/>
      <c r="F988" s="4"/>
      <c r="G988" s="4"/>
      <c r="H988" s="4"/>
      <c r="I988" s="4"/>
      <c r="J988" s="4"/>
      <c r="K988" s="4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7"/>
      <c r="W988" s="7"/>
    </row>
    <row r="989" spans="2:23" x14ac:dyDescent="0.2">
      <c r="B989" s="3"/>
      <c r="C989" s="3"/>
      <c r="D989" s="3"/>
      <c r="E989" s="4"/>
      <c r="F989" s="4"/>
      <c r="G989" s="4"/>
      <c r="H989" s="4"/>
      <c r="I989" s="4"/>
      <c r="J989" s="4"/>
      <c r="K989" s="4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7"/>
      <c r="W989" s="7"/>
    </row>
    <row r="990" spans="2:23" x14ac:dyDescent="0.2">
      <c r="B990" s="3"/>
      <c r="C990" s="3"/>
      <c r="D990" s="3"/>
      <c r="E990" s="4"/>
      <c r="F990" s="4"/>
      <c r="G990" s="4"/>
      <c r="H990" s="4"/>
      <c r="I990" s="4"/>
      <c r="J990" s="4"/>
      <c r="K990" s="4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7"/>
      <c r="W990" s="7"/>
    </row>
    <row r="991" spans="2:23" x14ac:dyDescent="0.2">
      <c r="B991" s="3"/>
      <c r="C991" s="3"/>
      <c r="D991" s="3"/>
      <c r="E991" s="4"/>
      <c r="F991" s="4"/>
      <c r="G991" s="4"/>
      <c r="H991" s="4"/>
      <c r="I991" s="4"/>
      <c r="J991" s="4"/>
      <c r="K991" s="4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7"/>
      <c r="W991" s="7"/>
    </row>
    <row r="992" spans="2:23" x14ac:dyDescent="0.2">
      <c r="B992" s="3"/>
      <c r="C992" s="3"/>
      <c r="D992" s="3"/>
      <c r="E992" s="4"/>
      <c r="F992" s="4"/>
      <c r="G992" s="4"/>
      <c r="H992" s="4"/>
      <c r="I992" s="4"/>
      <c r="J992" s="4"/>
      <c r="K992" s="4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7"/>
      <c r="W992" s="7"/>
    </row>
    <row r="993" spans="2:23" x14ac:dyDescent="0.2">
      <c r="B993" s="3"/>
      <c r="C993" s="3"/>
      <c r="D993" s="3"/>
      <c r="E993" s="4"/>
      <c r="F993" s="4"/>
      <c r="G993" s="4"/>
      <c r="H993" s="4"/>
      <c r="I993" s="4"/>
      <c r="J993" s="4"/>
      <c r="K993" s="4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7"/>
      <c r="W993" s="7"/>
    </row>
    <row r="994" spans="2:23" x14ac:dyDescent="0.2">
      <c r="B994" s="3"/>
      <c r="C994" s="3"/>
      <c r="D994" s="3"/>
      <c r="E994" s="4"/>
      <c r="F994" s="4"/>
      <c r="G994" s="4"/>
      <c r="H994" s="4"/>
      <c r="I994" s="4"/>
      <c r="J994" s="4"/>
      <c r="K994" s="4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7"/>
      <c r="W994" s="7"/>
    </row>
    <row r="995" spans="2:23" x14ac:dyDescent="0.2">
      <c r="B995" s="3"/>
      <c r="C995" s="3"/>
      <c r="D995" s="3"/>
      <c r="E995" s="4"/>
      <c r="F995" s="4"/>
      <c r="G995" s="4"/>
      <c r="H995" s="4"/>
      <c r="I995" s="4"/>
      <c r="J995" s="4"/>
      <c r="K995" s="4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7"/>
      <c r="W995" s="7"/>
    </row>
    <row r="996" spans="2:23" x14ac:dyDescent="0.2">
      <c r="B996" s="3"/>
      <c r="C996" s="3"/>
      <c r="D996" s="3"/>
      <c r="E996" s="4"/>
      <c r="F996" s="4"/>
      <c r="G996" s="4"/>
      <c r="H996" s="4"/>
      <c r="I996" s="4"/>
      <c r="J996" s="4"/>
      <c r="K996" s="4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7"/>
      <c r="W996" s="7"/>
    </row>
    <row r="997" spans="2:23" x14ac:dyDescent="0.2">
      <c r="B997" s="3"/>
      <c r="C997" s="3"/>
      <c r="D997" s="3"/>
      <c r="E997" s="4"/>
      <c r="F997" s="4"/>
      <c r="G997" s="4"/>
      <c r="H997" s="4"/>
      <c r="I997" s="4"/>
      <c r="J997" s="4"/>
      <c r="K997" s="4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7"/>
      <c r="W997" s="7"/>
    </row>
    <row r="998" spans="2:23" x14ac:dyDescent="0.2">
      <c r="B998" s="3"/>
      <c r="C998" s="3"/>
      <c r="D998" s="3"/>
      <c r="E998" s="4"/>
      <c r="F998" s="4"/>
      <c r="G998" s="4"/>
      <c r="H998" s="4"/>
      <c r="I998" s="4"/>
      <c r="J998" s="4"/>
      <c r="K998" s="4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7"/>
      <c r="W998" s="7"/>
    </row>
    <row r="999" spans="2:23" x14ac:dyDescent="0.2">
      <c r="B999" s="3"/>
      <c r="C999" s="3"/>
      <c r="D999" s="3"/>
      <c r="E999" s="4"/>
      <c r="F999" s="4"/>
      <c r="G999" s="4"/>
      <c r="H999" s="4"/>
      <c r="I999" s="4"/>
      <c r="J999" s="4"/>
      <c r="K999" s="4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7"/>
      <c r="W999" s="7"/>
    </row>
    <row r="1000" spans="2:23" x14ac:dyDescent="0.2">
      <c r="B1000" s="3"/>
      <c r="C1000" s="3"/>
      <c r="D1000" s="3"/>
      <c r="E1000" s="4"/>
      <c r="F1000" s="4"/>
      <c r="G1000" s="4"/>
      <c r="H1000" s="4"/>
      <c r="I1000" s="4"/>
      <c r="J1000" s="4"/>
      <c r="K1000" s="4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7"/>
      <c r="W1000" s="7"/>
    </row>
    <row r="1001" spans="2:23" x14ac:dyDescent="0.2">
      <c r="B1001" s="3"/>
      <c r="C1001" s="3"/>
      <c r="D1001" s="3"/>
      <c r="E1001" s="4"/>
      <c r="F1001" s="4"/>
      <c r="G1001" s="4"/>
      <c r="H1001" s="4"/>
      <c r="I1001" s="4"/>
      <c r="J1001" s="4"/>
      <c r="K1001" s="4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7"/>
      <c r="W1001" s="7"/>
    </row>
    <row r="1002" spans="2:23" x14ac:dyDescent="0.2">
      <c r="B1002" s="3"/>
      <c r="C1002" s="3"/>
      <c r="D1002" s="3"/>
      <c r="E1002" s="4"/>
      <c r="F1002" s="4"/>
      <c r="G1002" s="4"/>
      <c r="H1002" s="4"/>
      <c r="I1002" s="4"/>
      <c r="J1002" s="4"/>
      <c r="K1002" s="4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7"/>
      <c r="W1002" s="7"/>
    </row>
    <row r="1003" spans="2:23" x14ac:dyDescent="0.2">
      <c r="B1003" s="3"/>
      <c r="C1003" s="3"/>
      <c r="D1003" s="3"/>
      <c r="E1003" s="4"/>
      <c r="F1003" s="4"/>
      <c r="G1003" s="4"/>
      <c r="H1003" s="4"/>
      <c r="I1003" s="4"/>
      <c r="J1003" s="4"/>
      <c r="K1003" s="4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7"/>
      <c r="W1003" s="7"/>
    </row>
    <row r="1004" spans="2:23" x14ac:dyDescent="0.2">
      <c r="B1004" s="3"/>
      <c r="C1004" s="3"/>
      <c r="D1004" s="3"/>
      <c r="E1004" s="4"/>
      <c r="F1004" s="4"/>
      <c r="G1004" s="4"/>
      <c r="H1004" s="4"/>
      <c r="I1004" s="4"/>
      <c r="J1004" s="4"/>
      <c r="K1004" s="4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7"/>
      <c r="W1004" s="7"/>
    </row>
    <row r="1005" spans="2:23" x14ac:dyDescent="0.2">
      <c r="B1005" s="3"/>
      <c r="C1005" s="3"/>
      <c r="D1005" s="3"/>
      <c r="E1005" s="4"/>
      <c r="F1005" s="4"/>
      <c r="G1005" s="4"/>
      <c r="H1005" s="4"/>
      <c r="I1005" s="4"/>
      <c r="J1005" s="4"/>
      <c r="K1005" s="4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7"/>
      <c r="W1005" s="7"/>
    </row>
    <row r="1006" spans="2:23" x14ac:dyDescent="0.2">
      <c r="B1006" s="3"/>
      <c r="C1006" s="3"/>
      <c r="D1006" s="3"/>
      <c r="E1006" s="4"/>
      <c r="F1006" s="4"/>
      <c r="G1006" s="4"/>
      <c r="H1006" s="4"/>
      <c r="I1006" s="4"/>
      <c r="J1006" s="4"/>
      <c r="K1006" s="4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7"/>
      <c r="W1006" s="7"/>
    </row>
    <row r="1007" spans="2:23" x14ac:dyDescent="0.2">
      <c r="B1007" s="3"/>
      <c r="C1007" s="3"/>
      <c r="D1007" s="3"/>
      <c r="E1007" s="4"/>
      <c r="F1007" s="4"/>
      <c r="G1007" s="4"/>
      <c r="H1007" s="4"/>
      <c r="I1007" s="4"/>
      <c r="J1007" s="4"/>
      <c r="K1007" s="4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7"/>
      <c r="W1007" s="7"/>
    </row>
    <row r="1008" spans="2:23" x14ac:dyDescent="0.2">
      <c r="B1008" s="3"/>
      <c r="C1008" s="3"/>
      <c r="D1008" s="3"/>
      <c r="E1008" s="4"/>
      <c r="F1008" s="4"/>
      <c r="G1008" s="4"/>
      <c r="H1008" s="4"/>
      <c r="I1008" s="4"/>
      <c r="J1008" s="4"/>
      <c r="K1008" s="4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7"/>
      <c r="W1008" s="7"/>
    </row>
    <row r="1009" spans="2:23" x14ac:dyDescent="0.2">
      <c r="B1009" s="3"/>
      <c r="C1009" s="3"/>
      <c r="D1009" s="3"/>
      <c r="E1009" s="4"/>
      <c r="F1009" s="4"/>
      <c r="G1009" s="4"/>
      <c r="H1009" s="4"/>
      <c r="I1009" s="4"/>
      <c r="J1009" s="4"/>
      <c r="K1009" s="4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7"/>
      <c r="W1009" s="7"/>
    </row>
    <row r="1010" spans="2:23" x14ac:dyDescent="0.2">
      <c r="B1010" s="3"/>
      <c r="C1010" s="3"/>
      <c r="D1010" s="3"/>
      <c r="E1010" s="4"/>
      <c r="F1010" s="4"/>
      <c r="G1010" s="4"/>
      <c r="H1010" s="4"/>
      <c r="I1010" s="4"/>
      <c r="J1010" s="4"/>
      <c r="K1010" s="4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7"/>
      <c r="W1010" s="7"/>
    </row>
    <row r="1011" spans="2:23" x14ac:dyDescent="0.2">
      <c r="B1011" s="3"/>
      <c r="C1011" s="3"/>
      <c r="D1011" s="3"/>
      <c r="E1011" s="4"/>
      <c r="F1011" s="4"/>
      <c r="G1011" s="4"/>
      <c r="H1011" s="4"/>
      <c r="I1011" s="4"/>
      <c r="J1011" s="4"/>
      <c r="K1011" s="4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7"/>
      <c r="W1011" s="7"/>
    </row>
    <row r="1012" spans="2:23" x14ac:dyDescent="0.2">
      <c r="B1012" s="3"/>
      <c r="C1012" s="3"/>
      <c r="D1012" s="3"/>
      <c r="E1012" s="4"/>
      <c r="F1012" s="4"/>
      <c r="G1012" s="4"/>
      <c r="H1012" s="4"/>
      <c r="I1012" s="4"/>
      <c r="J1012" s="4"/>
      <c r="K1012" s="4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7"/>
      <c r="W1012" s="7"/>
    </row>
    <row r="1013" spans="2:23" x14ac:dyDescent="0.2">
      <c r="B1013" s="3"/>
      <c r="C1013" s="3"/>
      <c r="D1013" s="3"/>
      <c r="E1013" s="4"/>
      <c r="F1013" s="4"/>
      <c r="G1013" s="4"/>
      <c r="H1013" s="4"/>
      <c r="I1013" s="4"/>
      <c r="J1013" s="4"/>
      <c r="K1013" s="4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7"/>
      <c r="W1013" s="7"/>
    </row>
    <row r="1014" spans="2:23" x14ac:dyDescent="0.2">
      <c r="B1014" s="3"/>
      <c r="C1014" s="3"/>
      <c r="D1014" s="3"/>
      <c r="E1014" s="4"/>
      <c r="F1014" s="4"/>
      <c r="G1014" s="4"/>
      <c r="H1014" s="4"/>
      <c r="I1014" s="4"/>
      <c r="J1014" s="4"/>
      <c r="K1014" s="4"/>
      <c r="L1014" s="3"/>
      <c r="M1014" s="3"/>
      <c r="N1014" s="3"/>
      <c r="O1014" s="3"/>
      <c r="P1014" s="3"/>
      <c r="Q1014" s="3"/>
      <c r="R1014" s="3"/>
      <c r="S1014" s="3"/>
      <c r="T1014" s="3"/>
      <c r="U1014" s="3"/>
      <c r="V1014" s="7"/>
      <c r="W1014" s="7"/>
    </row>
    <row r="1015" spans="2:23" x14ac:dyDescent="0.2">
      <c r="B1015" s="3"/>
      <c r="C1015" s="3"/>
      <c r="D1015" s="3"/>
      <c r="E1015" s="4"/>
      <c r="F1015" s="4"/>
      <c r="G1015" s="4"/>
      <c r="H1015" s="4"/>
      <c r="I1015" s="4"/>
      <c r="J1015" s="4"/>
      <c r="K1015" s="4"/>
      <c r="L1015" s="3"/>
      <c r="M1015" s="3"/>
      <c r="N1015" s="3"/>
      <c r="O1015" s="3"/>
      <c r="P1015" s="3"/>
      <c r="Q1015" s="3"/>
      <c r="R1015" s="3"/>
      <c r="S1015" s="3"/>
      <c r="T1015" s="3"/>
      <c r="U1015" s="3"/>
      <c r="V1015" s="7"/>
      <c r="W1015" s="7"/>
    </row>
    <row r="1016" spans="2:23" x14ac:dyDescent="0.2">
      <c r="B1016" s="3"/>
      <c r="C1016" s="3"/>
      <c r="D1016" s="3"/>
      <c r="E1016" s="4"/>
      <c r="F1016" s="4"/>
      <c r="G1016" s="4"/>
      <c r="H1016" s="4"/>
      <c r="I1016" s="4"/>
      <c r="J1016" s="4"/>
      <c r="K1016" s="4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7"/>
      <c r="W1016" s="7"/>
    </row>
    <row r="1017" spans="2:23" x14ac:dyDescent="0.2">
      <c r="B1017" s="3"/>
      <c r="C1017" s="3"/>
      <c r="D1017" s="3"/>
      <c r="E1017" s="4"/>
      <c r="F1017" s="4"/>
      <c r="G1017" s="4"/>
      <c r="H1017" s="4"/>
      <c r="I1017" s="4"/>
      <c r="J1017" s="4"/>
      <c r="K1017" s="4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7"/>
      <c r="W1017" s="7"/>
    </row>
    <row r="1018" spans="2:23" x14ac:dyDescent="0.2">
      <c r="B1018" s="3"/>
      <c r="C1018" s="3"/>
      <c r="D1018" s="3"/>
      <c r="E1018" s="4"/>
      <c r="F1018" s="4"/>
      <c r="G1018" s="4"/>
      <c r="H1018" s="4"/>
      <c r="I1018" s="4"/>
      <c r="J1018" s="4"/>
      <c r="K1018" s="4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7"/>
      <c r="W1018" s="7"/>
    </row>
    <row r="1019" spans="2:23" x14ac:dyDescent="0.2">
      <c r="B1019" s="3"/>
      <c r="C1019" s="3"/>
      <c r="D1019" s="3"/>
      <c r="E1019" s="4"/>
      <c r="F1019" s="4"/>
      <c r="G1019" s="4"/>
      <c r="H1019" s="4"/>
      <c r="I1019" s="4"/>
      <c r="J1019" s="4"/>
      <c r="K1019" s="4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7"/>
      <c r="W1019" s="7"/>
    </row>
    <row r="1020" spans="2:23" x14ac:dyDescent="0.2">
      <c r="B1020" s="3"/>
      <c r="C1020" s="3"/>
      <c r="D1020" s="3"/>
      <c r="E1020" s="4"/>
      <c r="F1020" s="4"/>
      <c r="G1020" s="4"/>
      <c r="H1020" s="4"/>
      <c r="I1020" s="4"/>
      <c r="J1020" s="4"/>
      <c r="K1020" s="4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7"/>
      <c r="W1020" s="7"/>
    </row>
    <row r="1021" spans="2:23" x14ac:dyDescent="0.2">
      <c r="B1021" s="3"/>
      <c r="C1021" s="3"/>
      <c r="D1021" s="3"/>
      <c r="E1021" s="4"/>
      <c r="F1021" s="4"/>
      <c r="G1021" s="4"/>
      <c r="H1021" s="4"/>
      <c r="I1021" s="4"/>
      <c r="J1021" s="4"/>
      <c r="K1021" s="4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7"/>
      <c r="W1021" s="7"/>
    </row>
    <row r="1022" spans="2:23" x14ac:dyDescent="0.2">
      <c r="B1022" s="3"/>
      <c r="C1022" s="3"/>
      <c r="D1022" s="3"/>
      <c r="E1022" s="4"/>
      <c r="F1022" s="4"/>
      <c r="G1022" s="4"/>
      <c r="H1022" s="4"/>
      <c r="I1022" s="4"/>
      <c r="J1022" s="4"/>
      <c r="K1022" s="4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7"/>
      <c r="W1022" s="7"/>
    </row>
    <row r="1023" spans="2:23" x14ac:dyDescent="0.2">
      <c r="B1023" s="3"/>
      <c r="C1023" s="3"/>
      <c r="D1023" s="3"/>
      <c r="E1023" s="4"/>
      <c r="F1023" s="4"/>
      <c r="G1023" s="4"/>
      <c r="H1023" s="4"/>
      <c r="I1023" s="4"/>
      <c r="J1023" s="4"/>
      <c r="K1023" s="4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7"/>
      <c r="W1023" s="7"/>
    </row>
    <row r="1024" spans="2:23" x14ac:dyDescent="0.2">
      <c r="B1024" s="3"/>
      <c r="C1024" s="3"/>
      <c r="D1024" s="3"/>
      <c r="E1024" s="4"/>
      <c r="F1024" s="4"/>
      <c r="G1024" s="4"/>
      <c r="H1024" s="4"/>
      <c r="I1024" s="4"/>
      <c r="J1024" s="4"/>
      <c r="K1024" s="4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7"/>
      <c r="W1024" s="7"/>
    </row>
    <row r="1025" spans="2:23" x14ac:dyDescent="0.2">
      <c r="B1025" s="3"/>
      <c r="C1025" s="3"/>
      <c r="D1025" s="3"/>
      <c r="E1025" s="4"/>
      <c r="F1025" s="4"/>
      <c r="G1025" s="4"/>
      <c r="H1025" s="4"/>
      <c r="I1025" s="4"/>
      <c r="J1025" s="4"/>
      <c r="K1025" s="4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7"/>
      <c r="W1025" s="7"/>
    </row>
    <row r="1026" spans="2:23" x14ac:dyDescent="0.2">
      <c r="B1026" s="3"/>
      <c r="C1026" s="3"/>
      <c r="D1026" s="3"/>
      <c r="E1026" s="4"/>
      <c r="F1026" s="4"/>
      <c r="G1026" s="4"/>
      <c r="H1026" s="4"/>
      <c r="I1026" s="4"/>
      <c r="J1026" s="4"/>
      <c r="K1026" s="4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7"/>
      <c r="W1026" s="7"/>
    </row>
    <row r="1027" spans="2:23" x14ac:dyDescent="0.2">
      <c r="B1027" s="3"/>
      <c r="C1027" s="3"/>
      <c r="D1027" s="3"/>
      <c r="E1027" s="4"/>
      <c r="F1027" s="4"/>
      <c r="G1027" s="4"/>
      <c r="H1027" s="4"/>
      <c r="I1027" s="4"/>
      <c r="J1027" s="4"/>
      <c r="K1027" s="4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7"/>
      <c r="W1027" s="7"/>
    </row>
    <row r="1028" spans="2:23" x14ac:dyDescent="0.2">
      <c r="B1028" s="3"/>
      <c r="C1028" s="3"/>
      <c r="D1028" s="3"/>
      <c r="E1028" s="4"/>
      <c r="F1028" s="4"/>
      <c r="G1028" s="4"/>
      <c r="H1028" s="4"/>
      <c r="I1028" s="4"/>
      <c r="J1028" s="4"/>
      <c r="K1028" s="4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7"/>
      <c r="W1028" s="7"/>
    </row>
    <row r="1029" spans="2:23" x14ac:dyDescent="0.2">
      <c r="B1029" s="3"/>
      <c r="C1029" s="3"/>
      <c r="D1029" s="3"/>
      <c r="E1029" s="4"/>
      <c r="F1029" s="4"/>
      <c r="G1029" s="4"/>
      <c r="H1029" s="4"/>
      <c r="I1029" s="4"/>
      <c r="J1029" s="4"/>
      <c r="K1029" s="4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7"/>
      <c r="W1029" s="7"/>
    </row>
    <row r="1030" spans="2:23" x14ac:dyDescent="0.2">
      <c r="B1030" s="3"/>
      <c r="C1030" s="3"/>
      <c r="D1030" s="3"/>
      <c r="E1030" s="4"/>
      <c r="F1030" s="4"/>
      <c r="G1030" s="4"/>
      <c r="H1030" s="4"/>
      <c r="I1030" s="4"/>
      <c r="J1030" s="4"/>
      <c r="K1030" s="4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7"/>
      <c r="W1030" s="7"/>
    </row>
    <row r="1031" spans="2:23" x14ac:dyDescent="0.2">
      <c r="B1031" s="3"/>
      <c r="C1031" s="3"/>
      <c r="D1031" s="3"/>
      <c r="E1031" s="4"/>
      <c r="F1031" s="4"/>
      <c r="G1031" s="4"/>
      <c r="H1031" s="4"/>
      <c r="I1031" s="4"/>
      <c r="J1031" s="4"/>
      <c r="K1031" s="4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7"/>
      <c r="W1031" s="7"/>
    </row>
    <row r="1032" spans="2:23" x14ac:dyDescent="0.2">
      <c r="B1032" s="3"/>
      <c r="C1032" s="3"/>
      <c r="D1032" s="3"/>
      <c r="E1032" s="4"/>
      <c r="F1032" s="4"/>
      <c r="G1032" s="4"/>
      <c r="H1032" s="4"/>
      <c r="I1032" s="4"/>
      <c r="J1032" s="4"/>
      <c r="K1032" s="4"/>
      <c r="L1032" s="3"/>
      <c r="M1032" s="3"/>
      <c r="N1032" s="3"/>
      <c r="O1032" s="3"/>
      <c r="P1032" s="3"/>
      <c r="Q1032" s="3"/>
      <c r="R1032" s="3"/>
      <c r="S1032" s="3"/>
      <c r="T1032" s="3"/>
      <c r="U1032" s="3"/>
      <c r="V1032" s="7"/>
      <c r="W1032" s="7"/>
    </row>
    <row r="1033" spans="2:23" x14ac:dyDescent="0.2">
      <c r="B1033" s="3"/>
      <c r="C1033" s="3"/>
      <c r="D1033" s="3"/>
      <c r="E1033" s="4"/>
      <c r="F1033" s="4"/>
      <c r="G1033" s="4"/>
      <c r="H1033" s="4"/>
      <c r="I1033" s="4"/>
      <c r="J1033" s="4"/>
      <c r="K1033" s="4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7"/>
      <c r="W1033" s="7"/>
    </row>
    <row r="1034" spans="2:23" x14ac:dyDescent="0.2">
      <c r="B1034" s="3"/>
      <c r="C1034" s="3"/>
      <c r="D1034" s="3"/>
      <c r="E1034" s="4"/>
      <c r="F1034" s="4"/>
      <c r="G1034" s="4"/>
      <c r="H1034" s="4"/>
      <c r="I1034" s="4"/>
      <c r="J1034" s="4"/>
      <c r="K1034" s="4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7"/>
      <c r="W1034" s="7"/>
    </row>
    <row r="1035" spans="2:23" x14ac:dyDescent="0.2">
      <c r="B1035" s="3"/>
      <c r="C1035" s="3"/>
      <c r="D1035" s="3"/>
      <c r="E1035" s="4"/>
      <c r="F1035" s="4"/>
      <c r="G1035" s="4"/>
      <c r="H1035" s="4"/>
      <c r="I1035" s="4"/>
      <c r="J1035" s="4"/>
      <c r="K1035" s="4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7"/>
      <c r="W1035" s="7"/>
    </row>
    <row r="1036" spans="2:23" x14ac:dyDescent="0.2">
      <c r="B1036" s="3"/>
      <c r="C1036" s="3"/>
      <c r="D1036" s="3"/>
      <c r="E1036" s="4"/>
      <c r="F1036" s="4"/>
      <c r="G1036" s="4"/>
      <c r="H1036" s="4"/>
      <c r="I1036" s="4"/>
      <c r="J1036" s="4"/>
      <c r="K1036" s="4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7"/>
      <c r="W1036" s="7"/>
    </row>
    <row r="1037" spans="2:23" x14ac:dyDescent="0.2">
      <c r="B1037" s="3"/>
      <c r="C1037" s="3"/>
      <c r="D1037" s="3"/>
      <c r="E1037" s="4"/>
      <c r="F1037" s="4"/>
      <c r="G1037" s="4"/>
      <c r="H1037" s="4"/>
      <c r="I1037" s="4"/>
      <c r="J1037" s="4"/>
      <c r="K1037" s="4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7"/>
      <c r="W1037" s="7"/>
    </row>
    <row r="1038" spans="2:23" x14ac:dyDescent="0.2">
      <c r="B1038" s="3"/>
      <c r="C1038" s="3"/>
      <c r="D1038" s="3"/>
      <c r="E1038" s="4"/>
      <c r="F1038" s="4"/>
      <c r="G1038" s="4"/>
      <c r="H1038" s="4"/>
      <c r="I1038" s="4"/>
      <c r="J1038" s="4"/>
      <c r="K1038" s="4"/>
      <c r="L1038" s="3"/>
      <c r="M1038" s="3"/>
      <c r="N1038" s="3"/>
      <c r="O1038" s="3"/>
      <c r="P1038" s="3"/>
      <c r="Q1038" s="3"/>
      <c r="R1038" s="3"/>
      <c r="S1038" s="3"/>
      <c r="T1038" s="3"/>
      <c r="U1038" s="3"/>
      <c r="V1038" s="7"/>
      <c r="W1038" s="7"/>
    </row>
    <row r="1039" spans="2:23" x14ac:dyDescent="0.2">
      <c r="B1039" s="3"/>
      <c r="C1039" s="3"/>
      <c r="D1039" s="3"/>
      <c r="E1039" s="4"/>
      <c r="F1039" s="4"/>
      <c r="G1039" s="4"/>
      <c r="H1039" s="4"/>
      <c r="I1039" s="4"/>
      <c r="J1039" s="4"/>
      <c r="K1039" s="4"/>
      <c r="L1039" s="3"/>
      <c r="M1039" s="3"/>
      <c r="N1039" s="3"/>
      <c r="O1039" s="3"/>
      <c r="P1039" s="3"/>
      <c r="Q1039" s="3"/>
      <c r="R1039" s="3"/>
      <c r="S1039" s="3"/>
      <c r="T1039" s="3"/>
      <c r="U1039" s="3"/>
      <c r="V1039" s="7"/>
      <c r="W1039" s="7"/>
    </row>
    <row r="1040" spans="2:23" x14ac:dyDescent="0.2">
      <c r="B1040" s="3"/>
      <c r="C1040" s="3"/>
      <c r="D1040" s="3"/>
      <c r="E1040" s="4"/>
      <c r="F1040" s="4"/>
      <c r="G1040" s="4"/>
      <c r="H1040" s="4"/>
      <c r="I1040" s="4"/>
      <c r="J1040" s="4"/>
      <c r="K1040" s="4"/>
      <c r="L1040" s="3"/>
      <c r="M1040" s="3"/>
      <c r="N1040" s="3"/>
      <c r="O1040" s="3"/>
      <c r="P1040" s="3"/>
      <c r="Q1040" s="3"/>
      <c r="R1040" s="3"/>
      <c r="S1040" s="3"/>
      <c r="T1040" s="3"/>
      <c r="U1040" s="3"/>
      <c r="V1040" s="7"/>
      <c r="W1040" s="7"/>
    </row>
    <row r="1041" spans="2:23" x14ac:dyDescent="0.2">
      <c r="B1041" s="3"/>
      <c r="C1041" s="3"/>
      <c r="D1041" s="3"/>
      <c r="E1041" s="4"/>
      <c r="F1041" s="4"/>
      <c r="G1041" s="4"/>
      <c r="H1041" s="4"/>
      <c r="I1041" s="4"/>
      <c r="J1041" s="4"/>
      <c r="K1041" s="4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7"/>
      <c r="W1041" s="7"/>
    </row>
    <row r="1042" spans="2:23" x14ac:dyDescent="0.2">
      <c r="B1042" s="3"/>
      <c r="C1042" s="3"/>
      <c r="D1042" s="3"/>
      <c r="E1042" s="4"/>
      <c r="F1042" s="4"/>
      <c r="G1042" s="4"/>
      <c r="H1042" s="4"/>
      <c r="I1042" s="4"/>
      <c r="J1042" s="4"/>
      <c r="K1042" s="4"/>
      <c r="L1042" s="3"/>
      <c r="M1042" s="3"/>
      <c r="N1042" s="3"/>
      <c r="O1042" s="3"/>
      <c r="P1042" s="3"/>
      <c r="Q1042" s="3"/>
      <c r="R1042" s="3"/>
      <c r="S1042" s="3"/>
      <c r="T1042" s="3"/>
      <c r="U1042" s="3"/>
      <c r="V1042" s="7"/>
      <c r="W1042" s="7"/>
    </row>
    <row r="1043" spans="2:23" x14ac:dyDescent="0.2">
      <c r="B1043" s="3"/>
      <c r="C1043" s="3"/>
      <c r="D1043" s="3"/>
      <c r="E1043" s="4"/>
      <c r="F1043" s="4"/>
      <c r="G1043" s="4"/>
      <c r="H1043" s="4"/>
      <c r="I1043" s="4"/>
      <c r="J1043" s="4"/>
      <c r="K1043" s="4"/>
      <c r="L1043" s="3"/>
      <c r="M1043" s="3"/>
      <c r="N1043" s="3"/>
      <c r="O1043" s="3"/>
      <c r="P1043" s="3"/>
      <c r="Q1043" s="3"/>
      <c r="R1043" s="3"/>
      <c r="S1043" s="3"/>
      <c r="T1043" s="3"/>
      <c r="U1043" s="3"/>
      <c r="V1043" s="7"/>
      <c r="W1043" s="7"/>
    </row>
    <row r="1044" spans="2:23" x14ac:dyDescent="0.2">
      <c r="B1044" s="3"/>
      <c r="C1044" s="3"/>
      <c r="D1044" s="3"/>
      <c r="E1044" s="4"/>
      <c r="F1044" s="4"/>
      <c r="G1044" s="4"/>
      <c r="H1044" s="4"/>
      <c r="I1044" s="4"/>
      <c r="J1044" s="4"/>
      <c r="K1044" s="4"/>
      <c r="L1044" s="3"/>
      <c r="M1044" s="3"/>
      <c r="N1044" s="3"/>
      <c r="O1044" s="3"/>
      <c r="P1044" s="3"/>
      <c r="Q1044" s="3"/>
      <c r="R1044" s="3"/>
      <c r="S1044" s="3"/>
      <c r="T1044" s="3"/>
      <c r="U1044" s="3"/>
      <c r="V1044" s="7"/>
      <c r="W1044" s="7"/>
    </row>
    <row r="1045" spans="2:23" x14ac:dyDescent="0.2">
      <c r="B1045" s="3"/>
      <c r="C1045" s="3"/>
      <c r="D1045" s="3"/>
      <c r="E1045" s="4"/>
      <c r="F1045" s="4"/>
      <c r="G1045" s="4"/>
      <c r="H1045" s="4"/>
      <c r="I1045" s="4"/>
      <c r="J1045" s="4"/>
      <c r="K1045" s="4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7"/>
      <c r="W1045" s="7"/>
    </row>
    <row r="1046" spans="2:23" x14ac:dyDescent="0.2">
      <c r="B1046" s="3"/>
      <c r="C1046" s="3"/>
      <c r="D1046" s="3"/>
      <c r="E1046" s="4"/>
      <c r="F1046" s="4"/>
      <c r="G1046" s="4"/>
      <c r="H1046" s="4"/>
      <c r="I1046" s="4"/>
      <c r="J1046" s="4"/>
      <c r="K1046" s="4"/>
      <c r="L1046" s="3"/>
      <c r="M1046" s="3"/>
      <c r="N1046" s="3"/>
      <c r="O1046" s="3"/>
      <c r="P1046" s="3"/>
      <c r="Q1046" s="3"/>
      <c r="R1046" s="3"/>
      <c r="S1046" s="3"/>
      <c r="T1046" s="3"/>
      <c r="U1046" s="3"/>
      <c r="V1046" s="7"/>
      <c r="W1046" s="7"/>
    </row>
    <row r="1047" spans="2:23" x14ac:dyDescent="0.2">
      <c r="B1047" s="3"/>
      <c r="C1047" s="3"/>
      <c r="D1047" s="3"/>
      <c r="E1047" s="4"/>
      <c r="F1047" s="4"/>
      <c r="G1047" s="4"/>
      <c r="H1047" s="4"/>
      <c r="I1047" s="4"/>
      <c r="J1047" s="4"/>
      <c r="K1047" s="4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7"/>
      <c r="W1047" s="7"/>
    </row>
    <row r="1048" spans="2:23" x14ac:dyDescent="0.2">
      <c r="B1048" s="3"/>
      <c r="C1048" s="3"/>
      <c r="D1048" s="3"/>
      <c r="E1048" s="4"/>
      <c r="F1048" s="4"/>
      <c r="G1048" s="4"/>
      <c r="H1048" s="4"/>
      <c r="I1048" s="4"/>
      <c r="J1048" s="4"/>
      <c r="K1048" s="4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7"/>
      <c r="W1048" s="7"/>
    </row>
    <row r="1049" spans="2:23" x14ac:dyDescent="0.2">
      <c r="B1049" s="3"/>
      <c r="C1049" s="3"/>
      <c r="D1049" s="3"/>
      <c r="E1049" s="4"/>
      <c r="F1049" s="4"/>
      <c r="G1049" s="4"/>
      <c r="H1049" s="4"/>
      <c r="I1049" s="4"/>
      <c r="J1049" s="4"/>
      <c r="K1049" s="4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7"/>
      <c r="W1049" s="7"/>
    </row>
    <row r="1050" spans="2:23" x14ac:dyDescent="0.2">
      <c r="B1050" s="3"/>
      <c r="C1050" s="3"/>
      <c r="D1050" s="3"/>
      <c r="E1050" s="4"/>
      <c r="F1050" s="4"/>
      <c r="G1050" s="4"/>
      <c r="H1050" s="4"/>
      <c r="I1050" s="4"/>
      <c r="J1050" s="4"/>
      <c r="K1050" s="4"/>
      <c r="L1050" s="3"/>
      <c r="M1050" s="3"/>
      <c r="N1050" s="3"/>
      <c r="O1050" s="3"/>
      <c r="P1050" s="3"/>
      <c r="Q1050" s="3"/>
      <c r="R1050" s="3"/>
      <c r="S1050" s="3"/>
      <c r="T1050" s="3"/>
      <c r="U1050" s="3"/>
      <c r="V1050" s="7"/>
      <c r="W1050" s="7"/>
    </row>
    <row r="1051" spans="2:23" x14ac:dyDescent="0.2">
      <c r="B1051" s="3"/>
      <c r="C1051" s="3"/>
      <c r="D1051" s="3"/>
      <c r="E1051" s="4"/>
      <c r="F1051" s="4"/>
      <c r="G1051" s="4"/>
      <c r="H1051" s="4"/>
      <c r="I1051" s="4"/>
      <c r="J1051" s="4"/>
      <c r="K1051" s="4"/>
      <c r="L1051" s="3"/>
      <c r="M1051" s="3"/>
      <c r="N1051" s="3"/>
      <c r="O1051" s="3"/>
      <c r="P1051" s="3"/>
      <c r="Q1051" s="3"/>
      <c r="R1051" s="3"/>
      <c r="S1051" s="3"/>
      <c r="T1051" s="3"/>
      <c r="U1051" s="3"/>
      <c r="V1051" s="7"/>
      <c r="W1051" s="7"/>
    </row>
    <row r="1052" spans="2:23" x14ac:dyDescent="0.2">
      <c r="B1052" s="3"/>
      <c r="C1052" s="3"/>
      <c r="D1052" s="3"/>
      <c r="E1052" s="4"/>
      <c r="F1052" s="4"/>
      <c r="G1052" s="4"/>
      <c r="H1052" s="4"/>
      <c r="I1052" s="4"/>
      <c r="J1052" s="4"/>
      <c r="K1052" s="4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7"/>
      <c r="W1052" s="7"/>
    </row>
    <row r="1053" spans="2:23" x14ac:dyDescent="0.2">
      <c r="B1053" s="3"/>
      <c r="C1053" s="3"/>
      <c r="D1053" s="3"/>
      <c r="E1053" s="4"/>
      <c r="F1053" s="4"/>
      <c r="G1053" s="4"/>
      <c r="H1053" s="4"/>
      <c r="I1053" s="4"/>
      <c r="J1053" s="4"/>
      <c r="K1053" s="4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7"/>
      <c r="W1053" s="7"/>
    </row>
    <row r="1054" spans="2:23" x14ac:dyDescent="0.2">
      <c r="B1054" s="3"/>
      <c r="C1054" s="3"/>
      <c r="D1054" s="3"/>
      <c r="E1054" s="4"/>
      <c r="F1054" s="4"/>
      <c r="G1054" s="4"/>
      <c r="H1054" s="4"/>
      <c r="I1054" s="4"/>
      <c r="J1054" s="4"/>
      <c r="K1054" s="4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7"/>
      <c r="W1054" s="7"/>
    </row>
    <row r="1055" spans="2:23" x14ac:dyDescent="0.2">
      <c r="B1055" s="3"/>
      <c r="C1055" s="3"/>
      <c r="D1055" s="3"/>
      <c r="E1055" s="4"/>
      <c r="F1055" s="4"/>
      <c r="G1055" s="4"/>
      <c r="H1055" s="4"/>
      <c r="I1055" s="4"/>
      <c r="J1055" s="4"/>
      <c r="K1055" s="4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7"/>
      <c r="W1055" s="7"/>
    </row>
    <row r="1056" spans="2:23" x14ac:dyDescent="0.2">
      <c r="B1056" s="3"/>
      <c r="C1056" s="3"/>
      <c r="D1056" s="3"/>
      <c r="E1056" s="4"/>
      <c r="F1056" s="4"/>
      <c r="G1056" s="4"/>
      <c r="H1056" s="4"/>
      <c r="I1056" s="4"/>
      <c r="J1056" s="4"/>
      <c r="K1056" s="4"/>
      <c r="L1056" s="3"/>
      <c r="M1056" s="3"/>
      <c r="N1056" s="3"/>
      <c r="O1056" s="3"/>
      <c r="P1056" s="3"/>
      <c r="Q1056" s="3"/>
      <c r="R1056" s="3"/>
      <c r="S1056" s="3"/>
      <c r="T1056" s="3"/>
      <c r="U1056" s="3"/>
      <c r="V1056" s="7"/>
      <c r="W1056" s="7"/>
    </row>
    <row r="1057" spans="2:23" x14ac:dyDescent="0.2">
      <c r="B1057" s="3"/>
      <c r="C1057" s="3"/>
      <c r="D1057" s="3"/>
      <c r="E1057" s="4"/>
      <c r="F1057" s="4"/>
      <c r="G1057" s="4"/>
      <c r="H1057" s="4"/>
      <c r="I1057" s="4"/>
      <c r="J1057" s="4"/>
      <c r="K1057" s="4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7"/>
      <c r="W1057" s="7"/>
    </row>
    <row r="1058" spans="2:23" x14ac:dyDescent="0.2">
      <c r="B1058" s="3"/>
      <c r="C1058" s="3"/>
      <c r="D1058" s="3"/>
      <c r="E1058" s="4"/>
      <c r="F1058" s="4"/>
      <c r="G1058" s="4"/>
      <c r="H1058" s="4"/>
      <c r="I1058" s="4"/>
      <c r="J1058" s="4"/>
      <c r="K1058" s="4"/>
      <c r="L1058" s="3"/>
      <c r="M1058" s="3"/>
      <c r="N1058" s="3"/>
      <c r="O1058" s="3"/>
      <c r="P1058" s="3"/>
      <c r="Q1058" s="3"/>
      <c r="R1058" s="3"/>
      <c r="S1058" s="3"/>
      <c r="T1058" s="3"/>
      <c r="U1058" s="3"/>
      <c r="V1058" s="7"/>
      <c r="W1058" s="7"/>
    </row>
    <row r="1059" spans="2:23" x14ac:dyDescent="0.2">
      <c r="B1059" s="3"/>
      <c r="C1059" s="3"/>
      <c r="D1059" s="3"/>
      <c r="E1059" s="4"/>
      <c r="F1059" s="4"/>
      <c r="G1059" s="4"/>
      <c r="H1059" s="4"/>
      <c r="I1059" s="4"/>
      <c r="J1059" s="4"/>
      <c r="K1059" s="4"/>
      <c r="L1059" s="3"/>
      <c r="M1059" s="3"/>
      <c r="N1059" s="3"/>
      <c r="O1059" s="3"/>
      <c r="P1059" s="3"/>
      <c r="Q1059" s="3"/>
      <c r="R1059" s="3"/>
      <c r="S1059" s="3"/>
      <c r="T1059" s="3"/>
      <c r="U1059" s="3"/>
      <c r="V1059" s="7"/>
      <c r="W1059" s="7"/>
    </row>
    <row r="1060" spans="2:23" x14ac:dyDescent="0.2">
      <c r="B1060" s="3"/>
      <c r="C1060" s="3"/>
      <c r="D1060" s="3"/>
      <c r="E1060" s="4"/>
      <c r="F1060" s="4"/>
      <c r="G1060" s="4"/>
      <c r="H1060" s="4"/>
      <c r="I1060" s="4"/>
      <c r="J1060" s="4"/>
      <c r="K1060" s="4"/>
      <c r="L1060" s="3"/>
      <c r="M1060" s="3"/>
      <c r="N1060" s="3"/>
      <c r="O1060" s="3"/>
      <c r="P1060" s="3"/>
      <c r="Q1060" s="3"/>
      <c r="R1060" s="3"/>
      <c r="S1060" s="3"/>
      <c r="T1060" s="3"/>
      <c r="U1060" s="3"/>
      <c r="V1060" s="7"/>
      <c r="W1060" s="7"/>
    </row>
    <row r="1061" spans="2:23" x14ac:dyDescent="0.2">
      <c r="B1061" s="3"/>
      <c r="C1061" s="3"/>
      <c r="D1061" s="3"/>
      <c r="E1061" s="4"/>
      <c r="F1061" s="4"/>
      <c r="G1061" s="4"/>
      <c r="H1061" s="4"/>
      <c r="I1061" s="4"/>
      <c r="J1061" s="4"/>
      <c r="K1061" s="4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7"/>
      <c r="W1061" s="7"/>
    </row>
    <row r="1062" spans="2:23" x14ac:dyDescent="0.2">
      <c r="B1062" s="3"/>
      <c r="C1062" s="3"/>
      <c r="D1062" s="3"/>
      <c r="E1062" s="4"/>
      <c r="F1062" s="4"/>
      <c r="G1062" s="4"/>
      <c r="H1062" s="4"/>
      <c r="I1062" s="4"/>
      <c r="J1062" s="4"/>
      <c r="K1062" s="4"/>
      <c r="L1062" s="3"/>
      <c r="M1062" s="3"/>
      <c r="N1062" s="3"/>
      <c r="O1062" s="3"/>
      <c r="P1062" s="3"/>
      <c r="Q1062" s="3"/>
      <c r="R1062" s="3"/>
      <c r="S1062" s="3"/>
      <c r="T1062" s="3"/>
      <c r="U1062" s="3"/>
      <c r="V1062" s="7"/>
      <c r="W1062" s="7"/>
    </row>
    <row r="1063" spans="2:23" x14ac:dyDescent="0.2">
      <c r="B1063" s="3"/>
      <c r="C1063" s="3"/>
      <c r="D1063" s="3"/>
      <c r="E1063" s="4"/>
      <c r="F1063" s="4"/>
      <c r="G1063" s="4"/>
      <c r="H1063" s="4"/>
      <c r="I1063" s="4"/>
      <c r="J1063" s="4"/>
      <c r="K1063" s="4"/>
      <c r="L1063" s="3"/>
      <c r="M1063" s="3"/>
      <c r="N1063" s="3"/>
      <c r="O1063" s="3"/>
      <c r="P1063" s="3"/>
      <c r="Q1063" s="3"/>
      <c r="R1063" s="3"/>
      <c r="S1063" s="3"/>
      <c r="T1063" s="3"/>
      <c r="U1063" s="3"/>
      <c r="V1063" s="7"/>
      <c r="W1063" s="7"/>
    </row>
    <row r="1064" spans="2:23" x14ac:dyDescent="0.2">
      <c r="B1064" s="3"/>
      <c r="C1064" s="3"/>
      <c r="D1064" s="3"/>
      <c r="E1064" s="4"/>
      <c r="F1064" s="4"/>
      <c r="G1064" s="4"/>
      <c r="H1064" s="4"/>
      <c r="I1064" s="4"/>
      <c r="J1064" s="4"/>
      <c r="K1064" s="4"/>
      <c r="L1064" s="3"/>
      <c r="M1064" s="3"/>
      <c r="N1064" s="3"/>
      <c r="O1064" s="3"/>
      <c r="P1064" s="3"/>
      <c r="Q1064" s="3"/>
      <c r="R1064" s="3"/>
      <c r="S1064" s="3"/>
      <c r="T1064" s="3"/>
      <c r="U1064" s="3"/>
      <c r="V1064" s="7"/>
      <c r="W1064" s="7"/>
    </row>
    <row r="1065" spans="2:23" x14ac:dyDescent="0.2">
      <c r="B1065" s="3"/>
      <c r="C1065" s="3"/>
      <c r="D1065" s="3"/>
      <c r="E1065" s="4"/>
      <c r="F1065" s="4"/>
      <c r="G1065" s="4"/>
      <c r="H1065" s="4"/>
      <c r="I1065" s="4"/>
      <c r="J1065" s="4"/>
      <c r="K1065" s="4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7"/>
      <c r="W1065" s="7"/>
    </row>
    <row r="1066" spans="2:23" x14ac:dyDescent="0.2">
      <c r="B1066" s="3"/>
      <c r="C1066" s="3"/>
      <c r="D1066" s="3"/>
      <c r="E1066" s="4"/>
      <c r="F1066" s="4"/>
      <c r="G1066" s="4"/>
      <c r="H1066" s="4"/>
      <c r="I1066" s="4"/>
      <c r="J1066" s="4"/>
      <c r="K1066" s="4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7"/>
      <c r="W1066" s="7"/>
    </row>
    <row r="1067" spans="2:23" x14ac:dyDescent="0.2">
      <c r="B1067" s="3"/>
      <c r="C1067" s="3"/>
      <c r="D1067" s="3"/>
      <c r="E1067" s="4"/>
      <c r="F1067" s="4"/>
      <c r="G1067" s="4"/>
      <c r="H1067" s="4"/>
      <c r="I1067" s="4"/>
      <c r="J1067" s="4"/>
      <c r="K1067" s="4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7"/>
      <c r="W1067" s="7"/>
    </row>
    <row r="1068" spans="2:23" x14ac:dyDescent="0.2">
      <c r="B1068" s="3"/>
      <c r="C1068" s="3"/>
      <c r="D1068" s="3"/>
      <c r="E1068" s="4"/>
      <c r="F1068" s="4"/>
      <c r="G1068" s="4"/>
      <c r="H1068" s="4"/>
      <c r="I1068" s="4"/>
      <c r="J1068" s="4"/>
      <c r="K1068" s="4"/>
      <c r="L1068" s="3"/>
      <c r="M1068" s="3"/>
      <c r="N1068" s="3"/>
      <c r="O1068" s="3"/>
      <c r="P1068" s="3"/>
      <c r="Q1068" s="3"/>
      <c r="R1068" s="3"/>
      <c r="S1068" s="3"/>
      <c r="T1068" s="3"/>
      <c r="U1068" s="3"/>
      <c r="V1068" s="7"/>
      <c r="W1068" s="7"/>
    </row>
    <row r="1069" spans="2:23" x14ac:dyDescent="0.2">
      <c r="B1069" s="3"/>
      <c r="C1069" s="3"/>
      <c r="D1069" s="3"/>
      <c r="E1069" s="4"/>
      <c r="F1069" s="4"/>
      <c r="G1069" s="4"/>
      <c r="H1069" s="4"/>
      <c r="I1069" s="4"/>
      <c r="J1069" s="4"/>
      <c r="K1069" s="4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7"/>
      <c r="W1069" s="7"/>
    </row>
    <row r="1070" spans="2:23" x14ac:dyDescent="0.2">
      <c r="B1070" s="3"/>
      <c r="C1070" s="3"/>
      <c r="D1070" s="3"/>
      <c r="E1070" s="4"/>
      <c r="F1070" s="4"/>
      <c r="G1070" s="4"/>
      <c r="H1070" s="4"/>
      <c r="I1070" s="4"/>
      <c r="J1070" s="4"/>
      <c r="K1070" s="4"/>
      <c r="L1070" s="3"/>
      <c r="M1070" s="3"/>
      <c r="N1070" s="3"/>
      <c r="O1070" s="3"/>
      <c r="P1070" s="3"/>
      <c r="Q1070" s="3"/>
      <c r="R1070" s="3"/>
      <c r="S1070" s="3"/>
      <c r="T1070" s="3"/>
      <c r="U1070" s="3"/>
      <c r="V1070" s="7"/>
      <c r="W1070" s="7"/>
    </row>
    <row r="1071" spans="2:23" x14ac:dyDescent="0.2">
      <c r="B1071" s="3"/>
      <c r="C1071" s="3"/>
      <c r="D1071" s="3"/>
      <c r="E1071" s="4"/>
      <c r="F1071" s="4"/>
      <c r="G1071" s="4"/>
      <c r="H1071" s="4"/>
      <c r="I1071" s="4"/>
      <c r="J1071" s="4"/>
      <c r="K1071" s="4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7"/>
      <c r="W1071" s="7"/>
    </row>
    <row r="1072" spans="2:23" x14ac:dyDescent="0.2">
      <c r="B1072" s="3"/>
      <c r="C1072" s="3"/>
      <c r="D1072" s="3"/>
      <c r="E1072" s="4"/>
      <c r="F1072" s="4"/>
      <c r="G1072" s="4"/>
      <c r="H1072" s="4"/>
      <c r="I1072" s="4"/>
      <c r="J1072" s="4"/>
      <c r="K1072" s="4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7"/>
      <c r="W1072" s="7"/>
    </row>
    <row r="1073" spans="2:23" x14ac:dyDescent="0.2">
      <c r="B1073" s="3"/>
      <c r="C1073" s="3"/>
      <c r="D1073" s="3"/>
      <c r="E1073" s="4"/>
      <c r="F1073" s="4"/>
      <c r="G1073" s="4"/>
      <c r="H1073" s="4"/>
      <c r="I1073" s="4"/>
      <c r="J1073" s="4"/>
      <c r="K1073" s="4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7"/>
      <c r="W1073" s="7"/>
    </row>
    <row r="1074" spans="2:23" x14ac:dyDescent="0.2">
      <c r="B1074" s="3"/>
      <c r="C1074" s="3"/>
      <c r="D1074" s="3"/>
      <c r="E1074" s="4"/>
      <c r="F1074" s="4"/>
      <c r="G1074" s="4"/>
      <c r="H1074" s="4"/>
      <c r="I1074" s="4"/>
      <c r="J1074" s="4"/>
      <c r="K1074" s="4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7"/>
      <c r="W1074" s="7"/>
    </row>
    <row r="1075" spans="2:23" x14ac:dyDescent="0.2">
      <c r="B1075" s="3"/>
      <c r="C1075" s="3"/>
      <c r="D1075" s="3"/>
      <c r="E1075" s="4"/>
      <c r="F1075" s="4"/>
      <c r="G1075" s="4"/>
      <c r="H1075" s="4"/>
      <c r="I1075" s="4"/>
      <c r="J1075" s="4"/>
      <c r="K1075" s="4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7"/>
      <c r="W1075" s="7"/>
    </row>
    <row r="1076" spans="2:23" x14ac:dyDescent="0.2">
      <c r="B1076" s="3"/>
      <c r="C1076" s="3"/>
      <c r="D1076" s="3"/>
      <c r="E1076" s="4"/>
      <c r="F1076" s="4"/>
      <c r="G1076" s="4"/>
      <c r="H1076" s="4"/>
      <c r="I1076" s="4"/>
      <c r="J1076" s="4"/>
      <c r="K1076" s="4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7"/>
      <c r="W1076" s="7"/>
    </row>
    <row r="1077" spans="2:23" x14ac:dyDescent="0.2">
      <c r="B1077" s="3"/>
      <c r="C1077" s="3"/>
      <c r="D1077" s="3"/>
      <c r="E1077" s="4"/>
      <c r="F1077" s="4"/>
      <c r="G1077" s="4"/>
      <c r="H1077" s="4"/>
      <c r="I1077" s="4"/>
      <c r="J1077" s="4"/>
      <c r="K1077" s="4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7"/>
      <c r="W1077" s="7"/>
    </row>
    <row r="1078" spans="2:23" x14ac:dyDescent="0.2">
      <c r="B1078" s="3"/>
      <c r="C1078" s="3"/>
      <c r="D1078" s="3"/>
      <c r="E1078" s="4"/>
      <c r="F1078" s="4"/>
      <c r="G1078" s="4"/>
      <c r="H1078" s="4"/>
      <c r="I1078" s="4"/>
      <c r="J1078" s="4"/>
      <c r="K1078" s="4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7"/>
      <c r="W1078" s="7"/>
    </row>
    <row r="1079" spans="2:23" x14ac:dyDescent="0.2">
      <c r="B1079" s="3"/>
      <c r="C1079" s="3"/>
      <c r="D1079" s="3"/>
      <c r="E1079" s="4"/>
      <c r="F1079" s="4"/>
      <c r="G1079" s="4"/>
      <c r="H1079" s="4"/>
      <c r="I1079" s="4"/>
      <c r="J1079" s="4"/>
      <c r="K1079" s="4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7"/>
      <c r="W1079" s="7"/>
    </row>
    <row r="1080" spans="2:23" x14ac:dyDescent="0.2">
      <c r="B1080" s="3"/>
      <c r="C1080" s="3"/>
      <c r="D1080" s="3"/>
      <c r="E1080" s="4"/>
      <c r="F1080" s="4"/>
      <c r="G1080" s="4"/>
      <c r="H1080" s="4"/>
      <c r="I1080" s="4"/>
      <c r="J1080" s="4"/>
      <c r="K1080" s="4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7"/>
      <c r="W1080" s="7"/>
    </row>
    <row r="1081" spans="2:23" x14ac:dyDescent="0.2">
      <c r="B1081" s="3"/>
      <c r="C1081" s="3"/>
      <c r="D1081" s="3"/>
      <c r="E1081" s="4"/>
      <c r="F1081" s="4"/>
      <c r="G1081" s="4"/>
      <c r="H1081" s="4"/>
      <c r="I1081" s="4"/>
      <c r="J1081" s="4"/>
      <c r="K1081" s="4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7"/>
      <c r="W1081" s="7"/>
    </row>
    <row r="1082" spans="2:23" x14ac:dyDescent="0.2">
      <c r="B1082" s="3"/>
      <c r="C1082" s="3"/>
      <c r="D1082" s="3"/>
      <c r="E1082" s="4"/>
      <c r="F1082" s="4"/>
      <c r="G1082" s="4"/>
      <c r="H1082" s="4"/>
      <c r="I1082" s="4"/>
      <c r="J1082" s="4"/>
      <c r="K1082" s="4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7"/>
      <c r="W1082" s="7"/>
    </row>
    <row r="1083" spans="2:23" x14ac:dyDescent="0.2">
      <c r="B1083" s="3"/>
      <c r="C1083" s="3"/>
      <c r="D1083" s="3"/>
      <c r="E1083" s="4"/>
      <c r="F1083" s="4"/>
      <c r="G1083" s="4"/>
      <c r="H1083" s="4"/>
      <c r="I1083" s="4"/>
      <c r="J1083" s="4"/>
      <c r="K1083" s="4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7"/>
      <c r="W1083" s="7"/>
    </row>
    <row r="1084" spans="2:23" x14ac:dyDescent="0.2">
      <c r="B1084" s="3"/>
      <c r="C1084" s="3"/>
      <c r="D1084" s="3"/>
      <c r="E1084" s="4"/>
      <c r="F1084" s="4"/>
      <c r="G1084" s="4"/>
      <c r="H1084" s="4"/>
      <c r="I1084" s="4"/>
      <c r="J1084" s="4"/>
      <c r="K1084" s="4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7"/>
      <c r="W1084" s="7"/>
    </row>
    <row r="1085" spans="2:23" x14ac:dyDescent="0.2">
      <c r="B1085" s="3"/>
      <c r="C1085" s="3"/>
      <c r="D1085" s="3"/>
      <c r="E1085" s="4"/>
      <c r="F1085" s="4"/>
      <c r="G1085" s="4"/>
      <c r="H1085" s="4"/>
      <c r="I1085" s="4"/>
      <c r="J1085" s="4"/>
      <c r="K1085" s="4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7"/>
      <c r="W1085" s="7"/>
    </row>
    <row r="1086" spans="2:23" x14ac:dyDescent="0.2">
      <c r="B1086" s="3"/>
      <c r="C1086" s="3"/>
      <c r="D1086" s="3"/>
      <c r="E1086" s="4"/>
      <c r="F1086" s="4"/>
      <c r="G1086" s="4"/>
      <c r="H1086" s="4"/>
      <c r="I1086" s="4"/>
      <c r="J1086" s="4"/>
      <c r="K1086" s="4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7"/>
      <c r="W1086" s="7"/>
    </row>
    <row r="1087" spans="2:23" x14ac:dyDescent="0.2">
      <c r="B1087" s="3"/>
      <c r="C1087" s="3"/>
      <c r="D1087" s="3"/>
      <c r="E1087" s="4"/>
      <c r="F1087" s="4"/>
      <c r="G1087" s="4"/>
      <c r="H1087" s="4"/>
      <c r="I1087" s="4"/>
      <c r="J1087" s="4"/>
      <c r="K1087" s="4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7"/>
      <c r="W1087" s="7"/>
    </row>
    <row r="1088" spans="2:23" x14ac:dyDescent="0.2">
      <c r="B1088" s="3"/>
      <c r="C1088" s="3"/>
      <c r="D1088" s="3"/>
      <c r="E1088" s="4"/>
      <c r="F1088" s="4"/>
      <c r="G1088" s="4"/>
      <c r="H1088" s="4"/>
      <c r="I1088" s="4"/>
      <c r="J1088" s="4"/>
      <c r="K1088" s="4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7"/>
      <c r="W1088" s="7"/>
    </row>
    <row r="1089" spans="2:23" x14ac:dyDescent="0.2">
      <c r="B1089" s="3"/>
      <c r="C1089" s="3"/>
      <c r="D1089" s="3"/>
      <c r="E1089" s="4"/>
      <c r="F1089" s="4"/>
      <c r="G1089" s="4"/>
      <c r="H1089" s="4"/>
      <c r="I1089" s="4"/>
      <c r="J1089" s="4"/>
      <c r="K1089" s="4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7"/>
      <c r="W1089" s="7"/>
    </row>
    <row r="1090" spans="2:23" x14ac:dyDescent="0.2">
      <c r="B1090" s="3"/>
      <c r="C1090" s="3"/>
      <c r="D1090" s="3"/>
      <c r="E1090" s="4"/>
      <c r="F1090" s="4"/>
      <c r="G1090" s="4"/>
      <c r="H1090" s="4"/>
      <c r="I1090" s="4"/>
      <c r="J1090" s="4"/>
      <c r="K1090" s="4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7"/>
      <c r="W1090" s="7"/>
    </row>
    <row r="1091" spans="2:23" x14ac:dyDescent="0.2">
      <c r="B1091" s="3"/>
      <c r="C1091" s="3"/>
      <c r="D1091" s="3"/>
      <c r="E1091" s="4"/>
      <c r="F1091" s="4"/>
      <c r="G1091" s="4"/>
      <c r="H1091" s="4"/>
      <c r="I1091" s="4"/>
      <c r="J1091" s="4"/>
      <c r="K1091" s="4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7"/>
      <c r="W1091" s="7"/>
    </row>
    <row r="1092" spans="2:23" x14ac:dyDescent="0.2">
      <c r="B1092" s="3"/>
      <c r="C1092" s="3"/>
      <c r="D1092" s="3"/>
      <c r="E1092" s="4"/>
      <c r="F1092" s="4"/>
      <c r="G1092" s="4"/>
      <c r="H1092" s="4"/>
      <c r="I1092" s="4"/>
      <c r="J1092" s="4"/>
      <c r="K1092" s="4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7"/>
      <c r="W1092" s="7"/>
    </row>
    <row r="1093" spans="2:23" x14ac:dyDescent="0.2">
      <c r="B1093" s="3"/>
      <c r="C1093" s="3"/>
      <c r="D1093" s="3"/>
      <c r="E1093" s="4"/>
      <c r="F1093" s="4"/>
      <c r="G1093" s="4"/>
      <c r="H1093" s="4"/>
      <c r="I1093" s="4"/>
      <c r="J1093" s="4"/>
      <c r="K1093" s="4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7"/>
      <c r="W1093" s="7"/>
    </row>
    <row r="1094" spans="2:23" x14ac:dyDescent="0.2">
      <c r="B1094" s="3"/>
      <c r="C1094" s="3"/>
      <c r="D1094" s="3"/>
      <c r="E1094" s="4"/>
      <c r="F1094" s="4"/>
      <c r="G1094" s="4"/>
      <c r="H1094" s="4"/>
      <c r="I1094" s="4"/>
      <c r="J1094" s="4"/>
      <c r="K1094" s="4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7"/>
      <c r="W1094" s="7"/>
    </row>
    <row r="1095" spans="2:23" x14ac:dyDescent="0.2">
      <c r="B1095" s="3"/>
      <c r="C1095" s="3"/>
      <c r="D1095" s="3"/>
      <c r="E1095" s="4"/>
      <c r="F1095" s="4"/>
      <c r="G1095" s="4"/>
      <c r="H1095" s="4"/>
      <c r="I1095" s="4"/>
      <c r="J1095" s="4"/>
      <c r="K1095" s="4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7"/>
      <c r="W1095" s="7"/>
    </row>
    <row r="1096" spans="2:23" x14ac:dyDescent="0.2">
      <c r="B1096" s="3"/>
      <c r="C1096" s="3"/>
      <c r="D1096" s="3"/>
      <c r="E1096" s="4"/>
      <c r="F1096" s="4"/>
      <c r="G1096" s="4"/>
      <c r="H1096" s="4"/>
      <c r="I1096" s="4"/>
      <c r="J1096" s="4"/>
      <c r="K1096" s="4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7"/>
      <c r="W1096" s="7"/>
    </row>
    <row r="1097" spans="2:23" x14ac:dyDescent="0.2">
      <c r="B1097" s="3"/>
      <c r="C1097" s="3"/>
      <c r="D1097" s="3"/>
      <c r="E1097" s="4"/>
      <c r="F1097" s="4"/>
      <c r="G1097" s="4"/>
      <c r="H1097" s="4"/>
      <c r="I1097" s="4"/>
      <c r="J1097" s="4"/>
      <c r="K1097" s="4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7"/>
      <c r="W1097" s="7"/>
    </row>
    <row r="1098" spans="2:23" x14ac:dyDescent="0.2">
      <c r="B1098" s="3"/>
      <c r="C1098" s="3"/>
      <c r="D1098" s="3"/>
      <c r="E1098" s="4"/>
      <c r="F1098" s="4"/>
      <c r="G1098" s="4"/>
      <c r="H1098" s="4"/>
      <c r="I1098" s="4"/>
      <c r="J1098" s="4"/>
      <c r="K1098" s="4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7"/>
      <c r="W1098" s="7"/>
    </row>
    <row r="1099" spans="2:23" x14ac:dyDescent="0.2">
      <c r="B1099" s="3"/>
      <c r="C1099" s="3"/>
      <c r="D1099" s="3"/>
      <c r="E1099" s="4"/>
      <c r="F1099" s="4"/>
      <c r="G1099" s="4"/>
      <c r="H1099" s="4"/>
      <c r="I1099" s="4"/>
      <c r="J1099" s="4"/>
      <c r="K1099" s="4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7"/>
      <c r="W1099" s="7"/>
    </row>
    <row r="1100" spans="2:23" x14ac:dyDescent="0.2">
      <c r="B1100" s="3"/>
      <c r="C1100" s="3"/>
      <c r="D1100" s="3"/>
      <c r="E1100" s="4"/>
      <c r="F1100" s="4"/>
      <c r="G1100" s="4"/>
      <c r="H1100" s="4"/>
      <c r="I1100" s="4"/>
      <c r="J1100" s="4"/>
      <c r="K1100" s="4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7"/>
      <c r="W1100" s="7"/>
    </row>
    <row r="1101" spans="2:23" x14ac:dyDescent="0.2">
      <c r="B1101" s="3"/>
      <c r="C1101" s="3"/>
      <c r="D1101" s="3"/>
      <c r="E1101" s="4"/>
      <c r="F1101" s="4"/>
      <c r="G1101" s="4"/>
      <c r="H1101" s="4"/>
      <c r="I1101" s="4"/>
      <c r="J1101" s="4"/>
      <c r="K1101" s="4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7"/>
      <c r="W1101" s="7"/>
    </row>
    <row r="1102" spans="2:23" x14ac:dyDescent="0.2">
      <c r="B1102" s="3"/>
      <c r="C1102" s="3"/>
      <c r="D1102" s="3"/>
      <c r="E1102" s="4"/>
      <c r="F1102" s="4"/>
      <c r="G1102" s="4"/>
      <c r="H1102" s="4"/>
      <c r="I1102" s="4"/>
      <c r="J1102" s="4"/>
      <c r="K1102" s="4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7"/>
      <c r="W1102" s="7"/>
    </row>
    <row r="1103" spans="2:23" x14ac:dyDescent="0.2">
      <c r="B1103" s="3"/>
      <c r="C1103" s="3"/>
      <c r="D1103" s="3"/>
      <c r="E1103" s="4"/>
      <c r="F1103" s="4"/>
      <c r="G1103" s="4"/>
      <c r="H1103" s="4"/>
      <c r="I1103" s="4"/>
      <c r="J1103" s="4"/>
      <c r="K1103" s="4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7"/>
      <c r="W1103" s="7"/>
    </row>
    <row r="1104" spans="2:23" x14ac:dyDescent="0.2">
      <c r="B1104" s="3"/>
      <c r="C1104" s="3"/>
      <c r="D1104" s="3"/>
      <c r="E1104" s="4"/>
      <c r="F1104" s="4"/>
      <c r="G1104" s="4"/>
      <c r="H1104" s="4"/>
      <c r="I1104" s="4"/>
      <c r="J1104" s="4"/>
      <c r="K1104" s="4"/>
      <c r="L1104" s="3"/>
      <c r="M1104" s="3"/>
      <c r="N1104" s="3"/>
      <c r="O1104" s="3"/>
      <c r="P1104" s="3"/>
      <c r="Q1104" s="3"/>
      <c r="R1104" s="3"/>
      <c r="S1104" s="3"/>
      <c r="T1104" s="3"/>
      <c r="U1104" s="3"/>
      <c r="V1104" s="7"/>
      <c r="W1104" s="7"/>
    </row>
    <row r="1105" spans="2:23" x14ac:dyDescent="0.2">
      <c r="B1105" s="3"/>
      <c r="C1105" s="3"/>
      <c r="D1105" s="3"/>
      <c r="E1105" s="4"/>
      <c r="F1105" s="4"/>
      <c r="G1105" s="4"/>
      <c r="H1105" s="4"/>
      <c r="I1105" s="4"/>
      <c r="J1105" s="4"/>
      <c r="K1105" s="4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7"/>
      <c r="W1105" s="7"/>
    </row>
    <row r="1106" spans="2:23" x14ac:dyDescent="0.2">
      <c r="B1106" s="3"/>
      <c r="C1106" s="3"/>
      <c r="D1106" s="3"/>
      <c r="E1106" s="4"/>
      <c r="F1106" s="4"/>
      <c r="G1106" s="4"/>
      <c r="H1106" s="4"/>
      <c r="I1106" s="4"/>
      <c r="J1106" s="4"/>
      <c r="K1106" s="4"/>
      <c r="L1106" s="3"/>
      <c r="M1106" s="3"/>
      <c r="N1106" s="3"/>
      <c r="O1106" s="3"/>
      <c r="P1106" s="3"/>
      <c r="Q1106" s="3"/>
      <c r="R1106" s="3"/>
      <c r="S1106" s="3"/>
      <c r="T1106" s="3"/>
      <c r="U1106" s="3"/>
      <c r="V1106" s="7"/>
      <c r="W1106" s="7"/>
    </row>
    <row r="1107" spans="2:23" x14ac:dyDescent="0.2">
      <c r="B1107" s="3"/>
      <c r="C1107" s="3"/>
      <c r="D1107" s="3"/>
      <c r="E1107" s="4"/>
      <c r="F1107" s="4"/>
      <c r="G1107" s="4"/>
      <c r="H1107" s="4"/>
      <c r="I1107" s="4"/>
      <c r="J1107" s="4"/>
      <c r="K1107" s="4"/>
      <c r="L1107" s="3"/>
      <c r="M1107" s="3"/>
      <c r="N1107" s="3"/>
      <c r="O1107" s="3"/>
      <c r="P1107" s="3"/>
      <c r="Q1107" s="3"/>
      <c r="R1107" s="3"/>
      <c r="S1107" s="3"/>
      <c r="T1107" s="3"/>
      <c r="U1107" s="3"/>
      <c r="V1107" s="7"/>
      <c r="W1107" s="7"/>
    </row>
    <row r="1108" spans="2:23" x14ac:dyDescent="0.2">
      <c r="B1108" s="3"/>
      <c r="C1108" s="3"/>
      <c r="D1108" s="3"/>
      <c r="E1108" s="4"/>
      <c r="F1108" s="4"/>
      <c r="G1108" s="4"/>
      <c r="H1108" s="4"/>
      <c r="I1108" s="4"/>
      <c r="J1108" s="4"/>
      <c r="K1108" s="4"/>
      <c r="L1108" s="3"/>
      <c r="M1108" s="3"/>
      <c r="N1108" s="3"/>
      <c r="O1108" s="3"/>
      <c r="P1108" s="3"/>
      <c r="Q1108" s="3"/>
      <c r="R1108" s="3"/>
      <c r="S1108" s="3"/>
      <c r="T1108" s="3"/>
      <c r="U1108" s="3"/>
      <c r="V1108" s="7"/>
      <c r="W1108" s="7"/>
    </row>
    <row r="1109" spans="2:23" x14ac:dyDescent="0.2">
      <c r="B1109" s="3"/>
      <c r="C1109" s="3"/>
      <c r="D1109" s="3"/>
      <c r="E1109" s="4"/>
      <c r="F1109" s="4"/>
      <c r="G1109" s="4"/>
      <c r="H1109" s="4"/>
      <c r="I1109" s="4"/>
      <c r="J1109" s="4"/>
      <c r="K1109" s="4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7"/>
      <c r="W1109" s="7"/>
    </row>
    <row r="1110" spans="2:23" x14ac:dyDescent="0.2">
      <c r="B1110" s="3"/>
      <c r="C1110" s="3"/>
      <c r="D1110" s="3"/>
      <c r="E1110" s="4"/>
      <c r="F1110" s="4"/>
      <c r="G1110" s="4"/>
      <c r="H1110" s="4"/>
      <c r="I1110" s="4"/>
      <c r="J1110" s="4"/>
      <c r="K1110" s="4"/>
      <c r="L1110" s="3"/>
      <c r="M1110" s="3"/>
      <c r="N1110" s="3"/>
      <c r="O1110" s="3"/>
      <c r="P1110" s="3"/>
      <c r="Q1110" s="3"/>
      <c r="R1110" s="3"/>
      <c r="S1110" s="3"/>
      <c r="T1110" s="3"/>
      <c r="U1110" s="3"/>
      <c r="V1110" s="7"/>
      <c r="W1110" s="7"/>
    </row>
    <row r="1111" spans="2:23" x14ac:dyDescent="0.2">
      <c r="B1111" s="3"/>
      <c r="C1111" s="3"/>
      <c r="D1111" s="3"/>
      <c r="E1111" s="4"/>
      <c r="F1111" s="4"/>
      <c r="G1111" s="4"/>
      <c r="H1111" s="4"/>
      <c r="I1111" s="4"/>
      <c r="J1111" s="4"/>
      <c r="K1111" s="4"/>
      <c r="L1111" s="3"/>
      <c r="M1111" s="3"/>
      <c r="N1111" s="3"/>
      <c r="O1111" s="3"/>
      <c r="P1111" s="3"/>
      <c r="Q1111" s="3"/>
      <c r="R1111" s="3"/>
      <c r="S1111" s="3"/>
      <c r="T1111" s="3"/>
      <c r="U1111" s="3"/>
      <c r="V1111" s="7"/>
      <c r="W1111" s="7"/>
    </row>
    <row r="1112" spans="2:23" x14ac:dyDescent="0.2">
      <c r="B1112" s="3"/>
      <c r="C1112" s="3"/>
      <c r="D1112" s="3"/>
      <c r="E1112" s="4"/>
      <c r="F1112" s="4"/>
      <c r="G1112" s="4"/>
      <c r="H1112" s="4"/>
      <c r="I1112" s="4"/>
      <c r="J1112" s="4"/>
      <c r="K1112" s="4"/>
      <c r="L1112" s="3"/>
      <c r="M1112" s="3"/>
      <c r="N1112" s="3"/>
      <c r="O1112" s="3"/>
      <c r="P1112" s="3"/>
      <c r="Q1112" s="3"/>
      <c r="R1112" s="3"/>
      <c r="S1112" s="3"/>
      <c r="T1112" s="3"/>
      <c r="U1112" s="3"/>
      <c r="V1112" s="7"/>
      <c r="W1112" s="7"/>
    </row>
    <row r="1113" spans="2:23" x14ac:dyDescent="0.2">
      <c r="B1113" s="3"/>
      <c r="C1113" s="3"/>
      <c r="D1113" s="3"/>
      <c r="E1113" s="4"/>
      <c r="F1113" s="4"/>
      <c r="G1113" s="4"/>
      <c r="H1113" s="4"/>
      <c r="I1113" s="4"/>
      <c r="J1113" s="4"/>
      <c r="K1113" s="4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7"/>
      <c r="W1113" s="7"/>
    </row>
    <row r="1114" spans="2:23" x14ac:dyDescent="0.2">
      <c r="B1114" s="3"/>
      <c r="C1114" s="3"/>
      <c r="D1114" s="3"/>
      <c r="E1114" s="4"/>
      <c r="F1114" s="4"/>
      <c r="G1114" s="4"/>
      <c r="H1114" s="4"/>
      <c r="I1114" s="4"/>
      <c r="J1114" s="4"/>
      <c r="K1114" s="4"/>
      <c r="L1114" s="3"/>
      <c r="M1114" s="3"/>
      <c r="N1114" s="3"/>
      <c r="O1114" s="3"/>
      <c r="P1114" s="3"/>
      <c r="Q1114" s="3"/>
      <c r="R1114" s="3"/>
      <c r="S1114" s="3"/>
      <c r="T1114" s="3"/>
      <c r="U1114" s="3"/>
      <c r="V1114" s="7"/>
      <c r="W1114" s="7"/>
    </row>
    <row r="1115" spans="2:23" x14ac:dyDescent="0.2">
      <c r="B1115" s="3"/>
      <c r="C1115" s="3"/>
      <c r="D1115" s="3"/>
      <c r="E1115" s="4"/>
      <c r="F1115" s="4"/>
      <c r="G1115" s="4"/>
      <c r="H1115" s="4"/>
      <c r="I1115" s="4"/>
      <c r="J1115" s="4"/>
      <c r="K1115" s="4"/>
      <c r="L1115" s="3"/>
      <c r="M1115" s="3"/>
      <c r="N1115" s="3"/>
      <c r="O1115" s="3"/>
      <c r="P1115" s="3"/>
      <c r="Q1115" s="3"/>
      <c r="R1115" s="3"/>
      <c r="S1115" s="3"/>
      <c r="T1115" s="3"/>
      <c r="U1115" s="3"/>
      <c r="V1115" s="7"/>
      <c r="W1115" s="7"/>
    </row>
    <row r="1116" spans="2:23" x14ac:dyDescent="0.2">
      <c r="B1116" s="3"/>
      <c r="C1116" s="3"/>
      <c r="D1116" s="3"/>
      <c r="E1116" s="4"/>
      <c r="F1116" s="4"/>
      <c r="G1116" s="4"/>
      <c r="H1116" s="4"/>
      <c r="I1116" s="4"/>
      <c r="J1116" s="4"/>
      <c r="K1116" s="4"/>
      <c r="L1116" s="3"/>
      <c r="M1116" s="3"/>
      <c r="N1116" s="3"/>
      <c r="O1116" s="3"/>
      <c r="P1116" s="3"/>
      <c r="Q1116" s="3"/>
      <c r="R1116" s="3"/>
      <c r="S1116" s="3"/>
      <c r="T1116" s="3"/>
      <c r="U1116" s="3"/>
      <c r="V1116" s="7"/>
      <c r="W1116" s="7"/>
    </row>
    <row r="1117" spans="2:23" x14ac:dyDescent="0.2">
      <c r="B1117" s="3"/>
      <c r="C1117" s="3"/>
      <c r="D1117" s="3"/>
      <c r="E1117" s="4"/>
      <c r="F1117" s="4"/>
      <c r="G1117" s="4"/>
      <c r="H1117" s="4"/>
      <c r="I1117" s="4"/>
      <c r="J1117" s="4"/>
      <c r="K1117" s="4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7"/>
      <c r="W1117" s="7"/>
    </row>
    <row r="1118" spans="2:23" x14ac:dyDescent="0.2">
      <c r="B1118" s="3"/>
      <c r="C1118" s="3"/>
      <c r="D1118" s="3"/>
      <c r="E1118" s="4"/>
      <c r="F1118" s="4"/>
      <c r="G1118" s="4"/>
      <c r="H1118" s="4"/>
      <c r="I1118" s="4"/>
      <c r="J1118" s="4"/>
      <c r="K1118" s="4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7"/>
      <c r="W1118" s="7"/>
    </row>
    <row r="1119" spans="2:23" x14ac:dyDescent="0.2">
      <c r="B1119" s="3"/>
      <c r="C1119" s="3"/>
      <c r="D1119" s="3"/>
      <c r="E1119" s="4"/>
      <c r="F1119" s="4"/>
      <c r="G1119" s="4"/>
      <c r="H1119" s="4"/>
      <c r="I1119" s="4"/>
      <c r="J1119" s="4"/>
      <c r="K1119" s="4"/>
      <c r="L1119" s="3"/>
      <c r="M1119" s="3"/>
      <c r="N1119" s="3"/>
      <c r="O1119" s="3"/>
      <c r="P1119" s="3"/>
      <c r="Q1119" s="3"/>
      <c r="R1119" s="3"/>
      <c r="S1119" s="3"/>
      <c r="T1119" s="3"/>
      <c r="U1119" s="3"/>
      <c r="V1119" s="7"/>
      <c r="W1119" s="7"/>
    </row>
    <row r="1120" spans="2:23" x14ac:dyDescent="0.2">
      <c r="B1120" s="3"/>
      <c r="C1120" s="3"/>
      <c r="D1120" s="3"/>
      <c r="E1120" s="4"/>
      <c r="F1120" s="4"/>
      <c r="G1120" s="4"/>
      <c r="H1120" s="4"/>
      <c r="I1120" s="4"/>
      <c r="J1120" s="4"/>
      <c r="K1120" s="4"/>
      <c r="L1120" s="3"/>
      <c r="M1120" s="3"/>
      <c r="N1120" s="3"/>
      <c r="O1120" s="3"/>
      <c r="P1120" s="3"/>
      <c r="Q1120" s="3"/>
      <c r="R1120" s="3"/>
      <c r="S1120" s="3"/>
      <c r="T1120" s="3"/>
      <c r="U1120" s="3"/>
      <c r="V1120" s="7"/>
      <c r="W1120" s="7"/>
    </row>
    <row r="1121" spans="2:23" x14ac:dyDescent="0.2">
      <c r="B1121" s="3"/>
      <c r="C1121" s="3"/>
      <c r="D1121" s="3"/>
      <c r="E1121" s="4"/>
      <c r="F1121" s="4"/>
      <c r="G1121" s="4"/>
      <c r="H1121" s="4"/>
      <c r="I1121" s="4"/>
      <c r="J1121" s="4"/>
      <c r="K1121" s="4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7"/>
      <c r="W1121" s="7"/>
    </row>
    <row r="1122" spans="2:23" x14ac:dyDescent="0.2">
      <c r="B1122" s="3"/>
      <c r="C1122" s="3"/>
      <c r="D1122" s="3"/>
      <c r="E1122" s="4"/>
      <c r="F1122" s="4"/>
      <c r="G1122" s="4"/>
      <c r="H1122" s="4"/>
      <c r="I1122" s="4"/>
      <c r="J1122" s="4"/>
      <c r="K1122" s="4"/>
      <c r="L1122" s="3"/>
      <c r="M1122" s="3"/>
      <c r="N1122" s="3"/>
      <c r="O1122" s="3"/>
      <c r="P1122" s="3"/>
      <c r="Q1122" s="3"/>
      <c r="R1122" s="3"/>
      <c r="S1122" s="3"/>
      <c r="T1122" s="3"/>
      <c r="U1122" s="3"/>
      <c r="V1122" s="7"/>
      <c r="W1122" s="7"/>
    </row>
    <row r="1123" spans="2:23" x14ac:dyDescent="0.2">
      <c r="B1123" s="3"/>
      <c r="C1123" s="3"/>
      <c r="D1123" s="3"/>
      <c r="E1123" s="4"/>
      <c r="F1123" s="4"/>
      <c r="G1123" s="4"/>
      <c r="H1123" s="4"/>
      <c r="I1123" s="4"/>
      <c r="J1123" s="4"/>
      <c r="K1123" s="4"/>
      <c r="L1123" s="3"/>
      <c r="M1123" s="3"/>
      <c r="N1123" s="3"/>
      <c r="O1123" s="3"/>
      <c r="P1123" s="3"/>
      <c r="Q1123" s="3"/>
      <c r="R1123" s="3"/>
      <c r="S1123" s="3"/>
      <c r="T1123" s="3"/>
      <c r="U1123" s="3"/>
      <c r="V1123" s="7"/>
      <c r="W1123" s="7"/>
    </row>
    <row r="1124" spans="2:23" x14ac:dyDescent="0.2">
      <c r="B1124" s="3"/>
      <c r="C1124" s="3"/>
      <c r="D1124" s="3"/>
      <c r="E1124" s="4"/>
      <c r="F1124" s="4"/>
      <c r="G1124" s="4"/>
      <c r="H1124" s="4"/>
      <c r="I1124" s="4"/>
      <c r="J1124" s="4"/>
      <c r="K1124" s="4"/>
      <c r="L1124" s="3"/>
      <c r="M1124" s="3"/>
      <c r="N1124" s="3"/>
      <c r="O1124" s="3"/>
      <c r="P1124" s="3"/>
      <c r="Q1124" s="3"/>
      <c r="R1124" s="3"/>
      <c r="S1124" s="3"/>
      <c r="T1124" s="3"/>
      <c r="U1124" s="3"/>
      <c r="V1124" s="7"/>
      <c r="W1124" s="7"/>
    </row>
    <row r="1125" spans="2:23" x14ac:dyDescent="0.2">
      <c r="B1125" s="3"/>
      <c r="C1125" s="3"/>
      <c r="D1125" s="3"/>
      <c r="E1125" s="4"/>
      <c r="F1125" s="4"/>
      <c r="G1125" s="4"/>
      <c r="H1125" s="4"/>
      <c r="I1125" s="4"/>
      <c r="J1125" s="4"/>
      <c r="K1125" s="4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7"/>
      <c r="W1125" s="7"/>
    </row>
    <row r="1126" spans="2:23" x14ac:dyDescent="0.2">
      <c r="B1126" s="3"/>
      <c r="C1126" s="3"/>
      <c r="D1126" s="3"/>
      <c r="E1126" s="4"/>
      <c r="F1126" s="4"/>
      <c r="G1126" s="4"/>
      <c r="H1126" s="4"/>
      <c r="I1126" s="4"/>
      <c r="J1126" s="4"/>
      <c r="K1126" s="4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7"/>
      <c r="W1126" s="7"/>
    </row>
    <row r="1127" spans="2:23" x14ac:dyDescent="0.2">
      <c r="B1127" s="3"/>
      <c r="C1127" s="3"/>
      <c r="D1127" s="3"/>
      <c r="E1127" s="4"/>
      <c r="F1127" s="4"/>
      <c r="G1127" s="4"/>
      <c r="H1127" s="4"/>
      <c r="I1127" s="4"/>
      <c r="J1127" s="4"/>
      <c r="K1127" s="4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7"/>
      <c r="W1127" s="7"/>
    </row>
    <row r="1128" spans="2:23" x14ac:dyDescent="0.2">
      <c r="B1128" s="3"/>
      <c r="C1128" s="3"/>
      <c r="D1128" s="3"/>
      <c r="E1128" s="4"/>
      <c r="F1128" s="4"/>
      <c r="G1128" s="4"/>
      <c r="H1128" s="4"/>
      <c r="I1128" s="4"/>
      <c r="J1128" s="4"/>
      <c r="K1128" s="4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7"/>
      <c r="W1128" s="7"/>
    </row>
    <row r="1129" spans="2:23" x14ac:dyDescent="0.2">
      <c r="B1129" s="3"/>
      <c r="C1129" s="3"/>
      <c r="D1129" s="3"/>
      <c r="E1129" s="4"/>
      <c r="F1129" s="4"/>
      <c r="G1129" s="4"/>
      <c r="H1129" s="4"/>
      <c r="I1129" s="4"/>
      <c r="J1129" s="4"/>
      <c r="K1129" s="4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7"/>
      <c r="W1129" s="7"/>
    </row>
    <row r="1130" spans="2:23" x14ac:dyDescent="0.2">
      <c r="B1130" s="3"/>
      <c r="C1130" s="3"/>
      <c r="D1130" s="3"/>
      <c r="E1130" s="4"/>
      <c r="F1130" s="4"/>
      <c r="G1130" s="4"/>
      <c r="H1130" s="4"/>
      <c r="I1130" s="4"/>
      <c r="J1130" s="4"/>
      <c r="K1130" s="4"/>
      <c r="L1130" s="3"/>
      <c r="M1130" s="3"/>
      <c r="N1130" s="3"/>
      <c r="O1130" s="3"/>
      <c r="P1130" s="3"/>
      <c r="Q1130" s="3"/>
      <c r="R1130" s="3"/>
      <c r="S1130" s="3"/>
      <c r="T1130" s="3"/>
      <c r="U1130" s="3"/>
      <c r="V1130" s="7"/>
      <c r="W1130" s="7"/>
    </row>
    <row r="1131" spans="2:23" x14ac:dyDescent="0.2">
      <c r="B1131" s="3"/>
      <c r="C1131" s="3"/>
      <c r="D1131" s="3"/>
      <c r="E1131" s="4"/>
      <c r="F1131" s="4"/>
      <c r="G1131" s="4"/>
      <c r="H1131" s="4"/>
      <c r="I1131" s="4"/>
      <c r="J1131" s="4"/>
      <c r="K1131" s="4"/>
      <c r="L1131" s="3"/>
      <c r="M1131" s="3"/>
      <c r="N1131" s="3"/>
      <c r="O1131" s="3"/>
      <c r="P1131" s="3"/>
      <c r="Q1131" s="3"/>
      <c r="R1131" s="3"/>
      <c r="S1131" s="3"/>
      <c r="T1131" s="3"/>
      <c r="U1131" s="3"/>
      <c r="V1131" s="7"/>
      <c r="W1131" s="7"/>
    </row>
    <row r="1132" spans="2:23" x14ac:dyDescent="0.2">
      <c r="B1132" s="3"/>
      <c r="C1132" s="3"/>
      <c r="D1132" s="3"/>
      <c r="E1132" s="4"/>
      <c r="F1132" s="4"/>
      <c r="G1132" s="4"/>
      <c r="H1132" s="4"/>
      <c r="I1132" s="4"/>
      <c r="J1132" s="4"/>
      <c r="K1132" s="4"/>
      <c r="L1132" s="3"/>
      <c r="M1132" s="3"/>
      <c r="N1132" s="3"/>
      <c r="O1132" s="3"/>
      <c r="P1132" s="3"/>
      <c r="Q1132" s="3"/>
      <c r="R1132" s="3"/>
      <c r="S1132" s="3"/>
      <c r="T1132" s="3"/>
      <c r="U1132" s="3"/>
      <c r="V1132" s="7"/>
      <c r="W1132" s="7"/>
    </row>
    <row r="1133" spans="2:23" x14ac:dyDescent="0.2">
      <c r="B1133" s="3"/>
      <c r="C1133" s="3"/>
      <c r="D1133" s="3"/>
      <c r="E1133" s="4"/>
      <c r="F1133" s="4"/>
      <c r="G1133" s="4"/>
      <c r="H1133" s="4"/>
      <c r="I1133" s="4"/>
      <c r="J1133" s="4"/>
      <c r="K1133" s="4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7"/>
      <c r="W1133" s="7"/>
    </row>
    <row r="1134" spans="2:23" x14ac:dyDescent="0.2">
      <c r="B1134" s="3"/>
      <c r="C1134" s="3"/>
      <c r="D1134" s="3"/>
      <c r="E1134" s="4"/>
      <c r="F1134" s="4"/>
      <c r="G1134" s="4"/>
      <c r="H1134" s="4"/>
      <c r="I1134" s="4"/>
      <c r="J1134" s="4"/>
      <c r="K1134" s="4"/>
      <c r="L1134" s="3"/>
      <c r="M1134" s="3"/>
      <c r="N1134" s="3"/>
      <c r="O1134" s="3"/>
      <c r="P1134" s="3"/>
      <c r="Q1134" s="3"/>
      <c r="R1134" s="3"/>
      <c r="S1134" s="3"/>
      <c r="T1134" s="3"/>
      <c r="U1134" s="3"/>
      <c r="V1134" s="7"/>
      <c r="W1134" s="7"/>
    </row>
    <row r="1135" spans="2:23" x14ac:dyDescent="0.2">
      <c r="B1135" s="3"/>
      <c r="C1135" s="3"/>
      <c r="D1135" s="3"/>
      <c r="E1135" s="4"/>
      <c r="F1135" s="4"/>
      <c r="G1135" s="4"/>
      <c r="H1135" s="4"/>
      <c r="I1135" s="4"/>
      <c r="J1135" s="4"/>
      <c r="K1135" s="4"/>
      <c r="L1135" s="3"/>
      <c r="M1135" s="3"/>
      <c r="N1135" s="3"/>
      <c r="O1135" s="3"/>
      <c r="P1135" s="3"/>
      <c r="Q1135" s="3"/>
      <c r="R1135" s="3"/>
      <c r="S1135" s="3"/>
      <c r="T1135" s="3"/>
      <c r="U1135" s="3"/>
      <c r="V1135" s="7"/>
      <c r="W1135" s="7"/>
    </row>
    <row r="1136" spans="2:23" x14ac:dyDescent="0.2">
      <c r="B1136" s="3"/>
      <c r="C1136" s="3"/>
      <c r="D1136" s="3"/>
      <c r="E1136" s="4"/>
      <c r="F1136" s="4"/>
      <c r="G1136" s="4"/>
      <c r="H1136" s="4"/>
      <c r="I1136" s="4"/>
      <c r="J1136" s="4"/>
      <c r="K1136" s="4"/>
      <c r="L1136" s="3"/>
      <c r="M1136" s="3"/>
      <c r="N1136" s="3"/>
      <c r="O1136" s="3"/>
      <c r="P1136" s="3"/>
      <c r="Q1136" s="3"/>
      <c r="R1136" s="3"/>
      <c r="S1136" s="3"/>
      <c r="T1136" s="3"/>
      <c r="U1136" s="3"/>
      <c r="V1136" s="7"/>
      <c r="W1136" s="7"/>
    </row>
    <row r="1137" spans="2:23" x14ac:dyDescent="0.2">
      <c r="B1137" s="3"/>
      <c r="C1137" s="3"/>
      <c r="D1137" s="3"/>
      <c r="E1137" s="4"/>
      <c r="F1137" s="4"/>
      <c r="G1137" s="4"/>
      <c r="H1137" s="4"/>
      <c r="I1137" s="4"/>
      <c r="J1137" s="4"/>
      <c r="K1137" s="4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7"/>
      <c r="W1137" s="7"/>
    </row>
    <row r="1138" spans="2:23" x14ac:dyDescent="0.2">
      <c r="B1138" s="3"/>
      <c r="C1138" s="3"/>
      <c r="D1138" s="3"/>
      <c r="E1138" s="4"/>
      <c r="F1138" s="4"/>
      <c r="G1138" s="4"/>
      <c r="H1138" s="4"/>
      <c r="I1138" s="4"/>
      <c r="J1138" s="4"/>
      <c r="K1138" s="4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7"/>
      <c r="W1138" s="7"/>
    </row>
    <row r="1139" spans="2:23" x14ac:dyDescent="0.2">
      <c r="B1139" s="3"/>
      <c r="C1139" s="3"/>
      <c r="D1139" s="3"/>
      <c r="E1139" s="4"/>
      <c r="F1139" s="4"/>
      <c r="G1139" s="4"/>
      <c r="H1139" s="4"/>
      <c r="I1139" s="4"/>
      <c r="J1139" s="4"/>
      <c r="K1139" s="4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7"/>
      <c r="W1139" s="7"/>
    </row>
    <row r="1140" spans="2:23" x14ac:dyDescent="0.2">
      <c r="B1140" s="3"/>
      <c r="C1140" s="3"/>
      <c r="D1140" s="3"/>
      <c r="E1140" s="4"/>
      <c r="F1140" s="4"/>
      <c r="G1140" s="4"/>
      <c r="H1140" s="4"/>
      <c r="I1140" s="4"/>
      <c r="J1140" s="4"/>
      <c r="K1140" s="4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7"/>
      <c r="W1140" s="7"/>
    </row>
    <row r="1141" spans="2:23" x14ac:dyDescent="0.2">
      <c r="B1141" s="3"/>
      <c r="C1141" s="3"/>
      <c r="D1141" s="3"/>
      <c r="E1141" s="4"/>
      <c r="F1141" s="4"/>
      <c r="G1141" s="4"/>
      <c r="H1141" s="4"/>
      <c r="I1141" s="4"/>
      <c r="J1141" s="4"/>
      <c r="K1141" s="4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7"/>
      <c r="W1141" s="7"/>
    </row>
    <row r="1142" spans="2:23" x14ac:dyDescent="0.2">
      <c r="B1142" s="3"/>
      <c r="C1142" s="3"/>
      <c r="D1142" s="3"/>
      <c r="E1142" s="4"/>
      <c r="F1142" s="4"/>
      <c r="G1142" s="4"/>
      <c r="H1142" s="4"/>
      <c r="I1142" s="4"/>
      <c r="J1142" s="4"/>
      <c r="K1142" s="4"/>
      <c r="L1142" s="3"/>
      <c r="M1142" s="3"/>
      <c r="N1142" s="3"/>
      <c r="O1142" s="3"/>
      <c r="P1142" s="3"/>
      <c r="Q1142" s="3"/>
      <c r="R1142" s="3"/>
      <c r="S1142" s="3"/>
      <c r="T1142" s="3"/>
      <c r="U1142" s="3"/>
      <c r="V1142" s="7"/>
      <c r="W1142" s="7"/>
    </row>
    <row r="1143" spans="2:23" x14ac:dyDescent="0.2">
      <c r="B1143" s="3"/>
      <c r="C1143" s="3"/>
      <c r="D1143" s="3"/>
      <c r="E1143" s="4"/>
      <c r="F1143" s="4"/>
      <c r="G1143" s="4"/>
      <c r="H1143" s="4"/>
      <c r="I1143" s="4"/>
      <c r="J1143" s="4"/>
      <c r="K1143" s="4"/>
      <c r="L1143" s="3"/>
      <c r="M1143" s="3"/>
      <c r="N1143" s="3"/>
      <c r="O1143" s="3"/>
      <c r="P1143" s="3"/>
      <c r="Q1143" s="3"/>
      <c r="R1143" s="3"/>
      <c r="S1143" s="3"/>
      <c r="T1143" s="3"/>
      <c r="U1143" s="3"/>
      <c r="V1143" s="7"/>
      <c r="W1143" s="7"/>
    </row>
    <row r="1144" spans="2:23" x14ac:dyDescent="0.2">
      <c r="B1144" s="3"/>
      <c r="C1144" s="3"/>
      <c r="D1144" s="3"/>
      <c r="E1144" s="4"/>
      <c r="F1144" s="4"/>
      <c r="G1144" s="4"/>
      <c r="H1144" s="4"/>
      <c r="I1144" s="4"/>
      <c r="J1144" s="4"/>
      <c r="K1144" s="4"/>
      <c r="L1144" s="3"/>
      <c r="M1144" s="3"/>
      <c r="N1144" s="3"/>
      <c r="O1144" s="3"/>
      <c r="P1144" s="3"/>
      <c r="Q1144" s="3"/>
      <c r="R1144" s="3"/>
      <c r="S1144" s="3"/>
      <c r="T1144" s="3"/>
      <c r="U1144" s="3"/>
      <c r="V1144" s="7"/>
      <c r="W1144" s="7"/>
    </row>
    <row r="1145" spans="2:23" x14ac:dyDescent="0.2">
      <c r="B1145" s="3"/>
      <c r="C1145" s="3"/>
      <c r="D1145" s="3"/>
      <c r="E1145" s="4"/>
      <c r="F1145" s="4"/>
      <c r="G1145" s="4"/>
      <c r="H1145" s="4"/>
      <c r="I1145" s="4"/>
      <c r="J1145" s="4"/>
      <c r="K1145" s="4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7"/>
      <c r="W1145" s="7"/>
    </row>
    <row r="1146" spans="2:23" x14ac:dyDescent="0.2">
      <c r="B1146" s="3"/>
      <c r="C1146" s="3"/>
      <c r="D1146" s="3"/>
      <c r="E1146" s="4"/>
      <c r="F1146" s="4"/>
      <c r="G1146" s="4"/>
      <c r="H1146" s="4"/>
      <c r="I1146" s="4"/>
      <c r="J1146" s="4"/>
      <c r="K1146" s="4"/>
      <c r="L1146" s="3"/>
      <c r="M1146" s="3"/>
      <c r="N1146" s="3"/>
      <c r="O1146" s="3"/>
      <c r="P1146" s="3"/>
      <c r="Q1146" s="3"/>
      <c r="R1146" s="3"/>
      <c r="S1146" s="3"/>
      <c r="T1146" s="3"/>
      <c r="U1146" s="3"/>
      <c r="V1146" s="7"/>
      <c r="W1146" s="7"/>
    </row>
    <row r="1147" spans="2:23" x14ac:dyDescent="0.2">
      <c r="B1147" s="3"/>
      <c r="C1147" s="3"/>
      <c r="D1147" s="3"/>
      <c r="E1147" s="4"/>
      <c r="F1147" s="4"/>
      <c r="G1147" s="4"/>
      <c r="H1147" s="4"/>
      <c r="I1147" s="4"/>
      <c r="J1147" s="4"/>
      <c r="K1147" s="4"/>
      <c r="L1147" s="3"/>
      <c r="M1147" s="3"/>
      <c r="N1147" s="3"/>
      <c r="O1147" s="3"/>
      <c r="P1147" s="3"/>
      <c r="Q1147" s="3"/>
      <c r="R1147" s="3"/>
      <c r="S1147" s="3"/>
      <c r="T1147" s="3"/>
      <c r="U1147" s="3"/>
      <c r="V1147" s="7"/>
      <c r="W1147" s="7"/>
    </row>
    <row r="1148" spans="2:23" x14ac:dyDescent="0.2">
      <c r="B1148" s="3"/>
      <c r="C1148" s="3"/>
      <c r="D1148" s="3"/>
      <c r="E1148" s="4"/>
      <c r="F1148" s="4"/>
      <c r="G1148" s="4"/>
      <c r="H1148" s="4"/>
      <c r="I1148" s="4"/>
      <c r="J1148" s="4"/>
      <c r="K1148" s="4"/>
      <c r="L1148" s="3"/>
      <c r="M1148" s="3"/>
      <c r="N1148" s="3"/>
      <c r="O1148" s="3"/>
      <c r="P1148" s="3"/>
      <c r="Q1148" s="3"/>
      <c r="R1148" s="3"/>
      <c r="S1148" s="3"/>
      <c r="T1148" s="3"/>
      <c r="U1148" s="3"/>
      <c r="V1148" s="7"/>
      <c r="W1148" s="7"/>
    </row>
    <row r="1149" spans="2:23" x14ac:dyDescent="0.2">
      <c r="B1149" s="3"/>
      <c r="C1149" s="3"/>
      <c r="D1149" s="3"/>
      <c r="E1149" s="4"/>
      <c r="F1149" s="4"/>
      <c r="G1149" s="4"/>
      <c r="H1149" s="4"/>
      <c r="I1149" s="4"/>
      <c r="J1149" s="4"/>
      <c r="K1149" s="4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7"/>
      <c r="W1149" s="7"/>
    </row>
    <row r="1150" spans="2:23" x14ac:dyDescent="0.2">
      <c r="B1150" s="3"/>
      <c r="C1150" s="3"/>
      <c r="D1150" s="3"/>
      <c r="E1150" s="4"/>
      <c r="F1150" s="4"/>
      <c r="G1150" s="4"/>
      <c r="H1150" s="4"/>
      <c r="I1150" s="4"/>
      <c r="J1150" s="4"/>
      <c r="K1150" s="4"/>
      <c r="L1150" s="3"/>
      <c r="M1150" s="3"/>
      <c r="N1150" s="3"/>
      <c r="O1150" s="3"/>
      <c r="P1150" s="3"/>
      <c r="Q1150" s="3"/>
      <c r="R1150" s="3"/>
      <c r="S1150" s="3"/>
      <c r="T1150" s="3"/>
      <c r="U1150" s="3"/>
      <c r="V1150" s="7"/>
      <c r="W1150" s="7"/>
    </row>
    <row r="1151" spans="2:23" x14ac:dyDescent="0.2">
      <c r="B1151" s="3"/>
      <c r="C1151" s="3"/>
      <c r="D1151" s="3"/>
      <c r="E1151" s="4"/>
      <c r="F1151" s="4"/>
      <c r="G1151" s="4"/>
      <c r="H1151" s="4"/>
      <c r="I1151" s="4"/>
      <c r="J1151" s="4"/>
      <c r="K1151" s="4"/>
      <c r="L1151" s="3"/>
      <c r="M1151" s="3"/>
      <c r="N1151" s="3"/>
      <c r="O1151" s="3"/>
      <c r="P1151" s="3"/>
      <c r="Q1151" s="3"/>
      <c r="R1151" s="3"/>
      <c r="S1151" s="3"/>
      <c r="T1151" s="3"/>
      <c r="U1151" s="3"/>
      <c r="V1151" s="7"/>
      <c r="W1151" s="7"/>
    </row>
    <row r="1152" spans="2:23" x14ac:dyDescent="0.2">
      <c r="B1152" s="3"/>
      <c r="C1152" s="3"/>
      <c r="D1152" s="3"/>
      <c r="E1152" s="4"/>
      <c r="F1152" s="4"/>
      <c r="G1152" s="4"/>
      <c r="H1152" s="4"/>
      <c r="I1152" s="4"/>
      <c r="J1152" s="4"/>
      <c r="K1152" s="4"/>
      <c r="L1152" s="3"/>
      <c r="M1152" s="3"/>
      <c r="N1152" s="3"/>
      <c r="O1152" s="3"/>
      <c r="P1152" s="3"/>
      <c r="Q1152" s="3"/>
      <c r="R1152" s="3"/>
      <c r="S1152" s="3"/>
      <c r="T1152" s="3"/>
      <c r="U1152" s="3"/>
      <c r="V1152" s="7"/>
      <c r="W1152" s="7"/>
    </row>
    <row r="1153" spans="2:23" x14ac:dyDescent="0.2">
      <c r="B1153" s="3"/>
      <c r="C1153" s="3"/>
      <c r="D1153" s="3"/>
      <c r="E1153" s="4"/>
      <c r="F1153" s="4"/>
      <c r="G1153" s="4"/>
      <c r="H1153" s="4"/>
      <c r="I1153" s="4"/>
      <c r="J1153" s="4"/>
      <c r="K1153" s="4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7"/>
      <c r="W1153" s="7"/>
    </row>
    <row r="1154" spans="2:23" x14ac:dyDescent="0.2">
      <c r="B1154" s="3"/>
      <c r="C1154" s="3"/>
      <c r="D1154" s="3"/>
      <c r="E1154" s="4"/>
      <c r="F1154" s="4"/>
      <c r="G1154" s="4"/>
      <c r="H1154" s="4"/>
      <c r="I1154" s="4"/>
      <c r="J1154" s="4"/>
      <c r="K1154" s="4"/>
      <c r="L1154" s="3"/>
      <c r="M1154" s="3"/>
      <c r="N1154" s="3"/>
      <c r="O1154" s="3"/>
      <c r="P1154" s="3"/>
      <c r="Q1154" s="3"/>
      <c r="R1154" s="3"/>
      <c r="S1154" s="3"/>
      <c r="T1154" s="3"/>
      <c r="U1154" s="3"/>
      <c r="V1154" s="7"/>
      <c r="W1154" s="7"/>
    </row>
    <row r="1155" spans="2:23" x14ac:dyDescent="0.2">
      <c r="B1155" s="3"/>
      <c r="C1155" s="3"/>
      <c r="D1155" s="3"/>
      <c r="E1155" s="4"/>
      <c r="F1155" s="4"/>
      <c r="G1155" s="4"/>
      <c r="H1155" s="4"/>
      <c r="I1155" s="4"/>
      <c r="J1155" s="4"/>
      <c r="K1155" s="4"/>
      <c r="L1155" s="3"/>
      <c r="M1155" s="3"/>
      <c r="N1155" s="3"/>
      <c r="O1155" s="3"/>
      <c r="P1155" s="3"/>
      <c r="Q1155" s="3"/>
      <c r="R1155" s="3"/>
      <c r="S1155" s="3"/>
      <c r="T1155" s="3"/>
      <c r="U1155" s="3"/>
      <c r="V1155" s="7"/>
      <c r="W1155" s="7"/>
    </row>
    <row r="1156" spans="2:23" x14ac:dyDescent="0.2">
      <c r="B1156" s="3"/>
      <c r="C1156" s="3"/>
      <c r="D1156" s="3"/>
      <c r="E1156" s="4"/>
      <c r="F1156" s="4"/>
      <c r="G1156" s="4"/>
      <c r="H1156" s="4"/>
      <c r="I1156" s="4"/>
      <c r="J1156" s="4"/>
      <c r="K1156" s="4"/>
      <c r="L1156" s="3"/>
      <c r="M1156" s="3"/>
      <c r="N1156" s="3"/>
      <c r="O1156" s="3"/>
      <c r="P1156" s="3"/>
      <c r="Q1156" s="3"/>
      <c r="R1156" s="3"/>
      <c r="S1156" s="3"/>
      <c r="T1156" s="3"/>
      <c r="U1156" s="3"/>
      <c r="V1156" s="7"/>
      <c r="W1156" s="7"/>
    </row>
    <row r="1157" spans="2:23" x14ac:dyDescent="0.2">
      <c r="B1157" s="3"/>
      <c r="C1157" s="3"/>
      <c r="D1157" s="3"/>
      <c r="E1157" s="4"/>
      <c r="F1157" s="4"/>
      <c r="G1157" s="4"/>
      <c r="H1157" s="4"/>
      <c r="I1157" s="4"/>
      <c r="J1157" s="4"/>
      <c r="K1157" s="4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7"/>
      <c r="W1157" s="7"/>
    </row>
    <row r="1158" spans="2:23" x14ac:dyDescent="0.2">
      <c r="B1158" s="3"/>
      <c r="C1158" s="3"/>
      <c r="D1158" s="3"/>
      <c r="E1158" s="4"/>
      <c r="F1158" s="4"/>
      <c r="G1158" s="4"/>
      <c r="H1158" s="4"/>
      <c r="I1158" s="4"/>
      <c r="J1158" s="4"/>
      <c r="K1158" s="4"/>
      <c r="L1158" s="3"/>
      <c r="M1158" s="3"/>
      <c r="N1158" s="3"/>
      <c r="O1158" s="3"/>
      <c r="P1158" s="3"/>
      <c r="Q1158" s="3"/>
      <c r="R1158" s="3"/>
      <c r="S1158" s="3"/>
      <c r="T1158" s="3"/>
      <c r="U1158" s="3"/>
      <c r="V1158" s="7"/>
      <c r="W1158" s="7"/>
    </row>
    <row r="1159" spans="2:23" x14ac:dyDescent="0.2">
      <c r="B1159" s="3"/>
      <c r="C1159" s="3"/>
      <c r="D1159" s="3"/>
      <c r="E1159" s="4"/>
      <c r="F1159" s="4"/>
      <c r="G1159" s="4"/>
      <c r="H1159" s="4"/>
      <c r="I1159" s="4"/>
      <c r="J1159" s="4"/>
      <c r="K1159" s="4"/>
      <c r="L1159" s="3"/>
      <c r="M1159" s="3"/>
      <c r="N1159" s="3"/>
      <c r="O1159" s="3"/>
      <c r="P1159" s="3"/>
      <c r="Q1159" s="3"/>
      <c r="R1159" s="3"/>
      <c r="S1159" s="3"/>
      <c r="T1159" s="3"/>
      <c r="U1159" s="3"/>
      <c r="V1159" s="7"/>
      <c r="W1159" s="7"/>
    </row>
    <row r="1160" spans="2:23" x14ac:dyDescent="0.2">
      <c r="B1160" s="3"/>
      <c r="C1160" s="3"/>
      <c r="D1160" s="3"/>
      <c r="E1160" s="4"/>
      <c r="F1160" s="4"/>
      <c r="G1160" s="4"/>
      <c r="H1160" s="4"/>
      <c r="I1160" s="4"/>
      <c r="J1160" s="4"/>
      <c r="K1160" s="4"/>
      <c r="L1160" s="3"/>
      <c r="M1160" s="3"/>
      <c r="N1160" s="3"/>
      <c r="O1160" s="3"/>
      <c r="P1160" s="3"/>
      <c r="Q1160" s="3"/>
      <c r="R1160" s="3"/>
      <c r="S1160" s="3"/>
      <c r="T1160" s="3"/>
      <c r="U1160" s="3"/>
      <c r="V1160" s="7"/>
      <c r="W1160" s="7"/>
    </row>
    <row r="1161" spans="2:23" x14ac:dyDescent="0.2">
      <c r="B1161" s="3"/>
      <c r="C1161" s="3"/>
      <c r="D1161" s="3"/>
      <c r="E1161" s="4"/>
      <c r="F1161" s="4"/>
      <c r="G1161" s="4"/>
      <c r="H1161" s="4"/>
      <c r="I1161" s="4"/>
      <c r="J1161" s="4"/>
      <c r="K1161" s="4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7"/>
      <c r="W1161" s="7"/>
    </row>
    <row r="1162" spans="2:23" x14ac:dyDescent="0.2">
      <c r="B1162" s="3"/>
      <c r="C1162" s="3"/>
      <c r="D1162" s="3"/>
      <c r="E1162" s="4"/>
      <c r="F1162" s="4"/>
      <c r="G1162" s="4"/>
      <c r="H1162" s="4"/>
      <c r="I1162" s="4"/>
      <c r="J1162" s="4"/>
      <c r="K1162" s="4"/>
      <c r="L1162" s="3"/>
      <c r="M1162" s="3"/>
      <c r="N1162" s="3"/>
      <c r="O1162" s="3"/>
      <c r="P1162" s="3"/>
      <c r="Q1162" s="3"/>
      <c r="R1162" s="3"/>
      <c r="S1162" s="3"/>
      <c r="T1162" s="3"/>
      <c r="U1162" s="3"/>
      <c r="V1162" s="7"/>
      <c r="W1162" s="7"/>
    </row>
    <row r="1163" spans="2:23" x14ac:dyDescent="0.2">
      <c r="B1163" s="3"/>
      <c r="C1163" s="3"/>
      <c r="D1163" s="3"/>
      <c r="E1163" s="4"/>
      <c r="F1163" s="4"/>
      <c r="G1163" s="4"/>
      <c r="H1163" s="4"/>
      <c r="I1163" s="4"/>
      <c r="J1163" s="4"/>
      <c r="K1163" s="4"/>
      <c r="L1163" s="3"/>
      <c r="M1163" s="3"/>
      <c r="N1163" s="3"/>
      <c r="O1163" s="3"/>
      <c r="P1163" s="3"/>
      <c r="Q1163" s="3"/>
      <c r="R1163" s="3"/>
      <c r="S1163" s="3"/>
      <c r="T1163" s="3"/>
      <c r="U1163" s="3"/>
      <c r="V1163" s="7"/>
      <c r="W1163" s="7"/>
    </row>
    <row r="1164" spans="2:23" x14ac:dyDescent="0.2">
      <c r="B1164" s="3"/>
      <c r="C1164" s="3"/>
      <c r="D1164" s="3"/>
      <c r="E1164" s="4"/>
      <c r="F1164" s="4"/>
      <c r="G1164" s="4"/>
      <c r="H1164" s="4"/>
      <c r="I1164" s="4"/>
      <c r="J1164" s="4"/>
      <c r="K1164" s="4"/>
      <c r="L1164" s="3"/>
      <c r="M1164" s="3"/>
      <c r="N1164" s="3"/>
      <c r="O1164" s="3"/>
      <c r="P1164" s="3"/>
      <c r="Q1164" s="3"/>
      <c r="R1164" s="3"/>
      <c r="S1164" s="3"/>
      <c r="T1164" s="3"/>
      <c r="U1164" s="3"/>
      <c r="V1164" s="7"/>
      <c r="W1164" s="7"/>
    </row>
    <row r="1165" spans="2:23" x14ac:dyDescent="0.2">
      <c r="B1165" s="3"/>
      <c r="C1165" s="3"/>
      <c r="D1165" s="3"/>
      <c r="E1165" s="4"/>
      <c r="F1165" s="4"/>
      <c r="G1165" s="4"/>
      <c r="H1165" s="4"/>
      <c r="I1165" s="4"/>
      <c r="J1165" s="4"/>
      <c r="K1165" s="4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7"/>
      <c r="W1165" s="7"/>
    </row>
    <row r="1166" spans="2:23" x14ac:dyDescent="0.2">
      <c r="B1166" s="3"/>
      <c r="C1166" s="3"/>
      <c r="D1166" s="3"/>
      <c r="E1166" s="4"/>
      <c r="F1166" s="4"/>
      <c r="G1166" s="4"/>
      <c r="H1166" s="4"/>
      <c r="I1166" s="4"/>
      <c r="J1166" s="4"/>
      <c r="K1166" s="4"/>
      <c r="L1166" s="3"/>
      <c r="M1166" s="3"/>
      <c r="N1166" s="3"/>
      <c r="O1166" s="3"/>
      <c r="P1166" s="3"/>
      <c r="Q1166" s="3"/>
      <c r="R1166" s="3"/>
      <c r="S1166" s="3"/>
      <c r="T1166" s="3"/>
      <c r="U1166" s="3"/>
      <c r="V1166" s="7"/>
      <c r="W1166" s="7"/>
    </row>
    <row r="1167" spans="2:23" x14ac:dyDescent="0.2">
      <c r="B1167" s="3"/>
      <c r="C1167" s="3"/>
      <c r="D1167" s="3"/>
      <c r="E1167" s="4"/>
      <c r="F1167" s="4"/>
      <c r="G1167" s="4"/>
      <c r="H1167" s="4"/>
      <c r="I1167" s="4"/>
      <c r="J1167" s="4"/>
      <c r="K1167" s="4"/>
      <c r="L1167" s="3"/>
      <c r="M1167" s="3"/>
      <c r="N1167" s="3"/>
      <c r="O1167" s="3"/>
      <c r="P1167" s="3"/>
      <c r="Q1167" s="3"/>
      <c r="R1167" s="3"/>
      <c r="S1167" s="3"/>
      <c r="T1167" s="3"/>
      <c r="U1167" s="3"/>
      <c r="V1167" s="7"/>
      <c r="W1167" s="7"/>
    </row>
    <row r="1168" spans="2:23" x14ac:dyDescent="0.2">
      <c r="B1168" s="3"/>
      <c r="C1168" s="3"/>
      <c r="D1168" s="3"/>
      <c r="E1168" s="4"/>
      <c r="F1168" s="4"/>
      <c r="G1168" s="4"/>
      <c r="H1168" s="4"/>
      <c r="I1168" s="4"/>
      <c r="J1168" s="4"/>
      <c r="K1168" s="4"/>
      <c r="L1168" s="3"/>
      <c r="M1168" s="3"/>
      <c r="N1168" s="3"/>
      <c r="O1168" s="3"/>
      <c r="P1168" s="3"/>
      <c r="Q1168" s="3"/>
      <c r="R1168" s="3"/>
      <c r="S1168" s="3"/>
      <c r="T1168" s="3"/>
      <c r="U1168" s="3"/>
      <c r="V1168" s="7"/>
      <c r="W1168" s="7"/>
    </row>
    <row r="1169" spans="2:23" x14ac:dyDescent="0.2">
      <c r="B1169" s="3"/>
      <c r="C1169" s="3"/>
      <c r="D1169" s="3"/>
      <c r="E1169" s="4"/>
      <c r="F1169" s="4"/>
      <c r="G1169" s="4"/>
      <c r="H1169" s="4"/>
      <c r="I1169" s="4"/>
      <c r="J1169" s="4"/>
      <c r="K1169" s="4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7"/>
      <c r="W1169" s="7"/>
    </row>
    <row r="1170" spans="2:23" x14ac:dyDescent="0.2">
      <c r="B1170" s="3"/>
      <c r="C1170" s="3"/>
      <c r="D1170" s="3"/>
      <c r="E1170" s="4"/>
      <c r="F1170" s="4"/>
      <c r="G1170" s="4"/>
      <c r="H1170" s="4"/>
      <c r="I1170" s="4"/>
      <c r="J1170" s="4"/>
      <c r="K1170" s="4"/>
      <c r="L1170" s="3"/>
      <c r="M1170" s="3"/>
      <c r="N1170" s="3"/>
      <c r="O1170" s="3"/>
      <c r="P1170" s="3"/>
      <c r="Q1170" s="3"/>
      <c r="R1170" s="3"/>
      <c r="S1170" s="3"/>
      <c r="T1170" s="3"/>
      <c r="U1170" s="3"/>
      <c r="V1170" s="7"/>
      <c r="W1170" s="7"/>
    </row>
    <row r="1171" spans="2:23" x14ac:dyDescent="0.2">
      <c r="B1171" s="3"/>
      <c r="C1171" s="3"/>
      <c r="D1171" s="3"/>
      <c r="E1171" s="4"/>
      <c r="F1171" s="4"/>
      <c r="G1171" s="4"/>
      <c r="H1171" s="4"/>
      <c r="I1171" s="4"/>
      <c r="J1171" s="4"/>
      <c r="K1171" s="4"/>
      <c r="L1171" s="3"/>
      <c r="M1171" s="3"/>
      <c r="N1171" s="3"/>
      <c r="O1171" s="3"/>
      <c r="P1171" s="3"/>
      <c r="Q1171" s="3"/>
      <c r="R1171" s="3"/>
      <c r="S1171" s="3"/>
      <c r="T1171" s="3"/>
      <c r="U1171" s="3"/>
      <c r="V1171" s="7"/>
      <c r="W1171" s="7"/>
    </row>
    <row r="1172" spans="2:23" x14ac:dyDescent="0.2">
      <c r="B1172" s="3"/>
      <c r="C1172" s="3"/>
      <c r="D1172" s="3"/>
      <c r="E1172" s="4"/>
      <c r="F1172" s="4"/>
      <c r="G1172" s="4"/>
      <c r="H1172" s="4"/>
      <c r="I1172" s="4"/>
      <c r="J1172" s="4"/>
      <c r="K1172" s="4"/>
      <c r="L1172" s="3"/>
      <c r="M1172" s="3"/>
      <c r="N1172" s="3"/>
      <c r="O1172" s="3"/>
      <c r="P1172" s="3"/>
      <c r="Q1172" s="3"/>
      <c r="R1172" s="3"/>
      <c r="S1172" s="3"/>
      <c r="T1172" s="3"/>
      <c r="U1172" s="3"/>
      <c r="V1172" s="7"/>
      <c r="W1172" s="7"/>
    </row>
    <row r="1173" spans="2:23" x14ac:dyDescent="0.2">
      <c r="B1173" s="3"/>
      <c r="C1173" s="3"/>
      <c r="D1173" s="3"/>
      <c r="E1173" s="4"/>
      <c r="F1173" s="4"/>
      <c r="G1173" s="4"/>
      <c r="H1173" s="4"/>
      <c r="I1173" s="4"/>
      <c r="J1173" s="4"/>
      <c r="K1173" s="4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7"/>
      <c r="W1173" s="7"/>
    </row>
    <row r="1174" spans="2:23" x14ac:dyDescent="0.2">
      <c r="B1174" s="3"/>
      <c r="C1174" s="3"/>
      <c r="D1174" s="3"/>
      <c r="E1174" s="4"/>
      <c r="F1174" s="4"/>
      <c r="G1174" s="4"/>
      <c r="H1174" s="4"/>
      <c r="I1174" s="4"/>
      <c r="J1174" s="4"/>
      <c r="K1174" s="4"/>
      <c r="L1174" s="3"/>
      <c r="M1174" s="3"/>
      <c r="N1174" s="3"/>
      <c r="O1174" s="3"/>
      <c r="P1174" s="3"/>
      <c r="Q1174" s="3"/>
      <c r="R1174" s="3"/>
      <c r="S1174" s="3"/>
      <c r="T1174" s="3"/>
      <c r="U1174" s="3"/>
      <c r="V1174" s="7"/>
      <c r="W1174" s="7"/>
    </row>
    <row r="1175" spans="2:23" x14ac:dyDescent="0.2">
      <c r="B1175" s="3"/>
      <c r="C1175" s="3"/>
      <c r="D1175" s="3"/>
      <c r="E1175" s="4"/>
      <c r="F1175" s="4"/>
      <c r="G1175" s="4"/>
      <c r="H1175" s="4"/>
      <c r="I1175" s="4"/>
      <c r="J1175" s="4"/>
      <c r="K1175" s="4"/>
      <c r="L1175" s="3"/>
      <c r="M1175" s="3"/>
      <c r="N1175" s="3"/>
      <c r="O1175" s="3"/>
      <c r="P1175" s="3"/>
      <c r="Q1175" s="3"/>
      <c r="R1175" s="3"/>
      <c r="S1175" s="3"/>
      <c r="T1175" s="3"/>
      <c r="U1175" s="3"/>
      <c r="V1175" s="7"/>
      <c r="W1175" s="7"/>
    </row>
    <row r="1176" spans="2:23" x14ac:dyDescent="0.2">
      <c r="B1176" s="3"/>
      <c r="C1176" s="3"/>
      <c r="D1176" s="3"/>
      <c r="E1176" s="4"/>
      <c r="F1176" s="4"/>
      <c r="G1176" s="4"/>
      <c r="H1176" s="4"/>
      <c r="I1176" s="4"/>
      <c r="J1176" s="4"/>
      <c r="K1176" s="4"/>
      <c r="L1176" s="3"/>
      <c r="M1176" s="3"/>
      <c r="N1176" s="3"/>
      <c r="O1176" s="3"/>
      <c r="P1176" s="3"/>
      <c r="Q1176" s="3"/>
      <c r="R1176" s="3"/>
      <c r="S1176" s="3"/>
      <c r="T1176" s="3"/>
      <c r="U1176" s="3"/>
      <c r="V1176" s="7"/>
      <c r="W1176" s="7"/>
    </row>
    <row r="1177" spans="2:23" x14ac:dyDescent="0.2">
      <c r="B1177" s="3"/>
      <c r="C1177" s="3"/>
      <c r="D1177" s="3"/>
      <c r="E1177" s="4"/>
      <c r="F1177" s="4"/>
      <c r="G1177" s="4"/>
      <c r="H1177" s="4"/>
      <c r="I1177" s="4"/>
      <c r="J1177" s="4"/>
      <c r="K1177" s="4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7"/>
      <c r="W1177" s="7"/>
    </row>
    <row r="1178" spans="2:23" x14ac:dyDescent="0.2">
      <c r="B1178" s="3"/>
      <c r="C1178" s="3"/>
      <c r="D1178" s="3"/>
      <c r="E1178" s="4"/>
      <c r="F1178" s="4"/>
      <c r="G1178" s="4"/>
      <c r="H1178" s="4"/>
      <c r="I1178" s="4"/>
      <c r="J1178" s="4"/>
      <c r="K1178" s="4"/>
      <c r="L1178" s="3"/>
      <c r="M1178" s="3"/>
      <c r="N1178" s="3"/>
      <c r="O1178" s="3"/>
      <c r="P1178" s="3"/>
      <c r="Q1178" s="3"/>
      <c r="R1178" s="3"/>
      <c r="S1178" s="3"/>
      <c r="T1178" s="3"/>
      <c r="U1178" s="3"/>
      <c r="V1178" s="7"/>
      <c r="W1178" s="7"/>
    </row>
    <row r="1179" spans="2:23" x14ac:dyDescent="0.2">
      <c r="B1179" s="3"/>
      <c r="C1179" s="3"/>
      <c r="D1179" s="3"/>
      <c r="E1179" s="4"/>
      <c r="F1179" s="4"/>
      <c r="G1179" s="4"/>
      <c r="H1179" s="4"/>
      <c r="I1179" s="4"/>
      <c r="J1179" s="4"/>
      <c r="K1179" s="4"/>
      <c r="L1179" s="3"/>
      <c r="M1179" s="3"/>
      <c r="N1179" s="3"/>
      <c r="O1179" s="3"/>
      <c r="P1179" s="3"/>
      <c r="Q1179" s="3"/>
      <c r="R1179" s="3"/>
      <c r="S1179" s="3"/>
      <c r="T1179" s="3"/>
      <c r="U1179" s="3"/>
      <c r="V1179" s="7"/>
      <c r="W1179" s="7"/>
    </row>
    <row r="1180" spans="2:23" x14ac:dyDescent="0.2">
      <c r="B1180" s="3"/>
      <c r="C1180" s="3"/>
      <c r="D1180" s="3"/>
      <c r="E1180" s="4"/>
      <c r="F1180" s="4"/>
      <c r="G1180" s="4"/>
      <c r="H1180" s="4"/>
      <c r="I1180" s="4"/>
      <c r="J1180" s="4"/>
      <c r="K1180" s="4"/>
      <c r="L1180" s="3"/>
      <c r="M1180" s="3"/>
      <c r="N1180" s="3"/>
      <c r="O1180" s="3"/>
      <c r="P1180" s="3"/>
      <c r="Q1180" s="3"/>
      <c r="R1180" s="3"/>
      <c r="S1180" s="3"/>
      <c r="T1180" s="3"/>
      <c r="U1180" s="3"/>
      <c r="V1180" s="7"/>
      <c r="W1180" s="7"/>
    </row>
    <row r="1181" spans="2:23" x14ac:dyDescent="0.2">
      <c r="B1181" s="3"/>
      <c r="C1181" s="3"/>
      <c r="D1181" s="3"/>
      <c r="E1181" s="4"/>
      <c r="F1181" s="4"/>
      <c r="G1181" s="4"/>
      <c r="H1181" s="4"/>
      <c r="I1181" s="4"/>
      <c r="J1181" s="4"/>
      <c r="K1181" s="4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7"/>
      <c r="W1181" s="7"/>
    </row>
    <row r="1182" spans="2:23" x14ac:dyDescent="0.2">
      <c r="B1182" s="3"/>
      <c r="C1182" s="3"/>
      <c r="D1182" s="3"/>
      <c r="E1182" s="4"/>
      <c r="F1182" s="4"/>
      <c r="G1182" s="4"/>
      <c r="H1182" s="4"/>
      <c r="I1182" s="4"/>
      <c r="J1182" s="4"/>
      <c r="K1182" s="4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7"/>
      <c r="W1182" s="7"/>
    </row>
    <row r="1183" spans="2:23" x14ac:dyDescent="0.2">
      <c r="B1183" s="3"/>
      <c r="C1183" s="3"/>
      <c r="D1183" s="3"/>
      <c r="E1183" s="4"/>
      <c r="F1183" s="4"/>
      <c r="G1183" s="4"/>
      <c r="H1183" s="4"/>
      <c r="I1183" s="4"/>
      <c r="J1183" s="4"/>
      <c r="K1183" s="4"/>
      <c r="L1183" s="3"/>
      <c r="M1183" s="3"/>
      <c r="N1183" s="3"/>
      <c r="O1183" s="3"/>
      <c r="P1183" s="3"/>
      <c r="Q1183" s="3"/>
      <c r="R1183" s="3"/>
      <c r="S1183" s="3"/>
      <c r="T1183" s="3"/>
      <c r="U1183" s="3"/>
      <c r="V1183" s="7"/>
      <c r="W1183" s="7"/>
    </row>
    <row r="1184" spans="2:23" x14ac:dyDescent="0.2">
      <c r="B1184" s="3"/>
      <c r="C1184" s="3"/>
      <c r="D1184" s="3"/>
      <c r="E1184" s="4"/>
      <c r="F1184" s="4"/>
      <c r="G1184" s="4"/>
      <c r="H1184" s="4"/>
      <c r="I1184" s="4"/>
      <c r="J1184" s="4"/>
      <c r="K1184" s="4"/>
      <c r="L1184" s="3"/>
      <c r="M1184" s="3"/>
      <c r="N1184" s="3"/>
      <c r="O1184" s="3"/>
      <c r="P1184" s="3"/>
      <c r="Q1184" s="3"/>
      <c r="R1184" s="3"/>
      <c r="S1184" s="3"/>
      <c r="T1184" s="3"/>
      <c r="U1184" s="3"/>
      <c r="V1184" s="7"/>
      <c r="W1184" s="7"/>
    </row>
    <row r="1185" spans="2:23" x14ac:dyDescent="0.2">
      <c r="B1185" s="3"/>
      <c r="C1185" s="3"/>
      <c r="D1185" s="3"/>
      <c r="E1185" s="4"/>
      <c r="F1185" s="4"/>
      <c r="G1185" s="4"/>
      <c r="H1185" s="4"/>
      <c r="I1185" s="4"/>
      <c r="J1185" s="4"/>
      <c r="K1185" s="4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7"/>
      <c r="W1185" s="7"/>
    </row>
    <row r="1186" spans="2:23" x14ac:dyDescent="0.2">
      <c r="B1186" s="3"/>
      <c r="C1186" s="3"/>
      <c r="D1186" s="3"/>
      <c r="E1186" s="4"/>
      <c r="F1186" s="4"/>
      <c r="G1186" s="4"/>
      <c r="H1186" s="4"/>
      <c r="I1186" s="4"/>
      <c r="J1186" s="4"/>
      <c r="K1186" s="4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7"/>
      <c r="W1186" s="7"/>
    </row>
    <row r="1187" spans="2:23" x14ac:dyDescent="0.2">
      <c r="B1187" s="3"/>
      <c r="C1187" s="3"/>
      <c r="D1187" s="3"/>
      <c r="E1187" s="4"/>
      <c r="F1187" s="4"/>
      <c r="G1187" s="4"/>
      <c r="H1187" s="4"/>
      <c r="I1187" s="4"/>
      <c r="J1187" s="4"/>
      <c r="K1187" s="4"/>
      <c r="L1187" s="3"/>
      <c r="M1187" s="3"/>
      <c r="N1187" s="3"/>
      <c r="O1187" s="3"/>
      <c r="P1187" s="3"/>
      <c r="Q1187" s="3"/>
      <c r="R1187" s="3"/>
      <c r="S1187" s="3"/>
      <c r="T1187" s="3"/>
      <c r="U1187" s="3"/>
      <c r="V1187" s="7"/>
      <c r="W1187" s="7"/>
    </row>
    <row r="1188" spans="2:23" x14ac:dyDescent="0.2">
      <c r="B1188" s="3"/>
      <c r="C1188" s="3"/>
      <c r="D1188" s="3"/>
      <c r="E1188" s="4"/>
      <c r="F1188" s="4"/>
      <c r="G1188" s="4"/>
      <c r="H1188" s="4"/>
      <c r="I1188" s="4"/>
      <c r="J1188" s="4"/>
      <c r="K1188" s="4"/>
      <c r="L1188" s="3"/>
      <c r="M1188" s="3"/>
      <c r="N1188" s="3"/>
      <c r="O1188" s="3"/>
      <c r="P1188" s="3"/>
      <c r="Q1188" s="3"/>
      <c r="R1188" s="3"/>
      <c r="S1188" s="3"/>
      <c r="T1188" s="3"/>
      <c r="U1188" s="3"/>
      <c r="V1188" s="7"/>
      <c r="W1188" s="7"/>
    </row>
    <row r="1189" spans="2:23" x14ac:dyDescent="0.2">
      <c r="B1189" s="3"/>
      <c r="C1189" s="3"/>
      <c r="D1189" s="3"/>
      <c r="E1189" s="4"/>
      <c r="F1189" s="4"/>
      <c r="G1189" s="4"/>
      <c r="H1189" s="4"/>
      <c r="I1189" s="4"/>
      <c r="J1189" s="4"/>
      <c r="K1189" s="4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7"/>
      <c r="W1189" s="7"/>
    </row>
    <row r="1190" spans="2:23" x14ac:dyDescent="0.2">
      <c r="B1190" s="3"/>
      <c r="C1190" s="3"/>
      <c r="D1190" s="3"/>
      <c r="E1190" s="4"/>
      <c r="F1190" s="4"/>
      <c r="G1190" s="4"/>
      <c r="H1190" s="4"/>
      <c r="I1190" s="4"/>
      <c r="J1190" s="4"/>
      <c r="K1190" s="4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7"/>
      <c r="W1190" s="7"/>
    </row>
    <row r="1191" spans="2:23" x14ac:dyDescent="0.2">
      <c r="B1191" s="3"/>
      <c r="C1191" s="3"/>
      <c r="D1191" s="3"/>
      <c r="E1191" s="4"/>
      <c r="F1191" s="4"/>
      <c r="G1191" s="4"/>
      <c r="H1191" s="4"/>
      <c r="I1191" s="4"/>
      <c r="J1191" s="4"/>
      <c r="K1191" s="4"/>
      <c r="L1191" s="3"/>
      <c r="M1191" s="3"/>
      <c r="N1191" s="3"/>
      <c r="O1191" s="3"/>
      <c r="P1191" s="3"/>
      <c r="Q1191" s="3"/>
      <c r="R1191" s="3"/>
      <c r="S1191" s="3"/>
      <c r="T1191" s="3"/>
      <c r="U1191" s="3"/>
      <c r="V1191" s="7"/>
      <c r="W1191" s="7"/>
    </row>
    <row r="1192" spans="2:23" x14ac:dyDescent="0.2">
      <c r="B1192" s="3"/>
      <c r="C1192" s="3"/>
      <c r="D1192" s="3"/>
      <c r="E1192" s="4"/>
      <c r="F1192" s="4"/>
      <c r="G1192" s="4"/>
      <c r="H1192" s="4"/>
      <c r="I1192" s="4"/>
      <c r="J1192" s="4"/>
      <c r="K1192" s="4"/>
      <c r="L1192" s="3"/>
      <c r="M1192" s="3"/>
      <c r="N1192" s="3"/>
      <c r="O1192" s="3"/>
      <c r="P1192" s="3"/>
      <c r="Q1192" s="3"/>
      <c r="R1192" s="3"/>
      <c r="S1192" s="3"/>
      <c r="T1192" s="3"/>
      <c r="U1192" s="3"/>
      <c r="V1192" s="7"/>
      <c r="W1192" s="7"/>
    </row>
    <row r="1193" spans="2:23" x14ac:dyDescent="0.2">
      <c r="B1193" s="3"/>
      <c r="C1193" s="3"/>
      <c r="D1193" s="3"/>
      <c r="E1193" s="4"/>
      <c r="F1193" s="4"/>
      <c r="G1193" s="4"/>
      <c r="H1193" s="4"/>
      <c r="I1193" s="4"/>
      <c r="J1193" s="4"/>
      <c r="K1193" s="4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7"/>
      <c r="W1193" s="7"/>
    </row>
    <row r="1194" spans="2:23" x14ac:dyDescent="0.2">
      <c r="B1194" s="3"/>
      <c r="C1194" s="3"/>
      <c r="D1194" s="3"/>
      <c r="E1194" s="4"/>
      <c r="F1194" s="4"/>
      <c r="G1194" s="4"/>
      <c r="H1194" s="4"/>
      <c r="I1194" s="4"/>
      <c r="J1194" s="4"/>
      <c r="K1194" s="4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7"/>
      <c r="W1194" s="7"/>
    </row>
    <row r="1195" spans="2:23" x14ac:dyDescent="0.2">
      <c r="B1195" s="3"/>
      <c r="C1195" s="3"/>
      <c r="D1195" s="3"/>
      <c r="E1195" s="4"/>
      <c r="F1195" s="4"/>
      <c r="G1195" s="4"/>
      <c r="H1195" s="4"/>
      <c r="I1195" s="4"/>
      <c r="J1195" s="4"/>
      <c r="K1195" s="4"/>
      <c r="L1195" s="3"/>
      <c r="M1195" s="3"/>
      <c r="N1195" s="3"/>
      <c r="O1195" s="3"/>
      <c r="P1195" s="3"/>
      <c r="Q1195" s="3"/>
      <c r="R1195" s="3"/>
      <c r="S1195" s="3"/>
      <c r="T1195" s="3"/>
      <c r="U1195" s="3"/>
      <c r="V1195" s="7"/>
      <c r="W1195" s="7"/>
    </row>
    <row r="1196" spans="2:23" x14ac:dyDescent="0.2">
      <c r="B1196" s="3"/>
      <c r="C1196" s="3"/>
      <c r="D1196" s="3"/>
      <c r="E1196" s="4"/>
      <c r="F1196" s="4"/>
      <c r="G1196" s="4"/>
      <c r="H1196" s="4"/>
      <c r="I1196" s="4"/>
      <c r="J1196" s="4"/>
      <c r="K1196" s="4"/>
      <c r="L1196" s="3"/>
      <c r="M1196" s="3"/>
      <c r="N1196" s="3"/>
      <c r="O1196" s="3"/>
      <c r="P1196" s="3"/>
      <c r="Q1196" s="3"/>
      <c r="R1196" s="3"/>
      <c r="S1196" s="3"/>
      <c r="T1196" s="3"/>
      <c r="U1196" s="3"/>
      <c r="V1196" s="7"/>
      <c r="W1196" s="7"/>
    </row>
    <row r="1197" spans="2:23" x14ac:dyDescent="0.2">
      <c r="B1197" s="3"/>
      <c r="C1197" s="3"/>
      <c r="D1197" s="3"/>
      <c r="E1197" s="4"/>
      <c r="F1197" s="4"/>
      <c r="G1197" s="4"/>
      <c r="H1197" s="4"/>
      <c r="I1197" s="4"/>
      <c r="J1197" s="4"/>
      <c r="K1197" s="4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7"/>
      <c r="W1197" s="7"/>
    </row>
    <row r="1198" spans="2:23" x14ac:dyDescent="0.2">
      <c r="B1198" s="3"/>
      <c r="C1198" s="3"/>
      <c r="D1198" s="3"/>
      <c r="E1198" s="4"/>
      <c r="F1198" s="4"/>
      <c r="G1198" s="4"/>
      <c r="H1198" s="4"/>
      <c r="I1198" s="4"/>
      <c r="J1198" s="4"/>
      <c r="K1198" s="4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7"/>
      <c r="W1198" s="7"/>
    </row>
    <row r="1199" spans="2:23" x14ac:dyDescent="0.2">
      <c r="B1199" s="3"/>
      <c r="C1199" s="3"/>
      <c r="D1199" s="3"/>
      <c r="E1199" s="4"/>
      <c r="F1199" s="4"/>
      <c r="G1199" s="4"/>
      <c r="H1199" s="4"/>
      <c r="I1199" s="4"/>
      <c r="J1199" s="4"/>
      <c r="K1199" s="4"/>
      <c r="L1199" s="3"/>
      <c r="M1199" s="3"/>
      <c r="N1199" s="3"/>
      <c r="O1199" s="3"/>
      <c r="P1199" s="3"/>
      <c r="Q1199" s="3"/>
      <c r="R1199" s="3"/>
      <c r="S1199" s="3"/>
      <c r="T1199" s="3"/>
      <c r="U1199" s="3"/>
      <c r="V1199" s="7"/>
      <c r="W1199" s="7"/>
    </row>
    <row r="1200" spans="2:23" x14ac:dyDescent="0.2">
      <c r="B1200" s="3"/>
      <c r="C1200" s="3"/>
      <c r="D1200" s="3"/>
      <c r="E1200" s="4"/>
      <c r="F1200" s="4"/>
      <c r="G1200" s="4"/>
      <c r="H1200" s="4"/>
      <c r="I1200" s="4"/>
      <c r="J1200" s="4"/>
      <c r="K1200" s="4"/>
      <c r="L1200" s="3"/>
      <c r="M1200" s="3"/>
      <c r="N1200" s="3"/>
      <c r="O1200" s="3"/>
      <c r="P1200" s="3"/>
      <c r="Q1200" s="3"/>
      <c r="R1200" s="3"/>
      <c r="S1200" s="3"/>
      <c r="T1200" s="3"/>
      <c r="U1200" s="3"/>
      <c r="V1200" s="7"/>
      <c r="W1200" s="7"/>
    </row>
    <row r="1201" spans="2:23" x14ac:dyDescent="0.2">
      <c r="B1201" s="3"/>
      <c r="C1201" s="3"/>
      <c r="D1201" s="3"/>
      <c r="E1201" s="4"/>
      <c r="F1201" s="4"/>
      <c r="G1201" s="4"/>
      <c r="H1201" s="4"/>
      <c r="I1201" s="4"/>
      <c r="J1201" s="4"/>
      <c r="K1201" s="4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7"/>
      <c r="W1201" s="7"/>
    </row>
    <row r="1202" spans="2:23" x14ac:dyDescent="0.2">
      <c r="B1202" s="3"/>
      <c r="C1202" s="3"/>
      <c r="D1202" s="3"/>
      <c r="E1202" s="4"/>
      <c r="F1202" s="4"/>
      <c r="G1202" s="4"/>
      <c r="H1202" s="4"/>
      <c r="I1202" s="4"/>
      <c r="J1202" s="4"/>
      <c r="K1202" s="4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7"/>
      <c r="W1202" s="7"/>
    </row>
    <row r="1203" spans="2:23" x14ac:dyDescent="0.2">
      <c r="B1203" s="3"/>
      <c r="C1203" s="3"/>
      <c r="D1203" s="3"/>
      <c r="E1203" s="4"/>
      <c r="F1203" s="4"/>
      <c r="G1203" s="4"/>
      <c r="H1203" s="4"/>
      <c r="I1203" s="4"/>
      <c r="J1203" s="4"/>
      <c r="K1203" s="4"/>
      <c r="L1203" s="3"/>
      <c r="M1203" s="3"/>
      <c r="N1203" s="3"/>
      <c r="O1203" s="3"/>
      <c r="P1203" s="3"/>
      <c r="Q1203" s="3"/>
      <c r="R1203" s="3"/>
      <c r="S1203" s="3"/>
      <c r="T1203" s="3"/>
      <c r="U1203" s="3"/>
      <c r="V1203" s="7"/>
      <c r="W1203" s="7"/>
    </row>
    <row r="1204" spans="2:23" x14ac:dyDescent="0.2">
      <c r="B1204" s="3"/>
      <c r="C1204" s="3"/>
      <c r="D1204" s="3"/>
      <c r="E1204" s="4"/>
      <c r="F1204" s="4"/>
      <c r="G1204" s="4"/>
      <c r="H1204" s="4"/>
      <c r="I1204" s="4"/>
      <c r="J1204" s="4"/>
      <c r="K1204" s="4"/>
      <c r="L1204" s="3"/>
      <c r="M1204" s="3"/>
      <c r="N1204" s="3"/>
      <c r="O1204" s="3"/>
      <c r="P1204" s="3"/>
      <c r="Q1204" s="3"/>
      <c r="R1204" s="3"/>
      <c r="S1204" s="3"/>
      <c r="T1204" s="3"/>
      <c r="U1204" s="3"/>
      <c r="V1204" s="7"/>
      <c r="W1204" s="7"/>
    </row>
    <row r="1205" spans="2:23" x14ac:dyDescent="0.2">
      <c r="B1205" s="3"/>
      <c r="C1205" s="3"/>
      <c r="D1205" s="3"/>
      <c r="E1205" s="4"/>
      <c r="F1205" s="4"/>
      <c r="G1205" s="4"/>
      <c r="H1205" s="4"/>
      <c r="I1205" s="4"/>
      <c r="J1205" s="4"/>
      <c r="K1205" s="4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7"/>
      <c r="W1205" s="7"/>
    </row>
    <row r="1206" spans="2:23" x14ac:dyDescent="0.2">
      <c r="B1206" s="3"/>
      <c r="C1206" s="3"/>
      <c r="D1206" s="3"/>
      <c r="E1206" s="4"/>
      <c r="F1206" s="4"/>
      <c r="G1206" s="4"/>
      <c r="H1206" s="4"/>
      <c r="I1206" s="4"/>
      <c r="J1206" s="4"/>
      <c r="K1206" s="4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7"/>
      <c r="W1206" s="7"/>
    </row>
    <row r="1207" spans="2:23" x14ac:dyDescent="0.2">
      <c r="B1207" s="3"/>
      <c r="C1207" s="3"/>
      <c r="D1207" s="3"/>
      <c r="E1207" s="4"/>
      <c r="F1207" s="4"/>
      <c r="G1207" s="4"/>
      <c r="H1207" s="4"/>
      <c r="I1207" s="4"/>
      <c r="J1207" s="4"/>
      <c r="K1207" s="4"/>
      <c r="L1207" s="3"/>
      <c r="M1207" s="3"/>
      <c r="N1207" s="3"/>
      <c r="O1207" s="3"/>
      <c r="P1207" s="3"/>
      <c r="Q1207" s="3"/>
      <c r="R1207" s="3"/>
      <c r="S1207" s="3"/>
      <c r="T1207" s="3"/>
      <c r="U1207" s="3"/>
      <c r="V1207" s="7"/>
      <c r="W1207" s="7"/>
    </row>
    <row r="1208" spans="2:23" x14ac:dyDescent="0.2">
      <c r="B1208" s="3"/>
      <c r="C1208" s="3"/>
      <c r="D1208" s="3"/>
      <c r="E1208" s="4"/>
      <c r="F1208" s="4"/>
      <c r="G1208" s="4"/>
      <c r="H1208" s="4"/>
      <c r="I1208" s="4"/>
      <c r="J1208" s="4"/>
      <c r="K1208" s="4"/>
      <c r="L1208" s="3"/>
      <c r="M1208" s="3"/>
      <c r="N1208" s="3"/>
      <c r="O1208" s="3"/>
      <c r="P1208" s="3"/>
      <c r="Q1208" s="3"/>
      <c r="R1208" s="3"/>
      <c r="S1208" s="3"/>
      <c r="T1208" s="3"/>
      <c r="U1208" s="3"/>
      <c r="V1208" s="7"/>
      <c r="W1208" s="7"/>
    </row>
    <row r="1209" spans="2:23" x14ac:dyDescent="0.2">
      <c r="B1209" s="3"/>
      <c r="C1209" s="3"/>
      <c r="D1209" s="3"/>
      <c r="E1209" s="4"/>
      <c r="F1209" s="4"/>
      <c r="G1209" s="4"/>
      <c r="H1209" s="4"/>
      <c r="I1209" s="4"/>
      <c r="J1209" s="4"/>
      <c r="K1209" s="4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7"/>
      <c r="W1209" s="7"/>
    </row>
    <row r="1210" spans="2:23" x14ac:dyDescent="0.2">
      <c r="B1210" s="3"/>
      <c r="C1210" s="3"/>
      <c r="D1210" s="3"/>
      <c r="E1210" s="4"/>
      <c r="F1210" s="4"/>
      <c r="G1210" s="4"/>
      <c r="H1210" s="4"/>
      <c r="I1210" s="4"/>
      <c r="J1210" s="4"/>
      <c r="K1210" s="4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7"/>
      <c r="W1210" s="7"/>
    </row>
    <row r="1211" spans="2:23" x14ac:dyDescent="0.2">
      <c r="B1211" s="3"/>
      <c r="C1211" s="3"/>
      <c r="D1211" s="3"/>
      <c r="E1211" s="4"/>
      <c r="F1211" s="4"/>
      <c r="G1211" s="4"/>
      <c r="H1211" s="4"/>
      <c r="I1211" s="4"/>
      <c r="J1211" s="4"/>
      <c r="K1211" s="4"/>
      <c r="L1211" s="3"/>
      <c r="M1211" s="3"/>
      <c r="N1211" s="3"/>
      <c r="O1211" s="3"/>
      <c r="P1211" s="3"/>
      <c r="Q1211" s="3"/>
      <c r="R1211" s="3"/>
      <c r="S1211" s="3"/>
      <c r="T1211" s="3"/>
      <c r="U1211" s="3"/>
      <c r="V1211" s="7"/>
      <c r="W1211" s="7"/>
    </row>
    <row r="1212" spans="2:23" x14ac:dyDescent="0.2">
      <c r="B1212" s="3"/>
      <c r="C1212" s="3"/>
      <c r="D1212" s="3"/>
      <c r="E1212" s="4"/>
      <c r="F1212" s="4"/>
      <c r="G1212" s="4"/>
      <c r="H1212" s="4"/>
      <c r="I1212" s="4"/>
      <c r="J1212" s="4"/>
      <c r="K1212" s="4"/>
      <c r="L1212" s="3"/>
      <c r="M1212" s="3"/>
      <c r="N1212" s="3"/>
      <c r="O1212" s="3"/>
      <c r="P1212" s="3"/>
      <c r="Q1212" s="3"/>
      <c r="R1212" s="3"/>
      <c r="S1212" s="3"/>
      <c r="T1212" s="3"/>
      <c r="U1212" s="3"/>
      <c r="V1212" s="7"/>
      <c r="W1212" s="7"/>
    </row>
    <row r="1213" spans="2:23" x14ac:dyDescent="0.2">
      <c r="B1213" s="3"/>
      <c r="C1213" s="3"/>
      <c r="D1213" s="3"/>
      <c r="E1213" s="4"/>
      <c r="F1213" s="4"/>
      <c r="G1213" s="4"/>
      <c r="H1213" s="4"/>
      <c r="I1213" s="4"/>
      <c r="J1213" s="4"/>
      <c r="K1213" s="4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7"/>
      <c r="W1213" s="7"/>
    </row>
    <row r="1214" spans="2:23" x14ac:dyDescent="0.2">
      <c r="B1214" s="3"/>
      <c r="C1214" s="3"/>
      <c r="D1214" s="3"/>
      <c r="E1214" s="4"/>
      <c r="F1214" s="4"/>
      <c r="G1214" s="4"/>
      <c r="H1214" s="4"/>
      <c r="I1214" s="4"/>
      <c r="J1214" s="4"/>
      <c r="K1214" s="4"/>
      <c r="L1214" s="3"/>
      <c r="M1214" s="3"/>
      <c r="N1214" s="3"/>
      <c r="O1214" s="3"/>
      <c r="P1214" s="3"/>
      <c r="Q1214" s="3"/>
      <c r="R1214" s="3"/>
      <c r="S1214" s="3"/>
      <c r="T1214" s="3"/>
      <c r="U1214" s="3"/>
      <c r="V1214" s="7"/>
      <c r="W1214" s="7"/>
    </row>
    <row r="1215" spans="2:23" x14ac:dyDescent="0.2">
      <c r="B1215" s="3"/>
      <c r="C1215" s="3"/>
      <c r="D1215" s="3"/>
      <c r="E1215" s="4"/>
      <c r="F1215" s="4"/>
      <c r="G1215" s="4"/>
      <c r="H1215" s="4"/>
      <c r="I1215" s="4"/>
      <c r="J1215" s="4"/>
      <c r="K1215" s="4"/>
      <c r="L1215" s="3"/>
      <c r="M1215" s="3"/>
      <c r="N1215" s="3"/>
      <c r="O1215" s="3"/>
      <c r="P1215" s="3"/>
      <c r="Q1215" s="3"/>
      <c r="R1215" s="3"/>
      <c r="S1215" s="3"/>
      <c r="T1215" s="3"/>
      <c r="U1215" s="3"/>
      <c r="V1215" s="7"/>
      <c r="W1215" s="7"/>
    </row>
    <row r="1216" spans="2:23" x14ac:dyDescent="0.2">
      <c r="B1216" s="3"/>
      <c r="C1216" s="3"/>
      <c r="D1216" s="3"/>
      <c r="E1216" s="4"/>
      <c r="F1216" s="4"/>
      <c r="G1216" s="4"/>
      <c r="H1216" s="4"/>
      <c r="I1216" s="4"/>
      <c r="J1216" s="4"/>
      <c r="K1216" s="4"/>
      <c r="L1216" s="3"/>
      <c r="M1216" s="3"/>
      <c r="N1216" s="3"/>
      <c r="O1216" s="3"/>
      <c r="P1216" s="3"/>
      <c r="Q1216" s="3"/>
      <c r="R1216" s="3"/>
      <c r="S1216" s="3"/>
      <c r="T1216" s="3"/>
      <c r="U1216" s="3"/>
      <c r="V1216" s="7"/>
      <c r="W1216" s="7"/>
    </row>
    <row r="1217" spans="2:23" x14ac:dyDescent="0.2">
      <c r="B1217" s="3"/>
      <c r="C1217" s="3"/>
      <c r="D1217" s="3"/>
      <c r="E1217" s="4"/>
      <c r="F1217" s="4"/>
      <c r="G1217" s="4"/>
      <c r="H1217" s="4"/>
      <c r="I1217" s="4"/>
      <c r="J1217" s="4"/>
      <c r="K1217" s="4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7"/>
      <c r="W1217" s="7"/>
    </row>
    <row r="1218" spans="2:23" x14ac:dyDescent="0.2">
      <c r="B1218" s="3"/>
      <c r="C1218" s="3"/>
      <c r="D1218" s="3"/>
      <c r="E1218" s="4"/>
      <c r="F1218" s="4"/>
      <c r="G1218" s="4"/>
      <c r="H1218" s="4"/>
      <c r="I1218" s="4"/>
      <c r="J1218" s="4"/>
      <c r="K1218" s="4"/>
      <c r="L1218" s="3"/>
      <c r="M1218" s="3"/>
      <c r="N1218" s="3"/>
      <c r="O1218" s="3"/>
      <c r="P1218" s="3"/>
      <c r="Q1218" s="3"/>
      <c r="R1218" s="3"/>
      <c r="S1218" s="3"/>
      <c r="T1218" s="3"/>
      <c r="U1218" s="3"/>
      <c r="V1218" s="7"/>
      <c r="W1218" s="7"/>
    </row>
    <row r="1219" spans="2:23" x14ac:dyDescent="0.2">
      <c r="B1219" s="3"/>
      <c r="C1219" s="3"/>
      <c r="D1219" s="3"/>
      <c r="E1219" s="4"/>
      <c r="F1219" s="4"/>
      <c r="G1219" s="4"/>
      <c r="H1219" s="4"/>
      <c r="I1219" s="4"/>
      <c r="J1219" s="4"/>
      <c r="K1219" s="4"/>
      <c r="L1219" s="3"/>
      <c r="M1219" s="3"/>
      <c r="N1219" s="3"/>
      <c r="O1219" s="3"/>
      <c r="P1219" s="3"/>
      <c r="Q1219" s="3"/>
      <c r="R1219" s="3"/>
      <c r="S1219" s="3"/>
      <c r="T1219" s="3"/>
      <c r="U1219" s="3"/>
      <c r="V1219" s="7"/>
      <c r="W1219" s="7"/>
    </row>
    <row r="1220" spans="2:23" x14ac:dyDescent="0.2">
      <c r="B1220" s="3"/>
      <c r="C1220" s="3"/>
      <c r="D1220" s="3"/>
      <c r="E1220" s="4"/>
      <c r="F1220" s="4"/>
      <c r="G1220" s="4"/>
      <c r="H1220" s="4"/>
      <c r="I1220" s="4"/>
      <c r="J1220" s="4"/>
      <c r="K1220" s="4"/>
      <c r="L1220" s="3"/>
      <c r="M1220" s="3"/>
      <c r="N1220" s="3"/>
      <c r="O1220" s="3"/>
      <c r="P1220" s="3"/>
      <c r="Q1220" s="3"/>
      <c r="R1220" s="3"/>
      <c r="S1220" s="3"/>
      <c r="T1220" s="3"/>
      <c r="U1220" s="3"/>
      <c r="V1220" s="7"/>
      <c r="W1220" s="7"/>
    </row>
    <row r="1221" spans="2:23" x14ac:dyDescent="0.2">
      <c r="B1221" s="3"/>
      <c r="C1221" s="3"/>
      <c r="D1221" s="3"/>
      <c r="E1221" s="4"/>
      <c r="F1221" s="4"/>
      <c r="G1221" s="4"/>
      <c r="H1221" s="4"/>
      <c r="I1221" s="4"/>
      <c r="J1221" s="4"/>
      <c r="K1221" s="4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7"/>
      <c r="W1221" s="7"/>
    </row>
    <row r="1222" spans="2:23" x14ac:dyDescent="0.2">
      <c r="B1222" s="3"/>
      <c r="C1222" s="3"/>
      <c r="D1222" s="3"/>
      <c r="E1222" s="4"/>
      <c r="F1222" s="4"/>
      <c r="G1222" s="4"/>
      <c r="H1222" s="4"/>
      <c r="I1222" s="4"/>
      <c r="J1222" s="4"/>
      <c r="K1222" s="4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7"/>
      <c r="W1222" s="7"/>
    </row>
    <row r="1223" spans="2:23" x14ac:dyDescent="0.2">
      <c r="B1223" s="3"/>
      <c r="C1223" s="3"/>
      <c r="D1223" s="3"/>
      <c r="E1223" s="4"/>
      <c r="F1223" s="4"/>
      <c r="G1223" s="4"/>
      <c r="H1223" s="4"/>
      <c r="I1223" s="4"/>
      <c r="J1223" s="4"/>
      <c r="K1223" s="4"/>
      <c r="L1223" s="3"/>
      <c r="M1223" s="3"/>
      <c r="N1223" s="3"/>
      <c r="O1223" s="3"/>
      <c r="P1223" s="3"/>
      <c r="Q1223" s="3"/>
      <c r="R1223" s="3"/>
      <c r="S1223" s="3"/>
      <c r="T1223" s="3"/>
      <c r="U1223" s="3"/>
      <c r="V1223" s="7"/>
      <c r="W1223" s="7"/>
    </row>
    <row r="1224" spans="2:23" x14ac:dyDescent="0.2">
      <c r="B1224" s="3"/>
      <c r="C1224" s="3"/>
      <c r="D1224" s="3"/>
      <c r="E1224" s="4"/>
      <c r="F1224" s="4"/>
      <c r="G1224" s="4"/>
      <c r="H1224" s="4"/>
      <c r="I1224" s="4"/>
      <c r="J1224" s="4"/>
      <c r="K1224" s="4"/>
      <c r="L1224" s="3"/>
      <c r="M1224" s="3"/>
      <c r="N1224" s="3"/>
      <c r="O1224" s="3"/>
      <c r="P1224" s="3"/>
      <c r="Q1224" s="3"/>
      <c r="R1224" s="3"/>
      <c r="S1224" s="3"/>
      <c r="T1224" s="3"/>
      <c r="U1224" s="3"/>
      <c r="V1224" s="7"/>
      <c r="W1224" s="7"/>
    </row>
    <row r="1225" spans="2:23" x14ac:dyDescent="0.2">
      <c r="E1225" s="1"/>
      <c r="F1225" s="1"/>
      <c r="H1225" s="1"/>
      <c r="I1225" s="1"/>
      <c r="J1225" s="1"/>
      <c r="K1225" s="1"/>
    </row>
    <row r="1226" spans="2:23" x14ac:dyDescent="0.2">
      <c r="E1226" s="1"/>
      <c r="F1226" s="1"/>
      <c r="H1226" s="1"/>
      <c r="I1226" s="1"/>
      <c r="J1226" s="1"/>
      <c r="K1226" s="1"/>
    </row>
    <row r="1227" spans="2:23" x14ac:dyDescent="0.2">
      <c r="E1227" s="1"/>
      <c r="F1227" s="1"/>
      <c r="H1227" s="1"/>
      <c r="I1227" s="1"/>
      <c r="J1227" s="1"/>
      <c r="K1227" s="1"/>
    </row>
    <row r="1228" spans="2:23" x14ac:dyDescent="0.2">
      <c r="E1228" s="1"/>
      <c r="F1228" s="1"/>
      <c r="H1228" s="1"/>
      <c r="I1228" s="1"/>
      <c r="J1228" s="1"/>
      <c r="K1228" s="1"/>
    </row>
    <row r="1229" spans="2:23" x14ac:dyDescent="0.2">
      <c r="E1229" s="1"/>
      <c r="F1229" s="1"/>
      <c r="H1229" s="1"/>
      <c r="I1229" s="1"/>
      <c r="J1229" s="1"/>
      <c r="K1229" s="1"/>
    </row>
    <row r="1230" spans="2:23" x14ac:dyDescent="0.2">
      <c r="E1230" s="1"/>
      <c r="F1230" s="1"/>
      <c r="H1230" s="1"/>
      <c r="I1230" s="1"/>
      <c r="J1230" s="1"/>
      <c r="K1230" s="1"/>
    </row>
    <row r="1231" spans="2:23" x14ac:dyDescent="0.2">
      <c r="E1231" s="1"/>
      <c r="F1231" s="1"/>
      <c r="H1231" s="1"/>
      <c r="I1231" s="1"/>
      <c r="J1231" s="1"/>
      <c r="K1231" s="1"/>
    </row>
    <row r="1232" spans="2:23" x14ac:dyDescent="0.2">
      <c r="E1232" s="1"/>
      <c r="F1232" s="1"/>
      <c r="H1232" s="1"/>
      <c r="I1232" s="1"/>
      <c r="J1232" s="1"/>
      <c r="K1232" s="1"/>
    </row>
    <row r="1233" spans="5:11" x14ac:dyDescent="0.2">
      <c r="E1233" s="1"/>
      <c r="F1233" s="1"/>
      <c r="H1233" s="1"/>
      <c r="I1233" s="1"/>
      <c r="J1233" s="1"/>
      <c r="K1233" s="1"/>
    </row>
    <row r="1234" spans="5:11" x14ac:dyDescent="0.2">
      <c r="E1234" s="1"/>
      <c r="F1234" s="1"/>
      <c r="H1234" s="1"/>
      <c r="I1234" s="1"/>
      <c r="J1234" s="1"/>
      <c r="K1234" s="1"/>
    </row>
    <row r="1235" spans="5:11" x14ac:dyDescent="0.2">
      <c r="E1235" s="1"/>
      <c r="F1235" s="1"/>
      <c r="H1235" s="1"/>
      <c r="I1235" s="1"/>
      <c r="J1235" s="1"/>
      <c r="K1235" s="1"/>
    </row>
    <row r="1236" spans="5:11" x14ac:dyDescent="0.2">
      <c r="E1236" s="1"/>
      <c r="F1236" s="1"/>
      <c r="H1236" s="1"/>
      <c r="I1236" s="1"/>
      <c r="J1236" s="1"/>
      <c r="K1236" s="1"/>
    </row>
    <row r="1237" spans="5:11" x14ac:dyDescent="0.2">
      <c r="E1237" s="1"/>
      <c r="F1237" s="1"/>
      <c r="H1237" s="1"/>
      <c r="I1237" s="1"/>
      <c r="J1237" s="1"/>
      <c r="K1237" s="1"/>
    </row>
    <row r="1238" spans="5:11" x14ac:dyDescent="0.2">
      <c r="E1238" s="1"/>
      <c r="F1238" s="1"/>
      <c r="H1238" s="1"/>
      <c r="I1238" s="1"/>
      <c r="J1238" s="1"/>
      <c r="K1238" s="1"/>
    </row>
    <row r="1239" spans="5:11" x14ac:dyDescent="0.2">
      <c r="E1239" s="1"/>
      <c r="F1239" s="1"/>
      <c r="H1239" s="1"/>
      <c r="I1239" s="1"/>
      <c r="J1239" s="1"/>
      <c r="K1239" s="1"/>
    </row>
    <row r="1240" spans="5:11" x14ac:dyDescent="0.2">
      <c r="E1240" s="1"/>
      <c r="F1240" s="1"/>
      <c r="H1240" s="1"/>
      <c r="I1240" s="1"/>
      <c r="J1240" s="1"/>
      <c r="K1240" s="1"/>
    </row>
    <row r="1241" spans="5:11" x14ac:dyDescent="0.2">
      <c r="E1241" s="1"/>
      <c r="F1241" s="1"/>
      <c r="H1241" s="1"/>
      <c r="I1241" s="1"/>
      <c r="J1241" s="1"/>
      <c r="K1241" s="1"/>
    </row>
    <row r="1242" spans="5:11" x14ac:dyDescent="0.2">
      <c r="E1242" s="1"/>
      <c r="F1242" s="1"/>
      <c r="H1242" s="1"/>
      <c r="I1242" s="1"/>
      <c r="J1242" s="1"/>
      <c r="K1242" s="1"/>
    </row>
    <row r="1243" spans="5:11" x14ac:dyDescent="0.2">
      <c r="E1243" s="1"/>
      <c r="F1243" s="1"/>
      <c r="H1243" s="1"/>
      <c r="I1243" s="1"/>
      <c r="J1243" s="1"/>
      <c r="K1243" s="1"/>
    </row>
    <row r="1244" spans="5:11" x14ac:dyDescent="0.2">
      <c r="E1244" s="1"/>
      <c r="F1244" s="1"/>
      <c r="H1244" s="1"/>
      <c r="I1244" s="1"/>
      <c r="J1244" s="1"/>
      <c r="K1244" s="1"/>
    </row>
    <row r="1245" spans="5:11" x14ac:dyDescent="0.2">
      <c r="E1245" s="1"/>
      <c r="F1245" s="1"/>
      <c r="H1245" s="1"/>
      <c r="I1245" s="1"/>
      <c r="J1245" s="1"/>
      <c r="K1245" s="1"/>
    </row>
    <row r="1246" spans="5:11" x14ac:dyDescent="0.2">
      <c r="E1246" s="1"/>
      <c r="F1246" s="1"/>
      <c r="H1246" s="1"/>
      <c r="I1246" s="1"/>
      <c r="J1246" s="1"/>
      <c r="K1246" s="1"/>
    </row>
    <row r="1247" spans="5:11" x14ac:dyDescent="0.2">
      <c r="E1247" s="1"/>
      <c r="F1247" s="1"/>
      <c r="H1247" s="1"/>
      <c r="I1247" s="1"/>
      <c r="J1247" s="1"/>
      <c r="K1247" s="1"/>
    </row>
    <row r="1248" spans="5:11" x14ac:dyDescent="0.2">
      <c r="E1248" s="1"/>
      <c r="F1248" s="1"/>
      <c r="H1248" s="1"/>
      <c r="I1248" s="1"/>
      <c r="J1248" s="1"/>
      <c r="K1248" s="1"/>
    </row>
    <row r="1249" spans="5:11" x14ac:dyDescent="0.2">
      <c r="E1249" s="1"/>
      <c r="F1249" s="1"/>
      <c r="H1249" s="1"/>
      <c r="I1249" s="1"/>
      <c r="J1249" s="1"/>
      <c r="K1249" s="1"/>
    </row>
    <row r="1250" spans="5:11" x14ac:dyDescent="0.2">
      <c r="E1250" s="1"/>
      <c r="F1250" s="1"/>
      <c r="H1250" s="1"/>
      <c r="I1250" s="1"/>
      <c r="J1250" s="1"/>
      <c r="K1250" s="1"/>
    </row>
    <row r="1251" spans="5:11" x14ac:dyDescent="0.2">
      <c r="E1251" s="1"/>
      <c r="F1251" s="1"/>
      <c r="H1251" s="1"/>
      <c r="I1251" s="1"/>
      <c r="J1251" s="1"/>
      <c r="K1251" s="1"/>
    </row>
    <row r="1252" spans="5:11" x14ac:dyDescent="0.2">
      <c r="E1252" s="1"/>
      <c r="F1252" s="1"/>
      <c r="H1252" s="1"/>
      <c r="I1252" s="1"/>
      <c r="J1252" s="1"/>
      <c r="K1252" s="1"/>
    </row>
    <row r="1253" spans="5:11" x14ac:dyDescent="0.2">
      <c r="E1253" s="1"/>
      <c r="F1253" s="1"/>
      <c r="H1253" s="1"/>
      <c r="I1253" s="1"/>
      <c r="J1253" s="1"/>
      <c r="K1253" s="1"/>
    </row>
    <row r="1254" spans="5:11" x14ac:dyDescent="0.2">
      <c r="E1254" s="1"/>
      <c r="F1254" s="1"/>
      <c r="H1254" s="1"/>
      <c r="I1254" s="1"/>
      <c r="J1254" s="1"/>
      <c r="K1254" s="1"/>
    </row>
    <row r="1255" spans="5:11" x14ac:dyDescent="0.2">
      <c r="E1255" s="1"/>
      <c r="F1255" s="1"/>
      <c r="H1255" s="1"/>
      <c r="I1255" s="1"/>
      <c r="J1255" s="1"/>
      <c r="K1255" s="1"/>
    </row>
    <row r="1256" spans="5:11" x14ac:dyDescent="0.2">
      <c r="E1256" s="1"/>
      <c r="F1256" s="1"/>
      <c r="H1256" s="1"/>
      <c r="I1256" s="1"/>
      <c r="J1256" s="1"/>
      <c r="K1256" s="1"/>
    </row>
    <row r="1257" spans="5:11" x14ac:dyDescent="0.2">
      <c r="E1257" s="1"/>
      <c r="F1257" s="1"/>
      <c r="H1257" s="1"/>
      <c r="I1257" s="1"/>
      <c r="J1257" s="1"/>
      <c r="K1257" s="1"/>
    </row>
    <row r="1258" spans="5:11" x14ac:dyDescent="0.2">
      <c r="E1258" s="1"/>
      <c r="F1258" s="1"/>
      <c r="H1258" s="1"/>
      <c r="I1258" s="1"/>
      <c r="J1258" s="1"/>
      <c r="K1258" s="1"/>
    </row>
    <row r="1259" spans="5:11" x14ac:dyDescent="0.2">
      <c r="E1259" s="1"/>
      <c r="F1259" s="1"/>
      <c r="H1259" s="1"/>
      <c r="I1259" s="1"/>
      <c r="J1259" s="1"/>
      <c r="K1259" s="1"/>
    </row>
    <row r="1260" spans="5:11" x14ac:dyDescent="0.2">
      <c r="E1260" s="1"/>
      <c r="F1260" s="1"/>
      <c r="H1260" s="1"/>
      <c r="I1260" s="1"/>
      <c r="J1260" s="1"/>
      <c r="K1260" s="1"/>
    </row>
    <row r="1261" spans="5:11" x14ac:dyDescent="0.2">
      <c r="E1261" s="1"/>
      <c r="F1261" s="1"/>
      <c r="H1261" s="1"/>
      <c r="I1261" s="1"/>
      <c r="J1261" s="1"/>
      <c r="K1261" s="1"/>
    </row>
    <row r="1262" spans="5:11" x14ac:dyDescent="0.2">
      <c r="E1262" s="1"/>
      <c r="F1262" s="1"/>
      <c r="H1262" s="1"/>
      <c r="I1262" s="1"/>
      <c r="J1262" s="1"/>
      <c r="K1262" s="1"/>
    </row>
    <row r="1263" spans="5:11" x14ac:dyDescent="0.2">
      <c r="E1263" s="1"/>
      <c r="F1263" s="1"/>
      <c r="H1263" s="1"/>
      <c r="I1263" s="1"/>
      <c r="J1263" s="1"/>
      <c r="K1263" s="1"/>
    </row>
    <row r="1264" spans="5:11" x14ac:dyDescent="0.2">
      <c r="E1264" s="1"/>
      <c r="F1264" s="1"/>
      <c r="H1264" s="1"/>
      <c r="I1264" s="1"/>
      <c r="J1264" s="1"/>
      <c r="K1264" s="1"/>
    </row>
    <row r="1265" spans="5:11" x14ac:dyDescent="0.2">
      <c r="E1265" s="1"/>
      <c r="F1265" s="1"/>
      <c r="H1265" s="1"/>
      <c r="I1265" s="1"/>
      <c r="J1265" s="1"/>
      <c r="K1265" s="1"/>
    </row>
    <row r="1266" spans="5:11" x14ac:dyDescent="0.2">
      <c r="E1266" s="1"/>
      <c r="F1266" s="1"/>
      <c r="H1266" s="1"/>
      <c r="I1266" s="1"/>
      <c r="J1266" s="1"/>
      <c r="K1266" s="1"/>
    </row>
    <row r="1267" spans="5:11" x14ac:dyDescent="0.2">
      <c r="E1267" s="1"/>
      <c r="F1267" s="1"/>
      <c r="H1267" s="1"/>
      <c r="I1267" s="1"/>
      <c r="J1267" s="1"/>
      <c r="K1267" s="1"/>
    </row>
    <row r="1268" spans="5:11" x14ac:dyDescent="0.2">
      <c r="E1268" s="1"/>
      <c r="F1268" s="1"/>
      <c r="H1268" s="1"/>
      <c r="I1268" s="1"/>
      <c r="J1268" s="1"/>
      <c r="K1268" s="1"/>
    </row>
    <row r="1269" spans="5:11" x14ac:dyDescent="0.2">
      <c r="E1269" s="1"/>
      <c r="F1269" s="1"/>
      <c r="H1269" s="1"/>
      <c r="I1269" s="1"/>
      <c r="J1269" s="1"/>
      <c r="K1269" s="1"/>
    </row>
    <row r="1270" spans="5:11" x14ac:dyDescent="0.2">
      <c r="E1270" s="1"/>
      <c r="F1270" s="1"/>
      <c r="H1270" s="1"/>
      <c r="I1270" s="1"/>
      <c r="J1270" s="1"/>
      <c r="K1270" s="1"/>
    </row>
    <row r="1271" spans="5:11" x14ac:dyDescent="0.2">
      <c r="E1271" s="1"/>
      <c r="F1271" s="1"/>
      <c r="H1271" s="1"/>
      <c r="I1271" s="1"/>
      <c r="J1271" s="1"/>
      <c r="K1271" s="1"/>
    </row>
    <row r="1272" spans="5:11" x14ac:dyDescent="0.2">
      <c r="E1272" s="1"/>
      <c r="F1272" s="1"/>
      <c r="H1272" s="1"/>
      <c r="I1272" s="1"/>
      <c r="J1272" s="1"/>
      <c r="K1272" s="1"/>
    </row>
    <row r="1273" spans="5:11" x14ac:dyDescent="0.2">
      <c r="E1273" s="1"/>
      <c r="F1273" s="1"/>
      <c r="H1273" s="1"/>
      <c r="I1273" s="1"/>
      <c r="J1273" s="1"/>
      <c r="K1273" s="1"/>
    </row>
    <row r="1274" spans="5:11" x14ac:dyDescent="0.2">
      <c r="E1274" s="1"/>
      <c r="F1274" s="1"/>
      <c r="H1274" s="1"/>
      <c r="I1274" s="1"/>
      <c r="J1274" s="1"/>
      <c r="K1274" s="1"/>
    </row>
    <row r="1275" spans="5:11" x14ac:dyDescent="0.2">
      <c r="E1275" s="1"/>
      <c r="F1275" s="1"/>
      <c r="H1275" s="1"/>
      <c r="I1275" s="1"/>
      <c r="J1275" s="1"/>
      <c r="K1275" s="1"/>
    </row>
    <row r="1276" spans="5:11" x14ac:dyDescent="0.2">
      <c r="E1276" s="1"/>
      <c r="F1276" s="1"/>
      <c r="H1276" s="1"/>
      <c r="I1276" s="1"/>
      <c r="J1276" s="1"/>
      <c r="K1276" s="1"/>
    </row>
    <row r="1277" spans="5:11" x14ac:dyDescent="0.2">
      <c r="E1277" s="1"/>
      <c r="F1277" s="1"/>
      <c r="H1277" s="1"/>
      <c r="I1277" s="1"/>
      <c r="J1277" s="1"/>
      <c r="K1277" s="1"/>
    </row>
    <row r="1278" spans="5:11" x14ac:dyDescent="0.2">
      <c r="E1278" s="1"/>
      <c r="F1278" s="1"/>
      <c r="H1278" s="1"/>
      <c r="I1278" s="1"/>
      <c r="J1278" s="1"/>
      <c r="K1278" s="1"/>
    </row>
    <row r="1279" spans="5:11" x14ac:dyDescent="0.2">
      <c r="E1279" s="1"/>
      <c r="F1279" s="1"/>
      <c r="H1279" s="1"/>
      <c r="I1279" s="1"/>
      <c r="J1279" s="1"/>
      <c r="K1279" s="1"/>
    </row>
    <row r="1280" spans="5:11" x14ac:dyDescent="0.2">
      <c r="E1280" s="1"/>
      <c r="F1280" s="1"/>
      <c r="H1280" s="1"/>
      <c r="I1280" s="1"/>
      <c r="J1280" s="1"/>
      <c r="K1280" s="1"/>
    </row>
    <row r="1281" spans="5:11" x14ac:dyDescent="0.2">
      <c r="E1281" s="1"/>
      <c r="F1281" s="1"/>
      <c r="H1281" s="1"/>
      <c r="I1281" s="1"/>
      <c r="J1281" s="1"/>
      <c r="K1281" s="1"/>
    </row>
    <row r="1282" spans="5:11" x14ac:dyDescent="0.2">
      <c r="E1282" s="1"/>
      <c r="F1282" s="1"/>
      <c r="H1282" s="1"/>
      <c r="I1282" s="1"/>
      <c r="J1282" s="1"/>
      <c r="K1282" s="1"/>
    </row>
    <row r="1283" spans="5:11" x14ac:dyDescent="0.2">
      <c r="E1283" s="1"/>
      <c r="F1283" s="1"/>
      <c r="H1283" s="1"/>
      <c r="I1283" s="1"/>
      <c r="J1283" s="1"/>
      <c r="K1283" s="1"/>
    </row>
    <row r="1284" spans="5:11" x14ac:dyDescent="0.2">
      <c r="E1284" s="1"/>
      <c r="F1284" s="1"/>
      <c r="H1284" s="1"/>
      <c r="I1284" s="1"/>
      <c r="J1284" s="1"/>
      <c r="K1284" s="1"/>
    </row>
    <row r="1285" spans="5:11" x14ac:dyDescent="0.2">
      <c r="E1285" s="1"/>
      <c r="F1285" s="1"/>
      <c r="H1285" s="1"/>
      <c r="I1285" s="1"/>
      <c r="J1285" s="1"/>
      <c r="K1285" s="1"/>
    </row>
    <row r="1286" spans="5:11" x14ac:dyDescent="0.2">
      <c r="E1286" s="1"/>
      <c r="F1286" s="1"/>
      <c r="H1286" s="1"/>
      <c r="I1286" s="1"/>
      <c r="J1286" s="1"/>
      <c r="K1286" s="1"/>
    </row>
    <row r="1287" spans="5:11" x14ac:dyDescent="0.2">
      <c r="E1287" s="1"/>
      <c r="F1287" s="1"/>
      <c r="H1287" s="1"/>
      <c r="I1287" s="1"/>
      <c r="J1287" s="1"/>
      <c r="K1287" s="1"/>
    </row>
    <row r="1288" spans="5:11" x14ac:dyDescent="0.2">
      <c r="E1288" s="1"/>
      <c r="F1288" s="1"/>
      <c r="H1288" s="1"/>
      <c r="I1288" s="1"/>
      <c r="J1288" s="1"/>
      <c r="K1288" s="1"/>
    </row>
    <row r="1289" spans="5:11" x14ac:dyDescent="0.2">
      <c r="E1289" s="1"/>
      <c r="F1289" s="1"/>
      <c r="H1289" s="1"/>
      <c r="I1289" s="1"/>
      <c r="J1289" s="1"/>
      <c r="K1289" s="1"/>
    </row>
    <row r="1290" spans="5:11" x14ac:dyDescent="0.2">
      <c r="E1290" s="1"/>
      <c r="F1290" s="1"/>
      <c r="H1290" s="1"/>
      <c r="I1290" s="1"/>
      <c r="J1290" s="1"/>
      <c r="K1290" s="1"/>
    </row>
    <row r="1291" spans="5:11" x14ac:dyDescent="0.2">
      <c r="E1291" s="1"/>
      <c r="F1291" s="1"/>
      <c r="H1291" s="1"/>
      <c r="I1291" s="1"/>
      <c r="J1291" s="1"/>
      <c r="K1291" s="1"/>
    </row>
    <row r="1292" spans="5:11" x14ac:dyDescent="0.2">
      <c r="E1292" s="1"/>
      <c r="F1292" s="1"/>
      <c r="H1292" s="1"/>
      <c r="I1292" s="1"/>
      <c r="J1292" s="1"/>
      <c r="K1292" s="1"/>
    </row>
    <row r="1293" spans="5:11" x14ac:dyDescent="0.2">
      <c r="E1293" s="1"/>
      <c r="F1293" s="1"/>
      <c r="H1293" s="1"/>
      <c r="I1293" s="1"/>
      <c r="J1293" s="1"/>
      <c r="K1293" s="1"/>
    </row>
    <row r="1294" spans="5:11" x14ac:dyDescent="0.2">
      <c r="E1294" s="1"/>
      <c r="F1294" s="1"/>
      <c r="H1294" s="1"/>
      <c r="I1294" s="1"/>
      <c r="J1294" s="1"/>
      <c r="K1294" s="1"/>
    </row>
    <row r="1295" spans="5:11" x14ac:dyDescent="0.2">
      <c r="E1295" s="1"/>
      <c r="F1295" s="1"/>
      <c r="H1295" s="1"/>
      <c r="I1295" s="1"/>
      <c r="J1295" s="1"/>
      <c r="K1295" s="1"/>
    </row>
    <row r="1296" spans="5:11" x14ac:dyDescent="0.2">
      <c r="E1296" s="1"/>
      <c r="F1296" s="1"/>
      <c r="H1296" s="1"/>
      <c r="I1296" s="1"/>
      <c r="J1296" s="1"/>
      <c r="K1296" s="1"/>
    </row>
    <row r="1297" spans="5:11" x14ac:dyDescent="0.2">
      <c r="E1297" s="1"/>
      <c r="F1297" s="1"/>
      <c r="H1297" s="1"/>
      <c r="I1297" s="1"/>
      <c r="J1297" s="1"/>
      <c r="K1297" s="1"/>
    </row>
    <row r="1298" spans="5:11" x14ac:dyDescent="0.2">
      <c r="E1298" s="1"/>
      <c r="F1298" s="1"/>
      <c r="H1298" s="1"/>
      <c r="I1298" s="1"/>
      <c r="J1298" s="1"/>
      <c r="K1298" s="1"/>
    </row>
    <row r="1299" spans="5:11" x14ac:dyDescent="0.2">
      <c r="E1299" s="1"/>
      <c r="F1299" s="1"/>
      <c r="H1299" s="1"/>
      <c r="I1299" s="1"/>
      <c r="J1299" s="1"/>
      <c r="K1299" s="1"/>
    </row>
    <row r="1300" spans="5:11" x14ac:dyDescent="0.2">
      <c r="E1300" s="1"/>
      <c r="F1300" s="1"/>
      <c r="H1300" s="1"/>
      <c r="I1300" s="1"/>
      <c r="J1300" s="1"/>
      <c r="K1300" s="1"/>
    </row>
    <row r="1301" spans="5:11" x14ac:dyDescent="0.2">
      <c r="E1301" s="1"/>
      <c r="F1301" s="1"/>
      <c r="H1301" s="1"/>
      <c r="I1301" s="1"/>
      <c r="J1301" s="1"/>
      <c r="K1301" s="1"/>
    </row>
    <row r="1302" spans="5:11" x14ac:dyDescent="0.2">
      <c r="E1302" s="1"/>
      <c r="F1302" s="1"/>
      <c r="H1302" s="1"/>
      <c r="I1302" s="1"/>
      <c r="J1302" s="1"/>
      <c r="K1302" s="1"/>
    </row>
    <row r="1303" spans="5:11" x14ac:dyDescent="0.2">
      <c r="E1303" s="1"/>
      <c r="F1303" s="1"/>
      <c r="H1303" s="1"/>
      <c r="I1303" s="1"/>
      <c r="J1303" s="1"/>
      <c r="K1303" s="1"/>
    </row>
    <row r="1304" spans="5:11" x14ac:dyDescent="0.2">
      <c r="E1304" s="1"/>
      <c r="F1304" s="1"/>
      <c r="H1304" s="1"/>
      <c r="I1304" s="1"/>
      <c r="J1304" s="1"/>
      <c r="K1304" s="1"/>
    </row>
    <row r="1305" spans="5:11" x14ac:dyDescent="0.2">
      <c r="E1305" s="1"/>
      <c r="F1305" s="1"/>
      <c r="H1305" s="1"/>
      <c r="I1305" s="1"/>
      <c r="J1305" s="1"/>
      <c r="K1305" s="1"/>
    </row>
    <row r="1306" spans="5:11" x14ac:dyDescent="0.2">
      <c r="E1306" s="1"/>
      <c r="F1306" s="1"/>
      <c r="H1306" s="1"/>
      <c r="I1306" s="1"/>
      <c r="J1306" s="1"/>
      <c r="K1306" s="1"/>
    </row>
    <row r="1307" spans="5:11" x14ac:dyDescent="0.2">
      <c r="E1307" s="1"/>
      <c r="F1307" s="1"/>
      <c r="H1307" s="1"/>
      <c r="I1307" s="1"/>
      <c r="J1307" s="1"/>
      <c r="K1307" s="1"/>
    </row>
    <row r="1308" spans="5:11" x14ac:dyDescent="0.2">
      <c r="E1308" s="1"/>
      <c r="F1308" s="1"/>
      <c r="H1308" s="1"/>
      <c r="I1308" s="1"/>
      <c r="J1308" s="1"/>
      <c r="K1308" s="1"/>
    </row>
    <row r="1309" spans="5:11" x14ac:dyDescent="0.2">
      <c r="E1309" s="1"/>
      <c r="F1309" s="1"/>
      <c r="H1309" s="1"/>
      <c r="I1309" s="1"/>
      <c r="J1309" s="1"/>
      <c r="K1309" s="1"/>
    </row>
    <row r="1310" spans="5:11" x14ac:dyDescent="0.2">
      <c r="E1310" s="1"/>
      <c r="F1310" s="1"/>
      <c r="H1310" s="1"/>
      <c r="I1310" s="1"/>
      <c r="J1310" s="1"/>
      <c r="K1310" s="1"/>
    </row>
    <row r="1311" spans="5:11" x14ac:dyDescent="0.2">
      <c r="E1311" s="1"/>
      <c r="F1311" s="1"/>
      <c r="H1311" s="1"/>
      <c r="I1311" s="1"/>
      <c r="J1311" s="1"/>
      <c r="K1311" s="1"/>
    </row>
    <row r="1312" spans="5:11" x14ac:dyDescent="0.2">
      <c r="E1312" s="1"/>
      <c r="F1312" s="1"/>
      <c r="H1312" s="1"/>
      <c r="I1312" s="1"/>
      <c r="J1312" s="1"/>
      <c r="K1312" s="1"/>
    </row>
    <row r="1313" spans="5:11" x14ac:dyDescent="0.2">
      <c r="E1313" s="1"/>
      <c r="F1313" s="1"/>
      <c r="H1313" s="1"/>
      <c r="I1313" s="1"/>
      <c r="J1313" s="1"/>
      <c r="K1313" s="1"/>
    </row>
    <row r="1314" spans="5:11" x14ac:dyDescent="0.2">
      <c r="E1314" s="1"/>
      <c r="F1314" s="1"/>
      <c r="H1314" s="1"/>
      <c r="I1314" s="1"/>
      <c r="J1314" s="1"/>
      <c r="K1314" s="1"/>
    </row>
    <row r="1315" spans="5:11" x14ac:dyDescent="0.2">
      <c r="E1315" s="1"/>
      <c r="F1315" s="1"/>
      <c r="H1315" s="1"/>
      <c r="I1315" s="1"/>
      <c r="J1315" s="1"/>
      <c r="K1315" s="1"/>
    </row>
    <row r="1316" spans="5:11" x14ac:dyDescent="0.2">
      <c r="E1316" s="1"/>
      <c r="F1316" s="1"/>
      <c r="H1316" s="1"/>
      <c r="I1316" s="1"/>
      <c r="J1316" s="1"/>
      <c r="K1316" s="1"/>
    </row>
    <row r="1317" spans="5:11" x14ac:dyDescent="0.2">
      <c r="E1317" s="1"/>
      <c r="F1317" s="1"/>
      <c r="H1317" s="1"/>
      <c r="I1317" s="1"/>
      <c r="J1317" s="1"/>
      <c r="K1317" s="1"/>
    </row>
    <row r="1318" spans="5:11" x14ac:dyDescent="0.2">
      <c r="E1318" s="1"/>
      <c r="F1318" s="1"/>
      <c r="H1318" s="1"/>
      <c r="I1318" s="1"/>
      <c r="J1318" s="1"/>
      <c r="K1318" s="1"/>
    </row>
    <row r="1319" spans="5:11" x14ac:dyDescent="0.2">
      <c r="E1319" s="1"/>
      <c r="F1319" s="1"/>
      <c r="H1319" s="1"/>
      <c r="I1319" s="1"/>
      <c r="J1319" s="1"/>
      <c r="K1319" s="1"/>
    </row>
    <row r="1320" spans="5:11" x14ac:dyDescent="0.2">
      <c r="E1320" s="1"/>
      <c r="F1320" s="1"/>
      <c r="H1320" s="1"/>
      <c r="I1320" s="1"/>
      <c r="J1320" s="1"/>
      <c r="K1320" s="1"/>
    </row>
    <row r="1321" spans="5:11" x14ac:dyDescent="0.2">
      <c r="E1321" s="1"/>
      <c r="F1321" s="1"/>
      <c r="H1321" s="1"/>
      <c r="I1321" s="1"/>
      <c r="J1321" s="1"/>
      <c r="K1321" s="1"/>
    </row>
    <row r="1322" spans="5:11" x14ac:dyDescent="0.2">
      <c r="E1322" s="1"/>
      <c r="F1322" s="1"/>
      <c r="H1322" s="1"/>
      <c r="I1322" s="1"/>
      <c r="J1322" s="1"/>
      <c r="K1322" s="1"/>
    </row>
    <row r="1323" spans="5:11" x14ac:dyDescent="0.2">
      <c r="E1323" s="1"/>
      <c r="F1323" s="1"/>
      <c r="H1323" s="1"/>
      <c r="I1323" s="1"/>
      <c r="J1323" s="1"/>
      <c r="K1323" s="1"/>
    </row>
    <row r="1324" spans="5:11" x14ac:dyDescent="0.2">
      <c r="E1324" s="1"/>
      <c r="F1324" s="1"/>
      <c r="H1324" s="1"/>
      <c r="I1324" s="1"/>
      <c r="J1324" s="1"/>
      <c r="K1324" s="1"/>
    </row>
    <row r="1325" spans="5:11" x14ac:dyDescent="0.2">
      <c r="E1325" s="1"/>
      <c r="F1325" s="1"/>
      <c r="H1325" s="1"/>
      <c r="I1325" s="1"/>
      <c r="J1325" s="1"/>
      <c r="K1325" s="1"/>
    </row>
    <row r="1326" spans="5:11" x14ac:dyDescent="0.2">
      <c r="E1326" s="1"/>
      <c r="F1326" s="1"/>
      <c r="H1326" s="1"/>
      <c r="I1326" s="1"/>
      <c r="J1326" s="1"/>
      <c r="K1326" s="1"/>
    </row>
    <row r="1327" spans="5:11" x14ac:dyDescent="0.2">
      <c r="E1327" s="1"/>
      <c r="F1327" s="1"/>
      <c r="H1327" s="1"/>
      <c r="I1327" s="1"/>
      <c r="J1327" s="1"/>
      <c r="K1327" s="1"/>
    </row>
    <row r="1328" spans="5:11" x14ac:dyDescent="0.2">
      <c r="E1328" s="1"/>
      <c r="F1328" s="1"/>
      <c r="H1328" s="1"/>
      <c r="I1328" s="1"/>
      <c r="J1328" s="1"/>
      <c r="K1328" s="1"/>
    </row>
    <row r="1329" spans="5:11" x14ac:dyDescent="0.2">
      <c r="E1329" s="1"/>
      <c r="F1329" s="1"/>
      <c r="H1329" s="1"/>
      <c r="I1329" s="1"/>
      <c r="J1329" s="1"/>
      <c r="K1329" s="1"/>
    </row>
    <row r="1330" spans="5:11" x14ac:dyDescent="0.2">
      <c r="E1330" s="1"/>
      <c r="F1330" s="1"/>
      <c r="H1330" s="1"/>
      <c r="I1330" s="1"/>
      <c r="J1330" s="1"/>
      <c r="K1330" s="1"/>
    </row>
    <row r="1331" spans="5:11" x14ac:dyDescent="0.2">
      <c r="E1331" s="1"/>
      <c r="F1331" s="1"/>
      <c r="H1331" s="1"/>
      <c r="I1331" s="1"/>
      <c r="J1331" s="1"/>
      <c r="K1331" s="1"/>
    </row>
    <row r="1332" spans="5:11" x14ac:dyDescent="0.2">
      <c r="E1332" s="1"/>
      <c r="F1332" s="1"/>
      <c r="H1332" s="1"/>
      <c r="I1332" s="1"/>
      <c r="J1332" s="1"/>
      <c r="K1332" s="1"/>
    </row>
    <row r="1333" spans="5:11" x14ac:dyDescent="0.2">
      <c r="E1333" s="1"/>
      <c r="F1333" s="1"/>
      <c r="H1333" s="1"/>
      <c r="I1333" s="1"/>
      <c r="J1333" s="1"/>
      <c r="K1333" s="1"/>
    </row>
    <row r="1334" spans="5:11" x14ac:dyDescent="0.2">
      <c r="E1334" s="1"/>
      <c r="F1334" s="1"/>
      <c r="H1334" s="1"/>
      <c r="I1334" s="1"/>
      <c r="J1334" s="1"/>
      <c r="K1334" s="1"/>
    </row>
    <row r="1335" spans="5:11" x14ac:dyDescent="0.2">
      <c r="E1335" s="1"/>
      <c r="F1335" s="1"/>
      <c r="H1335" s="1"/>
      <c r="I1335" s="1"/>
      <c r="J1335" s="1"/>
      <c r="K1335" s="1"/>
    </row>
    <row r="1336" spans="5:11" x14ac:dyDescent="0.2">
      <c r="E1336" s="1"/>
      <c r="F1336" s="1"/>
      <c r="H1336" s="1"/>
      <c r="I1336" s="1"/>
      <c r="J1336" s="1"/>
      <c r="K1336" s="1"/>
    </row>
    <row r="1337" spans="5:11" x14ac:dyDescent="0.2">
      <c r="E1337" s="1"/>
      <c r="F1337" s="1"/>
      <c r="H1337" s="1"/>
      <c r="I1337" s="1"/>
      <c r="J1337" s="1"/>
      <c r="K1337" s="1"/>
    </row>
    <row r="1338" spans="5:11" x14ac:dyDescent="0.2">
      <c r="E1338" s="1"/>
      <c r="F1338" s="1"/>
      <c r="H1338" s="1"/>
      <c r="I1338" s="1"/>
      <c r="J1338" s="1"/>
      <c r="K1338" s="1"/>
    </row>
    <row r="1339" spans="5:11" x14ac:dyDescent="0.2">
      <c r="E1339" s="1"/>
      <c r="F1339" s="1"/>
      <c r="H1339" s="1"/>
      <c r="I1339" s="1"/>
      <c r="J1339" s="1"/>
      <c r="K1339" s="1"/>
    </row>
    <row r="1340" spans="5:11" x14ac:dyDescent="0.2">
      <c r="E1340" s="1"/>
      <c r="F1340" s="1"/>
      <c r="H1340" s="1"/>
      <c r="I1340" s="1"/>
      <c r="J1340" s="1"/>
      <c r="K1340" s="1"/>
    </row>
    <row r="1341" spans="5:11" x14ac:dyDescent="0.2">
      <c r="E1341" s="1"/>
      <c r="F1341" s="1"/>
      <c r="H1341" s="1"/>
      <c r="I1341" s="1"/>
      <c r="J1341" s="1"/>
      <c r="K1341" s="1"/>
    </row>
    <row r="1342" spans="5:11" x14ac:dyDescent="0.2">
      <c r="E1342" s="1"/>
      <c r="F1342" s="1"/>
      <c r="H1342" s="1"/>
      <c r="I1342" s="1"/>
      <c r="J1342" s="1"/>
      <c r="K1342" s="1"/>
    </row>
    <row r="1343" spans="5:11" x14ac:dyDescent="0.2">
      <c r="E1343" s="1"/>
      <c r="F1343" s="1"/>
      <c r="H1343" s="1"/>
      <c r="I1343" s="1"/>
      <c r="J1343" s="1"/>
      <c r="K1343" s="1"/>
    </row>
    <row r="1344" spans="5:11" x14ac:dyDescent="0.2">
      <c r="E1344" s="1"/>
      <c r="F1344" s="1"/>
      <c r="H1344" s="1"/>
      <c r="I1344" s="1"/>
      <c r="J1344" s="1"/>
      <c r="K1344" s="1"/>
    </row>
    <row r="1345" spans="5:11" x14ac:dyDescent="0.2">
      <c r="E1345" s="1"/>
      <c r="F1345" s="1"/>
      <c r="H1345" s="1"/>
      <c r="I1345" s="1"/>
      <c r="J1345" s="1"/>
      <c r="K1345" s="1"/>
    </row>
    <row r="1346" spans="5:11" x14ac:dyDescent="0.2">
      <c r="E1346" s="1"/>
      <c r="F1346" s="1"/>
      <c r="H1346" s="1"/>
      <c r="I1346" s="1"/>
      <c r="J1346" s="1"/>
      <c r="K1346" s="1"/>
    </row>
    <row r="1347" spans="5:11" x14ac:dyDescent="0.2">
      <c r="E1347" s="1"/>
      <c r="F1347" s="1"/>
      <c r="H1347" s="1"/>
      <c r="I1347" s="1"/>
      <c r="J1347" s="1"/>
      <c r="K1347" s="1"/>
    </row>
    <row r="1348" spans="5:11" x14ac:dyDescent="0.2">
      <c r="E1348" s="1"/>
      <c r="F1348" s="1"/>
      <c r="H1348" s="1"/>
      <c r="I1348" s="1"/>
      <c r="J1348" s="1"/>
      <c r="K1348" s="1"/>
    </row>
    <row r="1349" spans="5:11" x14ac:dyDescent="0.2">
      <c r="E1349" s="1"/>
      <c r="F1349" s="1"/>
      <c r="H1349" s="1"/>
      <c r="I1349" s="1"/>
      <c r="J1349" s="1"/>
      <c r="K1349" s="1"/>
    </row>
    <row r="1350" spans="5:11" x14ac:dyDescent="0.2">
      <c r="E1350" s="1"/>
      <c r="F1350" s="1"/>
      <c r="H1350" s="1"/>
      <c r="I1350" s="1"/>
      <c r="J1350" s="1"/>
      <c r="K1350" s="1"/>
    </row>
    <row r="1351" spans="5:11" x14ac:dyDescent="0.2">
      <c r="E1351" s="1"/>
      <c r="F1351" s="1"/>
      <c r="H1351" s="1"/>
      <c r="I1351" s="1"/>
      <c r="J1351" s="1"/>
      <c r="K1351" s="1"/>
    </row>
    <row r="1352" spans="5:11" x14ac:dyDescent="0.2">
      <c r="E1352" s="1"/>
      <c r="F1352" s="1"/>
      <c r="H1352" s="1"/>
      <c r="I1352" s="1"/>
      <c r="J1352" s="1"/>
      <c r="K1352" s="1"/>
    </row>
    <row r="1353" spans="5:11" x14ac:dyDescent="0.2">
      <c r="E1353" s="1"/>
      <c r="F1353" s="1"/>
      <c r="H1353" s="1"/>
      <c r="I1353" s="1"/>
      <c r="J1353" s="1"/>
      <c r="K1353" s="1"/>
    </row>
    <row r="1354" spans="5:11" x14ac:dyDescent="0.2">
      <c r="E1354" s="1"/>
      <c r="F1354" s="1"/>
      <c r="H1354" s="1"/>
      <c r="I1354" s="1"/>
      <c r="J1354" s="1"/>
      <c r="K1354" s="1"/>
    </row>
    <row r="1355" spans="5:11" x14ac:dyDescent="0.2">
      <c r="E1355" s="1"/>
      <c r="F1355" s="1"/>
      <c r="H1355" s="1"/>
      <c r="I1355" s="1"/>
      <c r="J1355" s="1"/>
      <c r="K1355" s="1"/>
    </row>
    <row r="1356" spans="5:11" x14ac:dyDescent="0.2">
      <c r="E1356" s="1"/>
      <c r="F1356" s="1"/>
      <c r="H1356" s="1"/>
      <c r="I1356" s="1"/>
      <c r="J1356" s="1"/>
      <c r="K1356" s="1"/>
    </row>
    <row r="1357" spans="5:11" x14ac:dyDescent="0.2">
      <c r="E1357" s="1"/>
      <c r="F1357" s="1"/>
      <c r="H1357" s="1"/>
      <c r="I1357" s="1"/>
      <c r="J1357" s="1"/>
      <c r="K1357" s="1"/>
    </row>
    <row r="1358" spans="5:11" x14ac:dyDescent="0.2">
      <c r="E1358" s="1"/>
      <c r="F1358" s="1"/>
      <c r="H1358" s="1"/>
      <c r="I1358" s="1"/>
      <c r="J1358" s="1"/>
      <c r="K1358" s="1"/>
    </row>
    <row r="1359" spans="5:11" x14ac:dyDescent="0.2">
      <c r="E1359" s="1"/>
      <c r="F1359" s="1"/>
      <c r="H1359" s="1"/>
      <c r="I1359" s="1"/>
      <c r="J1359" s="1"/>
      <c r="K1359" s="1"/>
    </row>
    <row r="1360" spans="5:11" x14ac:dyDescent="0.2">
      <c r="E1360" s="1"/>
      <c r="F1360" s="1"/>
      <c r="H1360" s="1"/>
      <c r="I1360" s="1"/>
      <c r="J1360" s="1"/>
      <c r="K1360" s="1"/>
    </row>
    <row r="1361" spans="5:11" x14ac:dyDescent="0.2">
      <c r="E1361" s="1"/>
      <c r="F1361" s="1"/>
      <c r="H1361" s="1"/>
      <c r="I1361" s="1"/>
      <c r="J1361" s="1"/>
      <c r="K1361" s="1"/>
    </row>
    <row r="1362" spans="5:11" x14ac:dyDescent="0.2">
      <c r="E1362" s="1"/>
      <c r="F1362" s="1"/>
      <c r="H1362" s="1"/>
      <c r="I1362" s="1"/>
      <c r="J1362" s="1"/>
      <c r="K1362" s="1"/>
    </row>
    <row r="1363" spans="5:11" x14ac:dyDescent="0.2">
      <c r="E1363" s="1"/>
      <c r="F1363" s="1"/>
      <c r="H1363" s="1"/>
      <c r="I1363" s="1"/>
      <c r="J1363" s="1"/>
      <c r="K1363" s="1"/>
    </row>
    <row r="1364" spans="5:11" x14ac:dyDescent="0.2">
      <c r="E1364" s="1"/>
      <c r="F1364" s="1"/>
      <c r="H1364" s="1"/>
      <c r="I1364" s="1"/>
      <c r="J1364" s="1"/>
      <c r="K1364" s="1"/>
    </row>
    <row r="1365" spans="5:11" x14ac:dyDescent="0.2">
      <c r="E1365" s="1"/>
      <c r="F1365" s="1"/>
      <c r="H1365" s="1"/>
      <c r="I1365" s="1"/>
      <c r="J1365" s="1"/>
      <c r="K1365" s="1"/>
    </row>
    <row r="1366" spans="5:11" x14ac:dyDescent="0.2">
      <c r="E1366" s="1"/>
      <c r="F1366" s="1"/>
      <c r="H1366" s="1"/>
      <c r="I1366" s="1"/>
      <c r="J1366" s="1"/>
      <c r="K1366" s="1"/>
    </row>
    <row r="1367" spans="5:11" x14ac:dyDescent="0.2">
      <c r="E1367" s="1"/>
      <c r="F1367" s="1"/>
      <c r="H1367" s="1"/>
      <c r="I1367" s="1"/>
      <c r="J1367" s="1"/>
      <c r="K1367" s="1"/>
    </row>
    <row r="1368" spans="5:11" x14ac:dyDescent="0.2">
      <c r="E1368" s="1"/>
      <c r="F1368" s="1"/>
      <c r="H1368" s="1"/>
      <c r="I1368" s="1"/>
      <c r="J1368" s="1"/>
      <c r="K1368" s="1"/>
    </row>
    <row r="1369" spans="5:11" x14ac:dyDescent="0.2">
      <c r="E1369" s="1"/>
      <c r="F1369" s="1"/>
      <c r="H1369" s="1"/>
      <c r="I1369" s="1"/>
      <c r="J1369" s="1"/>
      <c r="K1369" s="1"/>
    </row>
    <row r="1370" spans="5:11" x14ac:dyDescent="0.2">
      <c r="E1370" s="1"/>
      <c r="F1370" s="1"/>
      <c r="H1370" s="1"/>
      <c r="I1370" s="1"/>
      <c r="J1370" s="1"/>
      <c r="K1370" s="1"/>
    </row>
    <row r="1371" spans="5:11" x14ac:dyDescent="0.2">
      <c r="E1371" s="1"/>
      <c r="F1371" s="1"/>
      <c r="H1371" s="1"/>
      <c r="I1371" s="1"/>
      <c r="J1371" s="1"/>
      <c r="K1371" s="1"/>
    </row>
    <row r="1372" spans="5:11" x14ac:dyDescent="0.2">
      <c r="E1372" s="1"/>
      <c r="F1372" s="1"/>
      <c r="H1372" s="1"/>
      <c r="I1372" s="1"/>
      <c r="J1372" s="1"/>
      <c r="K1372" s="1"/>
    </row>
    <row r="1373" spans="5:11" x14ac:dyDescent="0.2">
      <c r="E1373" s="1"/>
      <c r="F1373" s="1"/>
      <c r="H1373" s="1"/>
      <c r="I1373" s="1"/>
      <c r="J1373" s="1"/>
      <c r="K1373" s="1"/>
    </row>
    <row r="1374" spans="5:11" x14ac:dyDescent="0.2">
      <c r="E1374" s="1"/>
      <c r="F1374" s="1"/>
      <c r="H1374" s="1"/>
      <c r="I1374" s="1"/>
      <c r="J1374" s="1"/>
      <c r="K1374" s="1"/>
    </row>
    <row r="1375" spans="5:11" x14ac:dyDescent="0.2">
      <c r="E1375" s="1"/>
      <c r="F1375" s="1"/>
      <c r="H1375" s="1"/>
      <c r="I1375" s="1"/>
      <c r="J1375" s="1"/>
      <c r="K1375" s="1"/>
    </row>
    <row r="1376" spans="5:11" x14ac:dyDescent="0.2">
      <c r="E1376" s="1"/>
      <c r="F1376" s="1"/>
      <c r="H1376" s="1"/>
      <c r="I1376" s="1"/>
      <c r="J1376" s="1"/>
      <c r="K1376" s="1"/>
    </row>
    <row r="1377" spans="5:11" x14ac:dyDescent="0.2">
      <c r="E1377" s="1"/>
      <c r="F1377" s="1"/>
      <c r="H1377" s="1"/>
      <c r="I1377" s="1"/>
      <c r="J1377" s="1"/>
      <c r="K1377" s="1"/>
    </row>
    <row r="1378" spans="5:11" x14ac:dyDescent="0.2">
      <c r="E1378" s="1"/>
      <c r="F1378" s="1"/>
      <c r="H1378" s="1"/>
      <c r="I1378" s="1"/>
      <c r="J1378" s="1"/>
      <c r="K1378" s="1"/>
    </row>
    <row r="1379" spans="5:11" x14ac:dyDescent="0.2">
      <c r="E1379" s="1"/>
      <c r="F1379" s="1"/>
      <c r="H1379" s="1"/>
      <c r="I1379" s="1"/>
      <c r="J1379" s="1"/>
      <c r="K1379" s="1"/>
    </row>
    <row r="1380" spans="5:11" x14ac:dyDescent="0.2">
      <c r="E1380" s="1"/>
      <c r="F1380" s="1"/>
      <c r="H1380" s="1"/>
      <c r="I1380" s="1"/>
      <c r="J1380" s="1"/>
      <c r="K1380" s="1"/>
    </row>
    <row r="1381" spans="5:11" x14ac:dyDescent="0.2">
      <c r="E1381" s="1"/>
      <c r="F1381" s="1"/>
      <c r="H1381" s="1"/>
      <c r="I1381" s="1"/>
      <c r="J1381" s="1"/>
      <c r="K1381" s="1"/>
    </row>
    <row r="1382" spans="5:11" x14ac:dyDescent="0.2">
      <c r="E1382" s="1"/>
      <c r="F1382" s="1"/>
      <c r="H1382" s="1"/>
      <c r="I1382" s="1"/>
      <c r="J1382" s="1"/>
      <c r="K1382" s="1"/>
    </row>
    <row r="1383" spans="5:11" x14ac:dyDescent="0.2">
      <c r="E1383" s="1"/>
      <c r="F1383" s="1"/>
      <c r="H1383" s="1"/>
      <c r="I1383" s="1"/>
      <c r="J1383" s="1"/>
      <c r="K1383" s="1"/>
    </row>
    <row r="1384" spans="5:11" x14ac:dyDescent="0.2">
      <c r="E1384" s="1"/>
      <c r="F1384" s="1"/>
      <c r="H1384" s="1"/>
      <c r="I1384" s="1"/>
      <c r="J1384" s="1"/>
      <c r="K1384" s="1"/>
    </row>
    <row r="1385" spans="5:11" x14ac:dyDescent="0.2">
      <c r="E1385" s="1"/>
      <c r="F1385" s="1"/>
      <c r="H1385" s="1"/>
      <c r="I1385" s="1"/>
      <c r="J1385" s="1"/>
      <c r="K1385" s="1"/>
    </row>
    <row r="1386" spans="5:11" x14ac:dyDescent="0.2">
      <c r="E1386" s="1"/>
      <c r="F1386" s="1"/>
      <c r="H1386" s="1"/>
      <c r="I1386" s="1"/>
      <c r="J1386" s="1"/>
      <c r="K1386" s="1"/>
    </row>
    <row r="1387" spans="5:11" x14ac:dyDescent="0.2">
      <c r="E1387" s="1"/>
      <c r="F1387" s="1"/>
      <c r="H1387" s="1"/>
      <c r="I1387" s="1"/>
      <c r="J1387" s="1"/>
      <c r="K1387" s="1"/>
    </row>
    <row r="1388" spans="5:11" x14ac:dyDescent="0.2">
      <c r="E1388" s="1"/>
      <c r="F1388" s="1"/>
      <c r="H1388" s="1"/>
      <c r="I1388" s="1"/>
      <c r="J1388" s="1"/>
      <c r="K1388" s="1"/>
    </row>
    <row r="1389" spans="5:11" x14ac:dyDescent="0.2">
      <c r="E1389" s="1"/>
      <c r="F1389" s="1"/>
      <c r="H1389" s="1"/>
      <c r="I1389" s="1"/>
      <c r="J1389" s="1"/>
      <c r="K1389" s="1"/>
    </row>
    <row r="1390" spans="5:11" x14ac:dyDescent="0.2">
      <c r="E1390" s="1"/>
      <c r="F1390" s="1"/>
      <c r="H1390" s="1"/>
      <c r="I1390" s="1"/>
      <c r="J1390" s="1"/>
      <c r="K1390" s="1"/>
    </row>
    <row r="1391" spans="5:11" x14ac:dyDescent="0.2">
      <c r="E1391" s="1"/>
      <c r="F1391" s="1"/>
      <c r="H1391" s="1"/>
      <c r="I1391" s="1"/>
      <c r="J1391" s="1"/>
      <c r="K1391" s="1"/>
    </row>
    <row r="1392" spans="5:11" x14ac:dyDescent="0.2">
      <c r="E1392" s="1"/>
      <c r="F1392" s="1"/>
      <c r="H1392" s="1"/>
      <c r="I1392" s="1"/>
      <c r="J1392" s="1"/>
      <c r="K1392" s="1"/>
    </row>
    <row r="1393" spans="5:11" x14ac:dyDescent="0.2">
      <c r="E1393" s="1"/>
      <c r="F1393" s="1"/>
      <c r="H1393" s="1"/>
      <c r="I1393" s="1"/>
      <c r="J1393" s="1"/>
      <c r="K1393" s="1"/>
    </row>
    <row r="1394" spans="5:11" x14ac:dyDescent="0.2">
      <c r="E1394" s="1"/>
      <c r="F1394" s="1"/>
      <c r="H1394" s="1"/>
      <c r="I1394" s="1"/>
      <c r="J1394" s="1"/>
      <c r="K1394" s="1"/>
    </row>
    <row r="1395" spans="5:11" x14ac:dyDescent="0.2">
      <c r="E1395" s="1"/>
      <c r="F1395" s="1"/>
      <c r="H1395" s="1"/>
      <c r="I1395" s="1"/>
      <c r="J1395" s="1"/>
      <c r="K1395" s="1"/>
    </row>
    <row r="1396" spans="5:11" x14ac:dyDescent="0.2">
      <c r="E1396" s="1"/>
      <c r="F1396" s="1"/>
      <c r="H1396" s="1"/>
      <c r="I1396" s="1"/>
      <c r="J1396" s="1"/>
      <c r="K1396" s="1"/>
    </row>
    <row r="1397" spans="5:11" x14ac:dyDescent="0.2">
      <c r="E1397" s="1"/>
      <c r="F1397" s="1"/>
      <c r="H1397" s="1"/>
      <c r="I1397" s="1"/>
      <c r="J1397" s="1"/>
      <c r="K1397" s="1"/>
    </row>
    <row r="1398" spans="5:11" x14ac:dyDescent="0.2">
      <c r="E1398" s="1"/>
      <c r="F1398" s="1"/>
      <c r="H1398" s="1"/>
      <c r="I1398" s="1"/>
      <c r="J1398" s="1"/>
      <c r="K1398" s="1"/>
    </row>
    <row r="1399" spans="5:11" x14ac:dyDescent="0.2">
      <c r="E1399" s="1"/>
      <c r="F1399" s="1"/>
      <c r="H1399" s="1"/>
      <c r="I1399" s="1"/>
      <c r="J1399" s="1"/>
      <c r="K1399" s="1"/>
    </row>
    <row r="1400" spans="5:11" x14ac:dyDescent="0.2">
      <c r="E1400" s="1"/>
      <c r="F1400" s="1"/>
      <c r="H1400" s="1"/>
      <c r="I1400" s="1"/>
      <c r="J1400" s="1"/>
      <c r="K1400" s="1"/>
    </row>
    <row r="1401" spans="5:11" x14ac:dyDescent="0.2">
      <c r="E1401" s="1"/>
      <c r="F1401" s="1"/>
      <c r="H1401" s="1"/>
      <c r="I1401" s="1"/>
      <c r="J1401" s="1"/>
      <c r="K1401" s="1"/>
    </row>
    <row r="1402" spans="5:11" x14ac:dyDescent="0.2">
      <c r="E1402" s="1"/>
      <c r="F1402" s="1"/>
      <c r="H1402" s="1"/>
      <c r="I1402" s="1"/>
      <c r="J1402" s="1"/>
      <c r="K1402" s="1"/>
    </row>
    <row r="1403" spans="5:11" x14ac:dyDescent="0.2">
      <c r="E1403" s="1"/>
      <c r="F1403" s="1"/>
      <c r="H1403" s="1"/>
      <c r="I1403" s="1"/>
      <c r="J1403" s="1"/>
      <c r="K1403" s="1"/>
    </row>
    <row r="1404" spans="5:11" x14ac:dyDescent="0.2">
      <c r="E1404" s="1"/>
      <c r="F1404" s="1"/>
      <c r="H1404" s="1"/>
      <c r="I1404" s="1"/>
      <c r="J1404" s="1"/>
      <c r="K1404" s="1"/>
    </row>
    <row r="1405" spans="5:11" x14ac:dyDescent="0.2">
      <c r="E1405" s="1"/>
      <c r="F1405" s="1"/>
      <c r="H1405" s="1"/>
      <c r="I1405" s="1"/>
      <c r="J1405" s="1"/>
      <c r="K1405" s="1"/>
    </row>
    <row r="1406" spans="5:11" x14ac:dyDescent="0.2">
      <c r="E1406" s="1"/>
      <c r="F1406" s="1"/>
      <c r="H1406" s="1"/>
      <c r="I1406" s="1"/>
      <c r="J1406" s="1"/>
      <c r="K1406" s="1"/>
    </row>
    <row r="1407" spans="5:11" x14ac:dyDescent="0.2">
      <c r="E1407" s="1"/>
      <c r="F1407" s="1"/>
      <c r="H1407" s="1"/>
      <c r="I1407" s="1"/>
      <c r="J1407" s="1"/>
      <c r="K1407" s="1"/>
    </row>
    <row r="1408" spans="5:11" x14ac:dyDescent="0.2">
      <c r="E1408" s="1"/>
      <c r="F1408" s="1"/>
      <c r="H1408" s="1"/>
      <c r="I1408" s="1"/>
      <c r="J1408" s="1"/>
      <c r="K1408" s="1"/>
    </row>
    <row r="1409" spans="5:11" x14ac:dyDescent="0.2">
      <c r="E1409" s="1"/>
      <c r="F1409" s="1"/>
      <c r="H1409" s="1"/>
      <c r="I1409" s="1"/>
      <c r="J1409" s="1"/>
      <c r="K1409" s="1"/>
    </row>
    <row r="1410" spans="5:11" x14ac:dyDescent="0.2">
      <c r="E1410" s="1"/>
      <c r="F1410" s="1"/>
      <c r="H1410" s="1"/>
      <c r="I1410" s="1"/>
      <c r="J1410" s="1"/>
      <c r="K1410" s="1"/>
    </row>
    <row r="1411" spans="5:11" x14ac:dyDescent="0.2">
      <c r="E1411" s="1"/>
      <c r="F1411" s="1"/>
      <c r="H1411" s="1"/>
      <c r="I1411" s="1"/>
      <c r="J1411" s="1"/>
      <c r="K1411" s="1"/>
    </row>
    <row r="1412" spans="5:11" x14ac:dyDescent="0.2">
      <c r="E1412" s="1"/>
      <c r="F1412" s="1"/>
      <c r="H1412" s="1"/>
      <c r="I1412" s="1"/>
      <c r="J1412" s="1"/>
      <c r="K1412" s="1"/>
    </row>
    <row r="1413" spans="5:11" x14ac:dyDescent="0.2">
      <c r="E1413" s="1"/>
      <c r="F1413" s="1"/>
      <c r="H1413" s="1"/>
      <c r="I1413" s="1"/>
      <c r="J1413" s="1"/>
      <c r="K1413" s="1"/>
    </row>
    <row r="1414" spans="5:11" x14ac:dyDescent="0.2">
      <c r="E1414" s="1"/>
      <c r="F1414" s="1"/>
      <c r="H1414" s="1"/>
      <c r="I1414" s="1"/>
      <c r="J1414" s="1"/>
      <c r="K1414" s="1"/>
    </row>
    <row r="1415" spans="5:11" x14ac:dyDescent="0.2">
      <c r="E1415" s="1"/>
      <c r="F1415" s="1"/>
      <c r="H1415" s="1"/>
      <c r="I1415" s="1"/>
      <c r="J1415" s="1"/>
      <c r="K1415" s="1"/>
    </row>
    <row r="1416" spans="5:11" x14ac:dyDescent="0.2">
      <c r="E1416" s="1"/>
      <c r="F1416" s="1"/>
      <c r="H1416" s="1"/>
      <c r="I1416" s="1"/>
      <c r="J1416" s="1"/>
      <c r="K1416" s="1"/>
    </row>
    <row r="1417" spans="5:11" x14ac:dyDescent="0.2">
      <c r="E1417" s="1"/>
      <c r="F1417" s="1"/>
      <c r="H1417" s="1"/>
      <c r="I1417" s="1"/>
      <c r="J1417" s="1"/>
      <c r="K1417" s="1"/>
    </row>
    <row r="1418" spans="5:11" x14ac:dyDescent="0.2">
      <c r="E1418" s="1"/>
      <c r="F1418" s="1"/>
      <c r="H1418" s="1"/>
      <c r="I1418" s="1"/>
      <c r="J1418" s="1"/>
      <c r="K1418" s="1"/>
    </row>
    <row r="1419" spans="5:11" x14ac:dyDescent="0.2">
      <c r="E1419" s="1"/>
      <c r="F1419" s="1"/>
      <c r="H1419" s="1"/>
      <c r="I1419" s="1"/>
      <c r="J1419" s="1"/>
      <c r="K1419" s="1"/>
    </row>
    <row r="1420" spans="5:11" x14ac:dyDescent="0.2">
      <c r="E1420" s="1"/>
      <c r="F1420" s="1"/>
      <c r="H1420" s="1"/>
      <c r="I1420" s="1"/>
      <c r="J1420" s="1"/>
      <c r="K1420" s="1"/>
    </row>
    <row r="1421" spans="5:11" x14ac:dyDescent="0.2">
      <c r="E1421" s="1"/>
      <c r="F1421" s="1"/>
      <c r="H1421" s="1"/>
      <c r="I1421" s="1"/>
      <c r="J1421" s="1"/>
      <c r="K1421" s="1"/>
    </row>
    <row r="1422" spans="5:11" x14ac:dyDescent="0.2">
      <c r="E1422" s="1"/>
      <c r="F1422" s="1"/>
      <c r="H1422" s="1"/>
      <c r="I1422" s="1"/>
      <c r="J1422" s="1"/>
      <c r="K1422" s="1"/>
    </row>
    <row r="1423" spans="5:11" x14ac:dyDescent="0.2">
      <c r="E1423" s="1"/>
      <c r="F1423" s="1"/>
      <c r="H1423" s="1"/>
      <c r="I1423" s="1"/>
      <c r="J1423" s="1"/>
      <c r="K1423" s="1"/>
    </row>
    <row r="1424" spans="5:11" x14ac:dyDescent="0.2">
      <c r="E1424" s="1"/>
      <c r="F1424" s="1"/>
      <c r="H1424" s="1"/>
      <c r="I1424" s="1"/>
      <c r="J1424" s="1"/>
      <c r="K1424" s="1"/>
    </row>
    <row r="1425" spans="5:11" x14ac:dyDescent="0.2">
      <c r="E1425" s="1"/>
      <c r="F1425" s="1"/>
      <c r="H1425" s="1"/>
      <c r="I1425" s="1"/>
      <c r="J1425" s="1"/>
      <c r="K1425" s="1"/>
    </row>
    <row r="1426" spans="5:11" x14ac:dyDescent="0.2">
      <c r="E1426" s="1"/>
      <c r="F1426" s="1"/>
      <c r="H1426" s="1"/>
      <c r="I1426" s="1"/>
      <c r="J1426" s="1"/>
      <c r="K1426" s="1"/>
    </row>
    <row r="1427" spans="5:11" x14ac:dyDescent="0.2">
      <c r="E1427" s="1"/>
      <c r="F1427" s="1"/>
      <c r="H1427" s="1"/>
      <c r="I1427" s="1"/>
      <c r="J1427" s="1"/>
      <c r="K1427" s="1"/>
    </row>
    <row r="1428" spans="5:11" x14ac:dyDescent="0.2">
      <c r="E1428" s="1"/>
      <c r="F1428" s="1"/>
      <c r="H1428" s="1"/>
      <c r="I1428" s="1"/>
      <c r="J1428" s="1"/>
      <c r="K1428" s="1"/>
    </row>
    <row r="1429" spans="5:11" x14ac:dyDescent="0.2">
      <c r="E1429" s="1"/>
      <c r="F1429" s="1"/>
      <c r="H1429" s="1"/>
      <c r="I1429" s="1"/>
      <c r="J1429" s="1"/>
      <c r="K1429" s="1"/>
    </row>
    <row r="1430" spans="5:11" x14ac:dyDescent="0.2">
      <c r="E1430" s="1"/>
      <c r="F1430" s="1"/>
      <c r="H1430" s="1"/>
      <c r="I1430" s="1"/>
      <c r="J1430" s="1"/>
      <c r="K1430" s="1"/>
    </row>
    <row r="1431" spans="5:11" x14ac:dyDescent="0.2">
      <c r="E1431" s="1"/>
      <c r="F1431" s="1"/>
      <c r="H1431" s="1"/>
      <c r="I1431" s="1"/>
      <c r="J1431" s="1"/>
      <c r="K1431" s="1"/>
    </row>
    <row r="1432" spans="5:11" x14ac:dyDescent="0.2">
      <c r="E1432" s="1"/>
      <c r="F1432" s="1"/>
      <c r="H1432" s="1"/>
      <c r="I1432" s="1"/>
      <c r="J1432" s="1"/>
      <c r="K1432" s="1"/>
    </row>
    <row r="1433" spans="5:11" x14ac:dyDescent="0.2">
      <c r="E1433" s="1"/>
      <c r="F1433" s="1"/>
      <c r="H1433" s="1"/>
      <c r="I1433" s="1"/>
      <c r="J1433" s="1"/>
      <c r="K1433" s="1"/>
    </row>
    <row r="1434" spans="5:11" x14ac:dyDescent="0.2">
      <c r="E1434" s="1"/>
      <c r="F1434" s="1"/>
      <c r="H1434" s="1"/>
      <c r="I1434" s="1"/>
      <c r="J1434" s="1"/>
      <c r="K1434" s="1"/>
    </row>
    <row r="1435" spans="5:11" x14ac:dyDescent="0.2">
      <c r="E1435" s="1"/>
      <c r="F1435" s="1"/>
      <c r="H1435" s="1"/>
      <c r="I1435" s="1"/>
      <c r="J1435" s="1"/>
      <c r="K1435" s="1"/>
    </row>
    <row r="1436" spans="5:11" x14ac:dyDescent="0.2">
      <c r="E1436" s="1"/>
      <c r="F1436" s="1"/>
      <c r="H1436" s="1"/>
      <c r="I1436" s="1"/>
      <c r="J1436" s="1"/>
      <c r="K1436" s="1"/>
    </row>
    <row r="1437" spans="5:11" x14ac:dyDescent="0.2">
      <c r="E1437" s="1"/>
      <c r="F1437" s="1"/>
      <c r="H1437" s="1"/>
      <c r="I1437" s="1"/>
      <c r="J1437" s="1"/>
      <c r="K1437" s="1"/>
    </row>
    <row r="1438" spans="5:11" x14ac:dyDescent="0.2">
      <c r="E1438" s="1"/>
      <c r="F1438" s="1"/>
      <c r="H1438" s="1"/>
      <c r="I1438" s="1"/>
      <c r="J1438" s="1"/>
      <c r="K1438" s="1"/>
    </row>
    <row r="1439" spans="5:11" x14ac:dyDescent="0.2">
      <c r="E1439" s="1"/>
      <c r="F1439" s="1"/>
      <c r="H1439" s="1"/>
      <c r="I1439" s="1"/>
      <c r="J1439" s="1"/>
      <c r="K1439" s="1"/>
    </row>
    <row r="1440" spans="5:11" x14ac:dyDescent="0.2">
      <c r="E1440" s="1"/>
      <c r="F1440" s="1"/>
      <c r="H1440" s="1"/>
      <c r="I1440" s="1"/>
      <c r="J1440" s="1"/>
      <c r="K1440" s="1"/>
    </row>
    <row r="1441" spans="5:11" x14ac:dyDescent="0.2">
      <c r="E1441" s="1"/>
      <c r="F1441" s="1"/>
      <c r="H1441" s="1"/>
      <c r="I1441" s="1"/>
      <c r="J1441" s="1"/>
      <c r="K1441" s="1"/>
    </row>
    <row r="1442" spans="5:11" x14ac:dyDescent="0.2">
      <c r="E1442" s="1"/>
      <c r="F1442" s="1"/>
      <c r="H1442" s="1"/>
      <c r="I1442" s="1"/>
      <c r="J1442" s="1"/>
      <c r="K1442" s="1"/>
    </row>
    <row r="1443" spans="5:11" x14ac:dyDescent="0.2">
      <c r="E1443" s="1"/>
      <c r="F1443" s="1"/>
      <c r="H1443" s="1"/>
      <c r="I1443" s="1"/>
      <c r="J1443" s="1"/>
      <c r="K1443" s="1"/>
    </row>
    <row r="1444" spans="5:11" x14ac:dyDescent="0.2">
      <c r="E1444" s="1"/>
      <c r="F1444" s="1"/>
      <c r="H1444" s="1"/>
      <c r="I1444" s="1"/>
      <c r="J1444" s="1"/>
      <c r="K1444" s="1"/>
    </row>
    <row r="1445" spans="5:11" x14ac:dyDescent="0.2">
      <c r="E1445" s="1"/>
      <c r="F1445" s="1"/>
      <c r="H1445" s="1"/>
      <c r="I1445" s="1"/>
      <c r="J1445" s="1"/>
      <c r="K1445" s="1"/>
    </row>
    <row r="1446" spans="5:11" x14ac:dyDescent="0.2">
      <c r="E1446" s="1"/>
      <c r="F1446" s="1"/>
      <c r="H1446" s="1"/>
      <c r="I1446" s="1"/>
      <c r="J1446" s="1"/>
      <c r="K1446" s="1"/>
    </row>
    <row r="1447" spans="5:11" x14ac:dyDescent="0.2">
      <c r="E1447" s="1"/>
      <c r="F1447" s="1"/>
      <c r="H1447" s="1"/>
      <c r="I1447" s="1"/>
      <c r="J1447" s="1"/>
      <c r="K1447" s="1"/>
    </row>
    <row r="1448" spans="5:11" x14ac:dyDescent="0.2">
      <c r="E1448" s="1"/>
      <c r="F1448" s="1"/>
      <c r="H1448" s="1"/>
      <c r="I1448" s="1"/>
      <c r="J1448" s="1"/>
      <c r="K1448" s="1"/>
    </row>
    <row r="1449" spans="5:11" x14ac:dyDescent="0.2">
      <c r="E1449" s="1"/>
      <c r="F1449" s="1"/>
      <c r="H1449" s="1"/>
      <c r="I1449" s="1"/>
      <c r="J1449" s="1"/>
      <c r="K1449" s="1"/>
    </row>
    <row r="1450" spans="5:11" x14ac:dyDescent="0.2">
      <c r="E1450" s="1"/>
      <c r="F1450" s="1"/>
      <c r="H1450" s="1"/>
      <c r="I1450" s="1"/>
      <c r="J1450" s="1"/>
      <c r="K1450" s="1"/>
    </row>
    <row r="1451" spans="5:11" x14ac:dyDescent="0.2">
      <c r="E1451" s="1"/>
      <c r="F1451" s="1"/>
      <c r="H1451" s="1"/>
      <c r="I1451" s="1"/>
      <c r="J1451" s="1"/>
      <c r="K1451" s="1"/>
    </row>
    <row r="1452" spans="5:11" x14ac:dyDescent="0.2">
      <c r="E1452" s="1"/>
      <c r="F1452" s="1"/>
      <c r="H1452" s="1"/>
      <c r="I1452" s="1"/>
      <c r="J1452" s="1"/>
      <c r="K1452" s="1"/>
    </row>
    <row r="1453" spans="5:11" x14ac:dyDescent="0.2">
      <c r="E1453" s="1"/>
      <c r="F1453" s="1"/>
      <c r="H1453" s="1"/>
      <c r="I1453" s="1"/>
      <c r="J1453" s="1"/>
      <c r="K1453" s="1"/>
    </row>
    <row r="1454" spans="5:11" x14ac:dyDescent="0.2">
      <c r="E1454" s="1"/>
      <c r="F1454" s="1"/>
      <c r="H1454" s="1"/>
      <c r="I1454" s="1"/>
      <c r="J1454" s="1"/>
      <c r="K1454" s="1"/>
    </row>
    <row r="1455" spans="5:11" x14ac:dyDescent="0.2">
      <c r="E1455" s="1"/>
      <c r="F1455" s="1"/>
      <c r="H1455" s="1"/>
      <c r="I1455" s="1"/>
      <c r="J1455" s="1"/>
      <c r="K1455" s="1"/>
    </row>
    <row r="1456" spans="5:11" x14ac:dyDescent="0.2">
      <c r="E1456" s="1"/>
      <c r="F1456" s="1"/>
      <c r="H1456" s="1"/>
      <c r="I1456" s="1"/>
      <c r="J1456" s="1"/>
      <c r="K1456" s="1"/>
    </row>
    <row r="1457" spans="5:11" x14ac:dyDescent="0.2">
      <c r="E1457" s="1"/>
      <c r="F1457" s="1"/>
      <c r="H1457" s="1"/>
      <c r="I1457" s="1"/>
      <c r="J1457" s="1"/>
      <c r="K1457" s="1"/>
    </row>
    <row r="1458" spans="5:11" x14ac:dyDescent="0.2">
      <c r="E1458" s="1"/>
      <c r="F1458" s="1"/>
      <c r="H1458" s="1"/>
      <c r="I1458" s="1"/>
      <c r="J1458" s="1"/>
      <c r="K1458" s="1"/>
    </row>
    <row r="1459" spans="5:11" x14ac:dyDescent="0.2">
      <c r="E1459" s="1"/>
      <c r="F1459" s="1"/>
      <c r="H1459" s="1"/>
      <c r="I1459" s="1"/>
      <c r="J1459" s="1"/>
      <c r="K1459" s="1"/>
    </row>
    <row r="1460" spans="5:11" x14ac:dyDescent="0.2">
      <c r="E1460" s="1"/>
      <c r="F1460" s="1"/>
      <c r="H1460" s="1"/>
      <c r="I1460" s="1"/>
      <c r="J1460" s="1"/>
      <c r="K1460" s="1"/>
    </row>
    <row r="1461" spans="5:11" x14ac:dyDescent="0.2">
      <c r="E1461" s="1"/>
      <c r="F1461" s="1"/>
      <c r="H1461" s="1"/>
      <c r="I1461" s="1"/>
      <c r="J1461" s="1"/>
      <c r="K1461" s="1"/>
    </row>
    <row r="1462" spans="5:11" x14ac:dyDescent="0.2">
      <c r="E1462" s="1"/>
      <c r="F1462" s="1"/>
      <c r="H1462" s="1"/>
      <c r="I1462" s="1"/>
      <c r="J1462" s="1"/>
      <c r="K1462" s="1"/>
    </row>
    <row r="1463" spans="5:11" x14ac:dyDescent="0.2">
      <c r="E1463" s="1"/>
      <c r="F1463" s="1"/>
      <c r="H1463" s="1"/>
      <c r="I1463" s="1"/>
      <c r="J1463" s="1"/>
      <c r="K1463" s="1"/>
    </row>
    <row r="1464" spans="5:11" x14ac:dyDescent="0.2">
      <c r="E1464" s="1"/>
      <c r="F1464" s="1"/>
      <c r="H1464" s="1"/>
      <c r="I1464" s="1"/>
      <c r="J1464" s="1"/>
      <c r="K1464" s="1"/>
    </row>
    <row r="1465" spans="5:11" x14ac:dyDescent="0.2">
      <c r="E1465" s="1"/>
      <c r="F1465" s="1"/>
      <c r="H1465" s="1"/>
      <c r="I1465" s="1"/>
      <c r="J1465" s="1"/>
      <c r="K1465" s="1"/>
    </row>
    <row r="1466" spans="5:11" x14ac:dyDescent="0.2">
      <c r="E1466" s="1"/>
      <c r="F1466" s="1"/>
      <c r="H1466" s="1"/>
      <c r="I1466" s="1"/>
      <c r="J1466" s="1"/>
      <c r="K1466" s="1"/>
    </row>
    <row r="1467" spans="5:11" x14ac:dyDescent="0.2">
      <c r="E1467" s="1"/>
      <c r="F1467" s="1"/>
      <c r="H1467" s="1"/>
      <c r="I1467" s="1"/>
      <c r="J1467" s="1"/>
      <c r="K1467" s="1"/>
    </row>
    <row r="1468" spans="5:11" x14ac:dyDescent="0.2">
      <c r="E1468" s="1"/>
      <c r="F1468" s="1"/>
      <c r="H1468" s="1"/>
      <c r="I1468" s="1"/>
      <c r="J1468" s="1"/>
      <c r="K1468" s="1"/>
    </row>
    <row r="1469" spans="5:11" x14ac:dyDescent="0.2">
      <c r="E1469" s="1"/>
      <c r="F1469" s="1"/>
      <c r="H1469" s="1"/>
      <c r="I1469" s="1"/>
      <c r="J1469" s="1"/>
      <c r="K1469" s="1"/>
    </row>
    <row r="1470" spans="5:11" x14ac:dyDescent="0.2">
      <c r="E1470" s="1"/>
      <c r="F1470" s="1"/>
      <c r="H1470" s="1"/>
      <c r="I1470" s="1"/>
      <c r="J1470" s="1"/>
      <c r="K1470" s="1"/>
    </row>
    <row r="1471" spans="5:11" x14ac:dyDescent="0.2">
      <c r="E1471" s="1"/>
      <c r="F1471" s="1"/>
      <c r="H1471" s="1"/>
      <c r="I1471" s="1"/>
      <c r="J1471" s="1"/>
      <c r="K1471" s="1"/>
    </row>
    <row r="1472" spans="5:11" x14ac:dyDescent="0.2">
      <c r="E1472" s="1"/>
      <c r="F1472" s="1"/>
      <c r="H1472" s="1"/>
      <c r="I1472" s="1"/>
      <c r="J1472" s="1"/>
      <c r="K1472" s="1"/>
    </row>
    <row r="1473" spans="5:11" x14ac:dyDescent="0.2">
      <c r="E1473" s="1"/>
      <c r="F1473" s="1"/>
      <c r="H1473" s="1"/>
      <c r="I1473" s="1"/>
      <c r="J1473" s="1"/>
      <c r="K1473" s="1"/>
    </row>
    <row r="1474" spans="5:11" x14ac:dyDescent="0.2">
      <c r="E1474" s="1"/>
      <c r="F1474" s="1"/>
      <c r="H1474" s="1"/>
      <c r="I1474" s="1"/>
      <c r="J1474" s="1"/>
      <c r="K1474" s="1"/>
    </row>
    <row r="1475" spans="5:11" x14ac:dyDescent="0.2">
      <c r="E1475" s="1"/>
      <c r="F1475" s="1"/>
      <c r="H1475" s="1"/>
      <c r="I1475" s="1"/>
      <c r="J1475" s="1"/>
      <c r="K1475" s="1"/>
    </row>
    <row r="1476" spans="5:11" x14ac:dyDescent="0.2">
      <c r="E1476" s="1"/>
      <c r="F1476" s="1"/>
      <c r="H1476" s="1"/>
      <c r="I1476" s="1"/>
      <c r="J1476" s="1"/>
      <c r="K1476" s="1"/>
    </row>
    <row r="1477" spans="5:11" x14ac:dyDescent="0.2">
      <c r="E1477" s="1"/>
      <c r="F1477" s="1"/>
      <c r="H1477" s="1"/>
      <c r="I1477" s="1"/>
      <c r="J1477" s="1"/>
      <c r="K1477" s="1"/>
    </row>
    <row r="1478" spans="5:11" x14ac:dyDescent="0.2">
      <c r="E1478" s="1"/>
      <c r="F1478" s="1"/>
      <c r="H1478" s="1"/>
      <c r="I1478" s="1"/>
      <c r="J1478" s="1"/>
      <c r="K1478" s="1"/>
    </row>
    <row r="1479" spans="5:11" x14ac:dyDescent="0.2">
      <c r="E1479" s="1"/>
      <c r="F1479" s="1"/>
      <c r="H1479" s="1"/>
      <c r="I1479" s="1"/>
      <c r="J1479" s="1"/>
      <c r="K1479" s="1"/>
    </row>
    <row r="1480" spans="5:11" x14ac:dyDescent="0.2">
      <c r="E1480" s="1"/>
      <c r="F1480" s="1"/>
      <c r="H1480" s="1"/>
      <c r="I1480" s="1"/>
      <c r="J1480" s="1"/>
      <c r="K1480" s="1"/>
    </row>
    <row r="1481" spans="5:11" x14ac:dyDescent="0.2">
      <c r="E1481" s="1"/>
      <c r="F1481" s="1"/>
      <c r="H1481" s="1"/>
      <c r="I1481" s="1"/>
      <c r="J1481" s="1"/>
      <c r="K1481" s="1"/>
    </row>
    <row r="1482" spans="5:11" x14ac:dyDescent="0.2">
      <c r="E1482" s="1"/>
      <c r="F1482" s="1"/>
      <c r="H1482" s="1"/>
      <c r="I1482" s="1"/>
      <c r="J1482" s="1"/>
      <c r="K1482" s="1"/>
    </row>
    <row r="1483" spans="5:11" x14ac:dyDescent="0.2">
      <c r="E1483" s="1"/>
      <c r="F1483" s="1"/>
      <c r="H1483" s="1"/>
      <c r="I1483" s="1"/>
      <c r="J1483" s="1"/>
      <c r="K1483" s="1"/>
    </row>
    <row r="1484" spans="5:11" x14ac:dyDescent="0.2">
      <c r="E1484" s="1"/>
      <c r="F1484" s="1"/>
      <c r="H1484" s="1"/>
      <c r="I1484" s="1"/>
      <c r="J1484" s="1"/>
      <c r="K1484" s="1"/>
    </row>
    <row r="1485" spans="5:11" x14ac:dyDescent="0.2">
      <c r="E1485" s="1"/>
      <c r="F1485" s="1"/>
      <c r="H1485" s="1"/>
      <c r="I1485" s="1"/>
      <c r="J1485" s="1"/>
      <c r="K1485" s="1"/>
    </row>
    <row r="1486" spans="5:11" x14ac:dyDescent="0.2">
      <c r="E1486" s="1"/>
      <c r="F1486" s="1"/>
      <c r="H1486" s="1"/>
      <c r="I1486" s="1"/>
      <c r="J1486" s="1"/>
      <c r="K1486" s="1"/>
    </row>
    <row r="1487" spans="5:11" x14ac:dyDescent="0.2">
      <c r="E1487" s="1"/>
      <c r="F1487" s="1"/>
      <c r="H1487" s="1"/>
      <c r="I1487" s="1"/>
      <c r="J1487" s="1"/>
      <c r="K1487" s="1"/>
    </row>
    <row r="1488" spans="5:11" x14ac:dyDescent="0.2">
      <c r="E1488" s="1"/>
      <c r="F1488" s="1"/>
      <c r="H1488" s="1"/>
      <c r="I1488" s="1"/>
      <c r="J1488" s="1"/>
      <c r="K1488" s="1"/>
    </row>
    <row r="1489" spans="5:11" x14ac:dyDescent="0.2">
      <c r="E1489" s="1"/>
      <c r="F1489" s="1"/>
      <c r="H1489" s="1"/>
      <c r="I1489" s="1"/>
      <c r="J1489" s="1"/>
      <c r="K1489" s="1"/>
    </row>
    <row r="1490" spans="5:11" x14ac:dyDescent="0.2">
      <c r="E1490" s="1"/>
      <c r="F1490" s="1"/>
      <c r="H1490" s="1"/>
      <c r="I1490" s="1"/>
      <c r="J1490" s="1"/>
      <c r="K1490" s="1"/>
    </row>
    <row r="1491" spans="5:11" x14ac:dyDescent="0.2">
      <c r="E1491" s="1"/>
      <c r="F1491" s="1"/>
      <c r="H1491" s="1"/>
      <c r="I1491" s="1"/>
      <c r="J1491" s="1"/>
      <c r="K1491" s="1"/>
    </row>
    <row r="1492" spans="5:11" x14ac:dyDescent="0.2">
      <c r="E1492" s="1"/>
      <c r="F1492" s="1"/>
      <c r="H1492" s="1"/>
      <c r="I1492" s="1"/>
      <c r="J1492" s="1"/>
      <c r="K1492" s="1"/>
    </row>
    <row r="1493" spans="5:11" x14ac:dyDescent="0.2">
      <c r="E1493" s="1"/>
      <c r="F1493" s="1"/>
      <c r="H1493" s="1"/>
      <c r="I1493" s="1"/>
      <c r="J1493" s="1"/>
      <c r="K1493" s="1"/>
    </row>
    <row r="1494" spans="5:11" x14ac:dyDescent="0.2">
      <c r="E1494" s="1"/>
      <c r="F1494" s="1"/>
      <c r="H1494" s="1"/>
      <c r="I1494" s="1"/>
      <c r="J1494" s="1"/>
      <c r="K1494" s="1"/>
    </row>
    <row r="1495" spans="5:11" x14ac:dyDescent="0.2">
      <c r="E1495" s="1"/>
      <c r="F1495" s="1"/>
      <c r="H1495" s="1"/>
      <c r="I1495" s="1"/>
      <c r="J1495" s="1"/>
      <c r="K1495" s="1"/>
    </row>
    <row r="1496" spans="5:11" x14ac:dyDescent="0.2">
      <c r="E1496" s="1"/>
      <c r="F1496" s="1"/>
      <c r="H1496" s="1"/>
      <c r="I1496" s="1"/>
      <c r="J1496" s="1"/>
      <c r="K1496" s="1"/>
    </row>
    <row r="1497" spans="5:11" x14ac:dyDescent="0.2">
      <c r="E1497" s="1"/>
      <c r="F1497" s="1"/>
      <c r="H1497" s="1"/>
      <c r="I1497" s="1"/>
      <c r="J1497" s="1"/>
      <c r="K1497" s="1"/>
    </row>
    <row r="1498" spans="5:11" x14ac:dyDescent="0.2">
      <c r="E1498" s="1"/>
      <c r="F1498" s="1"/>
      <c r="H1498" s="1"/>
      <c r="I1498" s="1"/>
      <c r="J1498" s="1"/>
      <c r="K1498" s="1"/>
    </row>
    <row r="1499" spans="5:11" x14ac:dyDescent="0.2">
      <c r="E1499" s="1"/>
      <c r="F1499" s="1"/>
      <c r="H1499" s="1"/>
      <c r="I1499" s="1"/>
      <c r="J1499" s="1"/>
      <c r="K1499" s="1"/>
    </row>
    <row r="1500" spans="5:11" x14ac:dyDescent="0.2">
      <c r="E1500" s="1"/>
      <c r="F1500" s="1"/>
      <c r="H1500" s="1"/>
      <c r="I1500" s="1"/>
      <c r="J1500" s="1"/>
      <c r="K1500" s="1"/>
    </row>
    <row r="1501" spans="5:11" x14ac:dyDescent="0.2">
      <c r="E1501" s="1"/>
      <c r="F1501" s="1"/>
      <c r="H1501" s="1"/>
      <c r="I1501" s="1"/>
      <c r="J1501" s="1"/>
      <c r="K1501" s="1"/>
    </row>
    <row r="1502" spans="5:11" x14ac:dyDescent="0.2">
      <c r="E1502" s="1"/>
      <c r="F1502" s="1"/>
      <c r="H1502" s="1"/>
      <c r="I1502" s="1"/>
      <c r="J1502" s="1"/>
      <c r="K1502" s="1"/>
    </row>
    <row r="1503" spans="5:11" x14ac:dyDescent="0.2">
      <c r="E1503" s="1"/>
      <c r="F1503" s="1"/>
      <c r="H1503" s="1"/>
      <c r="I1503" s="1"/>
      <c r="J1503" s="1"/>
      <c r="K1503" s="1"/>
    </row>
    <row r="1504" spans="5:11" x14ac:dyDescent="0.2">
      <c r="E1504" s="1"/>
      <c r="F1504" s="1"/>
      <c r="H1504" s="1"/>
      <c r="I1504" s="1"/>
      <c r="J1504" s="1"/>
      <c r="K1504" s="1"/>
    </row>
    <row r="1505" spans="5:11" x14ac:dyDescent="0.2">
      <c r="E1505" s="1"/>
      <c r="F1505" s="1"/>
      <c r="H1505" s="1"/>
      <c r="I1505" s="1"/>
      <c r="J1505" s="1"/>
      <c r="K1505" s="1"/>
    </row>
    <row r="1506" spans="5:11" x14ac:dyDescent="0.2">
      <c r="E1506" s="1"/>
      <c r="F1506" s="1"/>
      <c r="H1506" s="1"/>
      <c r="I1506" s="1"/>
      <c r="J1506" s="1"/>
      <c r="K1506" s="1"/>
    </row>
    <row r="1507" spans="5:11" x14ac:dyDescent="0.2">
      <c r="E1507" s="1"/>
      <c r="F1507" s="1"/>
      <c r="H1507" s="1"/>
      <c r="I1507" s="1"/>
      <c r="J1507" s="1"/>
      <c r="K1507" s="1"/>
    </row>
    <row r="1508" spans="5:11" x14ac:dyDescent="0.2">
      <c r="E1508" s="1"/>
      <c r="F1508" s="1"/>
      <c r="H1508" s="1"/>
      <c r="I1508" s="1"/>
      <c r="J1508" s="1"/>
      <c r="K1508" s="1"/>
    </row>
    <row r="1509" spans="5:11" x14ac:dyDescent="0.2">
      <c r="E1509" s="1"/>
      <c r="F1509" s="1"/>
      <c r="H1509" s="1"/>
      <c r="I1509" s="1"/>
      <c r="J1509" s="1"/>
      <c r="K1509" s="1"/>
    </row>
    <row r="1510" spans="5:11" x14ac:dyDescent="0.2">
      <c r="E1510" s="1"/>
      <c r="F1510" s="1"/>
      <c r="H1510" s="1"/>
      <c r="I1510" s="1"/>
      <c r="J1510" s="1"/>
      <c r="K1510" s="1"/>
    </row>
    <row r="1511" spans="5:11" x14ac:dyDescent="0.2">
      <c r="E1511" s="1"/>
      <c r="F1511" s="1"/>
      <c r="H1511" s="1"/>
      <c r="I1511" s="1"/>
      <c r="J1511" s="1"/>
      <c r="K1511" s="1"/>
    </row>
    <row r="1512" spans="5:11" x14ac:dyDescent="0.2">
      <c r="E1512" s="1"/>
      <c r="F1512" s="1"/>
      <c r="H1512" s="1"/>
      <c r="I1512" s="1"/>
      <c r="J1512" s="1"/>
      <c r="K1512" s="1"/>
    </row>
    <row r="1513" spans="5:11" x14ac:dyDescent="0.2">
      <c r="E1513" s="1"/>
      <c r="F1513" s="1"/>
      <c r="H1513" s="1"/>
      <c r="I1513" s="1"/>
      <c r="J1513" s="1"/>
      <c r="K1513" s="1"/>
    </row>
    <row r="1514" spans="5:11" x14ac:dyDescent="0.2">
      <c r="E1514" s="1"/>
      <c r="F1514" s="1"/>
      <c r="H1514" s="1"/>
      <c r="I1514" s="1"/>
      <c r="J1514" s="1"/>
      <c r="K1514" s="1"/>
    </row>
    <row r="1515" spans="5:11" x14ac:dyDescent="0.2">
      <c r="E1515" s="1"/>
      <c r="F1515" s="1"/>
      <c r="H1515" s="1"/>
      <c r="I1515" s="1"/>
      <c r="J1515" s="1"/>
      <c r="K1515" s="1"/>
    </row>
    <row r="1516" spans="5:11" x14ac:dyDescent="0.2">
      <c r="E1516" s="1"/>
      <c r="F1516" s="1"/>
      <c r="H1516" s="1"/>
      <c r="I1516" s="1"/>
      <c r="J1516" s="1"/>
      <c r="K1516" s="1"/>
    </row>
    <row r="1517" spans="5:11" x14ac:dyDescent="0.2">
      <c r="E1517" s="1"/>
      <c r="F1517" s="1"/>
      <c r="H1517" s="1"/>
      <c r="I1517" s="1"/>
      <c r="J1517" s="1"/>
      <c r="K1517" s="1"/>
    </row>
    <row r="1518" spans="5:11" x14ac:dyDescent="0.2">
      <c r="E1518" s="1"/>
      <c r="F1518" s="1"/>
      <c r="H1518" s="1"/>
      <c r="I1518" s="1"/>
      <c r="J1518" s="1"/>
      <c r="K1518" s="1"/>
    </row>
    <row r="1519" spans="5:11" x14ac:dyDescent="0.2">
      <c r="E1519" s="1"/>
      <c r="F1519" s="1"/>
      <c r="H1519" s="1"/>
      <c r="I1519" s="1"/>
      <c r="J1519" s="1"/>
      <c r="K1519" s="1"/>
    </row>
    <row r="1520" spans="5:11" x14ac:dyDescent="0.2">
      <c r="E1520" s="1"/>
      <c r="F1520" s="1"/>
      <c r="H1520" s="1"/>
      <c r="I1520" s="1"/>
      <c r="J1520" s="1"/>
      <c r="K1520" s="1"/>
    </row>
    <row r="1521" spans="5:11" x14ac:dyDescent="0.2">
      <c r="E1521" s="1"/>
      <c r="F1521" s="1"/>
      <c r="H1521" s="1"/>
      <c r="I1521" s="1"/>
      <c r="J1521" s="1"/>
      <c r="K1521" s="1"/>
    </row>
    <row r="1522" spans="5:11" x14ac:dyDescent="0.2">
      <c r="E1522" s="1"/>
      <c r="F1522" s="1"/>
      <c r="H1522" s="1"/>
      <c r="I1522" s="1"/>
      <c r="J1522" s="1"/>
      <c r="K1522" s="1"/>
    </row>
    <row r="1523" spans="5:11" x14ac:dyDescent="0.2">
      <c r="E1523" s="1"/>
      <c r="F1523" s="1"/>
      <c r="H1523" s="1"/>
      <c r="I1523" s="1"/>
      <c r="J1523" s="1"/>
      <c r="K1523" s="1"/>
    </row>
    <row r="1524" spans="5:11" x14ac:dyDescent="0.2">
      <c r="E1524" s="1"/>
      <c r="F1524" s="1"/>
      <c r="H1524" s="1"/>
      <c r="I1524" s="1"/>
      <c r="J1524" s="1"/>
      <c r="K1524" s="1"/>
    </row>
    <row r="1525" spans="5:11" x14ac:dyDescent="0.2">
      <c r="E1525" s="1"/>
      <c r="F1525" s="1"/>
      <c r="H1525" s="1"/>
      <c r="I1525" s="1"/>
      <c r="J1525" s="1"/>
      <c r="K1525" s="1"/>
    </row>
    <row r="1526" spans="5:11" x14ac:dyDescent="0.2">
      <c r="E1526" s="1"/>
      <c r="F1526" s="1"/>
      <c r="H1526" s="1"/>
      <c r="I1526" s="1"/>
      <c r="J1526" s="1"/>
      <c r="K1526" s="1"/>
    </row>
    <row r="1527" spans="5:11" x14ac:dyDescent="0.2">
      <c r="E1527" s="1"/>
      <c r="F1527" s="1"/>
      <c r="H1527" s="1"/>
      <c r="I1527" s="1"/>
      <c r="J1527" s="1"/>
      <c r="K1527" s="1"/>
    </row>
    <row r="1528" spans="5:11" x14ac:dyDescent="0.2">
      <c r="E1528" s="1"/>
      <c r="F1528" s="1"/>
      <c r="H1528" s="1"/>
      <c r="I1528" s="1"/>
      <c r="J1528" s="1"/>
      <c r="K1528" s="1"/>
    </row>
    <row r="1529" spans="5:11" x14ac:dyDescent="0.2">
      <c r="E1529" s="1"/>
      <c r="F1529" s="1"/>
      <c r="H1529" s="1"/>
      <c r="I1529" s="1"/>
      <c r="J1529" s="1"/>
      <c r="K1529" s="1"/>
    </row>
    <row r="1530" spans="5:11" x14ac:dyDescent="0.2">
      <c r="E1530" s="1"/>
      <c r="F1530" s="1"/>
      <c r="H1530" s="1"/>
      <c r="I1530" s="1"/>
      <c r="J1530" s="1"/>
      <c r="K1530" s="1"/>
    </row>
    <row r="1531" spans="5:11" x14ac:dyDescent="0.2">
      <c r="E1531" s="1"/>
      <c r="F1531" s="1"/>
      <c r="H1531" s="1"/>
      <c r="I1531" s="1"/>
      <c r="J1531" s="1"/>
      <c r="K1531" s="1"/>
    </row>
    <row r="1532" spans="5:11" x14ac:dyDescent="0.2">
      <c r="E1532" s="1"/>
      <c r="F1532" s="1"/>
      <c r="H1532" s="1"/>
      <c r="I1532" s="1"/>
      <c r="J1532" s="1"/>
      <c r="K1532" s="1"/>
    </row>
    <row r="1533" spans="5:11" x14ac:dyDescent="0.2">
      <c r="E1533" s="1"/>
      <c r="F1533" s="1"/>
      <c r="H1533" s="1"/>
      <c r="I1533" s="1"/>
      <c r="J1533" s="1"/>
      <c r="K1533" s="1"/>
    </row>
    <row r="1534" spans="5:11" x14ac:dyDescent="0.2">
      <c r="E1534" s="1"/>
      <c r="F1534" s="1"/>
      <c r="H1534" s="1"/>
      <c r="I1534" s="1"/>
      <c r="J1534" s="1"/>
      <c r="K1534" s="1"/>
    </row>
    <row r="1535" spans="5:11" x14ac:dyDescent="0.2">
      <c r="E1535" s="1"/>
      <c r="F1535" s="1"/>
      <c r="H1535" s="1"/>
      <c r="I1535" s="1"/>
      <c r="J1535" s="1"/>
      <c r="K1535" s="1"/>
    </row>
    <row r="1536" spans="5:11" x14ac:dyDescent="0.2">
      <c r="E1536" s="1"/>
      <c r="F1536" s="1"/>
      <c r="H1536" s="1"/>
      <c r="I1536" s="1"/>
      <c r="J1536" s="1"/>
      <c r="K1536" s="1"/>
    </row>
    <row r="1537" spans="5:11" x14ac:dyDescent="0.2">
      <c r="E1537" s="1"/>
      <c r="F1537" s="1"/>
      <c r="H1537" s="1"/>
      <c r="I1537" s="1"/>
      <c r="J1537" s="1"/>
      <c r="K1537" s="1"/>
    </row>
    <row r="1538" spans="5:11" x14ac:dyDescent="0.2">
      <c r="E1538" s="1"/>
      <c r="F1538" s="1"/>
      <c r="H1538" s="1"/>
      <c r="I1538" s="1"/>
      <c r="J1538" s="1"/>
      <c r="K1538" s="1"/>
    </row>
    <row r="1539" spans="5:11" x14ac:dyDescent="0.2">
      <c r="E1539" s="1"/>
      <c r="F1539" s="1"/>
      <c r="H1539" s="1"/>
      <c r="I1539" s="1"/>
      <c r="J1539" s="1"/>
      <c r="K1539" s="1"/>
    </row>
    <row r="1540" spans="5:11" x14ac:dyDescent="0.2">
      <c r="E1540" s="1"/>
      <c r="F1540" s="1"/>
      <c r="H1540" s="1"/>
      <c r="I1540" s="1"/>
      <c r="J1540" s="1"/>
      <c r="K1540" s="1"/>
    </row>
    <row r="1541" spans="5:11" x14ac:dyDescent="0.2">
      <c r="E1541" s="1"/>
      <c r="F1541" s="1"/>
      <c r="H1541" s="1"/>
      <c r="I1541" s="1"/>
      <c r="J1541" s="1"/>
      <c r="K1541" s="1"/>
    </row>
    <row r="1542" spans="5:11" x14ac:dyDescent="0.2">
      <c r="E1542" s="1"/>
      <c r="F1542" s="1"/>
      <c r="H1542" s="1"/>
      <c r="I1542" s="1"/>
      <c r="J1542" s="1"/>
      <c r="K1542" s="1"/>
    </row>
    <row r="1543" spans="5:11" x14ac:dyDescent="0.2">
      <c r="E1543" s="1"/>
      <c r="F1543" s="1"/>
      <c r="H1543" s="1"/>
      <c r="I1543" s="1"/>
      <c r="J1543" s="1"/>
      <c r="K1543" s="1"/>
    </row>
    <row r="1544" spans="5:11" x14ac:dyDescent="0.2">
      <c r="E1544" s="1"/>
      <c r="F1544" s="1"/>
      <c r="H1544" s="1"/>
      <c r="I1544" s="1"/>
      <c r="J1544" s="1"/>
      <c r="K1544" s="1"/>
    </row>
    <row r="1545" spans="5:11" x14ac:dyDescent="0.2">
      <c r="E1545" s="1"/>
      <c r="F1545" s="1"/>
      <c r="H1545" s="1"/>
      <c r="I1545" s="1"/>
      <c r="J1545" s="1"/>
      <c r="K1545" s="1"/>
    </row>
    <row r="1546" spans="5:11" x14ac:dyDescent="0.2">
      <c r="E1546" s="1"/>
      <c r="F1546" s="1"/>
      <c r="H1546" s="1"/>
      <c r="I1546" s="1"/>
      <c r="J1546" s="1"/>
      <c r="K1546" s="1"/>
    </row>
    <row r="1547" spans="5:11" x14ac:dyDescent="0.2">
      <c r="E1547" s="1"/>
      <c r="F1547" s="1"/>
      <c r="H1547" s="1"/>
      <c r="I1547" s="1"/>
      <c r="J1547" s="1"/>
      <c r="K1547" s="1"/>
    </row>
    <row r="1548" spans="5:11" x14ac:dyDescent="0.2">
      <c r="E1548" s="1"/>
      <c r="F1548" s="1"/>
      <c r="H1548" s="1"/>
      <c r="I1548" s="1"/>
      <c r="J1548" s="1"/>
      <c r="K1548" s="1"/>
    </row>
    <row r="1549" spans="5:11" x14ac:dyDescent="0.2">
      <c r="E1549" s="1"/>
      <c r="F1549" s="1"/>
      <c r="H1549" s="1"/>
      <c r="I1549" s="1"/>
      <c r="J1549" s="1"/>
      <c r="K1549" s="1"/>
    </row>
    <row r="1550" spans="5:11" x14ac:dyDescent="0.2">
      <c r="E1550" s="1"/>
      <c r="F1550" s="1"/>
      <c r="H1550" s="1"/>
      <c r="I1550" s="1"/>
      <c r="J1550" s="1"/>
      <c r="K1550" s="1"/>
    </row>
    <row r="1551" spans="5:11" x14ac:dyDescent="0.2">
      <c r="E1551" s="1"/>
      <c r="F1551" s="1"/>
      <c r="H1551" s="1"/>
      <c r="I1551" s="1"/>
      <c r="J1551" s="1"/>
      <c r="K1551" s="1"/>
    </row>
    <row r="1552" spans="5:11" x14ac:dyDescent="0.2">
      <c r="E1552" s="1"/>
      <c r="F1552" s="1"/>
      <c r="H1552" s="1"/>
      <c r="I1552" s="1"/>
      <c r="J1552" s="1"/>
      <c r="K1552" s="1"/>
    </row>
    <row r="1553" spans="5:11" x14ac:dyDescent="0.2">
      <c r="E1553" s="1"/>
      <c r="F1553" s="1"/>
      <c r="H1553" s="1"/>
      <c r="I1553" s="1"/>
      <c r="J1553" s="1"/>
      <c r="K1553" s="1"/>
    </row>
    <row r="1554" spans="5:11" x14ac:dyDescent="0.2">
      <c r="E1554" s="1"/>
      <c r="F1554" s="1"/>
      <c r="H1554" s="1"/>
      <c r="I1554" s="1"/>
      <c r="J1554" s="1"/>
      <c r="K1554" s="1"/>
    </row>
    <row r="1555" spans="5:11" x14ac:dyDescent="0.2">
      <c r="E1555" s="1"/>
      <c r="F1555" s="1"/>
      <c r="H1555" s="1"/>
      <c r="I1555" s="1"/>
      <c r="J1555" s="1"/>
      <c r="K1555" s="1"/>
    </row>
    <row r="1556" spans="5:11" x14ac:dyDescent="0.2">
      <c r="E1556" s="1"/>
      <c r="F1556" s="1"/>
      <c r="H1556" s="1"/>
      <c r="I1556" s="1"/>
      <c r="J1556" s="1"/>
      <c r="K1556" s="1"/>
    </row>
    <row r="1557" spans="5:11" x14ac:dyDescent="0.2">
      <c r="E1557" s="1"/>
      <c r="F1557" s="1"/>
      <c r="H1557" s="1"/>
      <c r="I1557" s="1"/>
      <c r="J1557" s="1"/>
      <c r="K1557" s="1"/>
    </row>
    <row r="1558" spans="5:11" x14ac:dyDescent="0.2">
      <c r="E1558" s="1"/>
      <c r="F1558" s="1"/>
      <c r="H1558" s="1"/>
      <c r="I1558" s="1"/>
      <c r="J1558" s="1"/>
      <c r="K1558" s="1"/>
    </row>
    <row r="1559" spans="5:11" x14ac:dyDescent="0.2">
      <c r="E1559" s="1"/>
      <c r="F1559" s="1"/>
      <c r="H1559" s="1"/>
      <c r="I1559" s="1"/>
      <c r="J1559" s="1"/>
      <c r="K1559" s="1"/>
    </row>
    <row r="1560" spans="5:11" x14ac:dyDescent="0.2">
      <c r="E1560" s="1"/>
      <c r="F1560" s="1"/>
      <c r="H1560" s="1"/>
      <c r="I1560" s="1"/>
      <c r="J1560" s="1"/>
      <c r="K1560" s="1"/>
    </row>
    <row r="1561" spans="5:11" x14ac:dyDescent="0.2">
      <c r="E1561" s="1"/>
      <c r="F1561" s="1"/>
      <c r="H1561" s="1"/>
      <c r="I1561" s="1"/>
      <c r="J1561" s="1"/>
      <c r="K1561" s="1"/>
    </row>
    <row r="1562" spans="5:11" x14ac:dyDescent="0.2">
      <c r="E1562" s="1"/>
      <c r="F1562" s="1"/>
      <c r="H1562" s="1"/>
      <c r="I1562" s="1"/>
      <c r="J1562" s="1"/>
      <c r="K1562" s="1"/>
    </row>
    <row r="1563" spans="5:11" x14ac:dyDescent="0.2">
      <c r="E1563" s="1"/>
      <c r="F1563" s="1"/>
      <c r="H1563" s="1"/>
      <c r="I1563" s="1"/>
      <c r="J1563" s="1"/>
      <c r="K1563" s="1"/>
    </row>
    <row r="1564" spans="5:11" x14ac:dyDescent="0.2">
      <c r="E1564" s="1"/>
      <c r="F1564" s="1"/>
      <c r="H1564" s="1"/>
      <c r="I1564" s="1"/>
      <c r="J1564" s="1"/>
      <c r="K1564" s="1"/>
    </row>
    <row r="1565" spans="5:11" x14ac:dyDescent="0.2">
      <c r="E1565" s="1"/>
      <c r="F1565" s="1"/>
      <c r="H1565" s="1"/>
      <c r="I1565" s="1"/>
      <c r="J1565" s="1"/>
      <c r="K1565" s="1"/>
    </row>
    <row r="1566" spans="5:11" x14ac:dyDescent="0.2">
      <c r="E1566" s="1"/>
      <c r="F1566" s="1"/>
      <c r="H1566" s="1"/>
      <c r="I1566" s="1"/>
      <c r="J1566" s="1"/>
      <c r="K1566" s="1"/>
    </row>
    <row r="1567" spans="5:11" x14ac:dyDescent="0.2">
      <c r="E1567" s="1"/>
      <c r="F1567" s="1"/>
      <c r="H1567" s="1"/>
      <c r="I1567" s="1"/>
      <c r="J1567" s="1"/>
      <c r="K1567" s="1"/>
    </row>
    <row r="1568" spans="5:11" x14ac:dyDescent="0.2">
      <c r="E1568" s="1"/>
      <c r="F1568" s="1"/>
      <c r="H1568" s="1"/>
      <c r="I1568" s="1"/>
      <c r="J1568" s="1"/>
      <c r="K1568" s="1"/>
    </row>
    <row r="1569" spans="5:11" x14ac:dyDescent="0.2">
      <c r="E1569" s="1"/>
      <c r="F1569" s="1"/>
      <c r="H1569" s="1"/>
      <c r="I1569" s="1"/>
      <c r="J1569" s="1"/>
      <c r="K1569" s="1"/>
    </row>
    <row r="1570" spans="5:11" x14ac:dyDescent="0.2">
      <c r="E1570" s="1"/>
      <c r="F1570" s="1"/>
      <c r="H1570" s="1"/>
      <c r="I1570" s="1"/>
      <c r="J1570" s="1"/>
      <c r="K1570" s="1"/>
    </row>
    <row r="1571" spans="5:11" x14ac:dyDescent="0.2">
      <c r="E1571" s="1"/>
      <c r="F1571" s="1"/>
      <c r="H1571" s="1"/>
      <c r="I1571" s="1"/>
      <c r="J1571" s="1"/>
      <c r="K1571" s="1"/>
    </row>
    <row r="1572" spans="5:11" x14ac:dyDescent="0.2">
      <c r="E1572" s="1"/>
      <c r="F1572" s="1"/>
      <c r="H1572" s="1"/>
      <c r="I1572" s="1"/>
      <c r="J1572" s="1"/>
      <c r="K1572" s="1"/>
    </row>
    <row r="1573" spans="5:11" x14ac:dyDescent="0.2">
      <c r="E1573" s="1"/>
      <c r="F1573" s="1"/>
      <c r="H1573" s="1"/>
      <c r="I1573" s="1"/>
      <c r="J1573" s="1"/>
      <c r="K1573" s="1"/>
    </row>
    <row r="1574" spans="5:11" x14ac:dyDescent="0.2">
      <c r="E1574" s="1"/>
      <c r="F1574" s="1"/>
      <c r="H1574" s="1"/>
      <c r="I1574" s="1"/>
      <c r="J1574" s="1"/>
      <c r="K1574" s="1"/>
    </row>
    <row r="1575" spans="5:11" x14ac:dyDescent="0.2">
      <c r="E1575" s="1"/>
      <c r="F1575" s="1"/>
      <c r="H1575" s="1"/>
      <c r="I1575" s="1"/>
      <c r="J1575" s="1"/>
      <c r="K1575" s="1"/>
    </row>
    <row r="1576" spans="5:11" x14ac:dyDescent="0.2">
      <c r="E1576" s="1"/>
      <c r="F1576" s="1"/>
      <c r="H1576" s="1"/>
      <c r="I1576" s="1"/>
      <c r="J1576" s="1"/>
      <c r="K1576" s="1"/>
    </row>
    <row r="1577" spans="5:11" x14ac:dyDescent="0.2">
      <c r="E1577" s="1"/>
      <c r="F1577" s="1"/>
      <c r="H1577" s="1"/>
      <c r="I1577" s="1"/>
      <c r="J1577" s="1"/>
      <c r="K1577" s="1"/>
    </row>
    <row r="1578" spans="5:11" x14ac:dyDescent="0.2">
      <c r="E1578" s="1"/>
      <c r="F1578" s="1"/>
      <c r="H1578" s="1"/>
      <c r="I1578" s="1"/>
      <c r="J1578" s="1"/>
      <c r="K1578" s="1"/>
    </row>
    <row r="1579" spans="5:11" x14ac:dyDescent="0.2">
      <c r="E1579" s="1"/>
      <c r="F1579" s="1"/>
      <c r="H1579" s="1"/>
      <c r="I1579" s="1"/>
      <c r="J1579" s="1"/>
      <c r="K1579" s="1"/>
    </row>
    <row r="1580" spans="5:11" x14ac:dyDescent="0.2">
      <c r="E1580" s="1"/>
      <c r="F1580" s="1"/>
      <c r="H1580" s="1"/>
      <c r="I1580" s="1"/>
      <c r="J1580" s="1"/>
      <c r="K1580" s="1"/>
    </row>
    <row r="1581" spans="5:11" x14ac:dyDescent="0.2">
      <c r="E1581" s="1"/>
      <c r="F1581" s="1"/>
      <c r="H1581" s="1"/>
      <c r="I1581" s="1"/>
      <c r="J1581" s="1"/>
      <c r="K1581" s="1"/>
    </row>
    <row r="1582" spans="5:11" x14ac:dyDescent="0.2">
      <c r="E1582" s="1"/>
      <c r="F1582" s="1"/>
      <c r="H1582" s="1"/>
      <c r="I1582" s="1"/>
      <c r="J1582" s="1"/>
      <c r="K1582" s="1"/>
    </row>
    <row r="1583" spans="5:11" x14ac:dyDescent="0.2">
      <c r="E1583" s="1"/>
      <c r="F1583" s="1"/>
      <c r="H1583" s="1"/>
      <c r="I1583" s="1"/>
      <c r="J1583" s="1"/>
      <c r="K1583" s="1"/>
    </row>
    <row r="1584" spans="5:11" x14ac:dyDescent="0.2">
      <c r="E1584" s="1"/>
      <c r="F1584" s="1"/>
      <c r="H1584" s="1"/>
      <c r="I1584" s="1"/>
      <c r="J1584" s="1"/>
      <c r="K1584" s="1"/>
    </row>
    <row r="1585" spans="5:11" x14ac:dyDescent="0.2">
      <c r="E1585" s="1"/>
      <c r="F1585" s="1"/>
      <c r="H1585" s="1"/>
      <c r="I1585" s="1"/>
      <c r="J1585" s="1"/>
      <c r="K1585" s="1"/>
    </row>
    <row r="1586" spans="5:11" x14ac:dyDescent="0.2">
      <c r="E1586" s="1"/>
      <c r="F1586" s="1"/>
      <c r="H1586" s="1"/>
      <c r="I1586" s="1"/>
      <c r="J1586" s="1"/>
      <c r="K1586" s="1"/>
    </row>
    <row r="1587" spans="5:11" x14ac:dyDescent="0.2">
      <c r="E1587" s="1"/>
      <c r="F1587" s="1"/>
      <c r="H1587" s="1"/>
      <c r="I1587" s="1"/>
      <c r="J1587" s="1"/>
      <c r="K1587" s="1"/>
    </row>
    <row r="1588" spans="5:11" x14ac:dyDescent="0.2">
      <c r="E1588" s="1"/>
      <c r="F1588" s="1"/>
      <c r="H1588" s="1"/>
      <c r="I1588" s="1"/>
      <c r="J1588" s="1"/>
      <c r="K1588" s="1"/>
    </row>
    <row r="1589" spans="5:11" x14ac:dyDescent="0.2">
      <c r="E1589" s="1"/>
      <c r="F1589" s="1"/>
      <c r="H1589" s="1"/>
      <c r="I1589" s="1"/>
      <c r="J1589" s="1"/>
      <c r="K1589" s="1"/>
    </row>
    <row r="1590" spans="5:11" x14ac:dyDescent="0.2">
      <c r="E1590" s="1"/>
      <c r="F1590" s="1"/>
      <c r="H1590" s="1"/>
      <c r="I1590" s="1"/>
      <c r="J1590" s="1"/>
      <c r="K1590" s="1"/>
    </row>
    <row r="1591" spans="5:11" x14ac:dyDescent="0.2">
      <c r="E1591" s="1"/>
      <c r="F1591" s="1"/>
      <c r="H1591" s="1"/>
      <c r="I1591" s="1"/>
      <c r="J1591" s="1"/>
      <c r="K1591" s="1"/>
    </row>
    <row r="1592" spans="5:11" x14ac:dyDescent="0.2">
      <c r="E1592" s="1"/>
      <c r="F1592" s="1"/>
      <c r="H1592" s="1"/>
      <c r="I1592" s="1"/>
      <c r="J1592" s="1"/>
      <c r="K1592" s="1"/>
    </row>
    <row r="1593" spans="5:11" x14ac:dyDescent="0.2">
      <c r="E1593" s="1"/>
      <c r="F1593" s="1"/>
      <c r="H1593" s="1"/>
      <c r="I1593" s="1"/>
      <c r="J1593" s="1"/>
      <c r="K1593" s="1"/>
    </row>
    <row r="1594" spans="5:11" x14ac:dyDescent="0.2">
      <c r="E1594" s="1"/>
      <c r="F1594" s="1"/>
      <c r="H1594" s="1"/>
      <c r="I1594" s="1"/>
      <c r="J1594" s="1"/>
      <c r="K1594" s="1"/>
    </row>
    <row r="1595" spans="5:11" x14ac:dyDescent="0.2">
      <c r="E1595" s="1"/>
      <c r="F1595" s="1"/>
      <c r="H1595" s="1"/>
      <c r="I1595" s="1"/>
      <c r="J1595" s="1"/>
      <c r="K1595" s="1"/>
    </row>
    <row r="1596" spans="5:11" x14ac:dyDescent="0.2">
      <c r="E1596" s="1"/>
      <c r="F1596" s="1"/>
      <c r="H1596" s="1"/>
      <c r="I1596" s="1"/>
      <c r="J1596" s="1"/>
      <c r="K1596" s="1"/>
    </row>
    <row r="1597" spans="5:11" x14ac:dyDescent="0.2">
      <c r="E1597" s="1"/>
      <c r="F1597" s="1"/>
      <c r="H1597" s="1"/>
      <c r="I1597" s="1"/>
      <c r="J1597" s="1"/>
      <c r="K1597" s="1"/>
    </row>
    <row r="1598" spans="5:11" x14ac:dyDescent="0.2">
      <c r="E1598" s="1"/>
      <c r="F1598" s="1"/>
      <c r="H1598" s="1"/>
      <c r="I1598" s="1"/>
      <c r="J1598" s="1"/>
      <c r="K1598" s="1"/>
    </row>
    <row r="1599" spans="5:11" x14ac:dyDescent="0.2">
      <c r="E1599" s="1"/>
      <c r="F1599" s="1"/>
      <c r="H1599" s="1"/>
      <c r="I1599" s="1"/>
      <c r="J1599" s="1"/>
      <c r="K1599" s="1"/>
    </row>
    <row r="1600" spans="5:11" x14ac:dyDescent="0.2">
      <c r="E1600" s="1"/>
      <c r="F1600" s="1"/>
      <c r="H1600" s="1"/>
      <c r="I1600" s="1"/>
      <c r="J1600" s="1"/>
      <c r="K1600" s="1"/>
    </row>
    <row r="1601" spans="5:11" x14ac:dyDescent="0.2">
      <c r="E1601" s="1"/>
      <c r="F1601" s="1"/>
      <c r="H1601" s="1"/>
      <c r="I1601" s="1"/>
      <c r="J1601" s="1"/>
      <c r="K1601" s="1"/>
    </row>
    <row r="1602" spans="5:11" x14ac:dyDescent="0.2">
      <c r="E1602" s="1"/>
      <c r="F1602" s="1"/>
      <c r="H1602" s="1"/>
      <c r="I1602" s="1"/>
      <c r="J1602" s="1"/>
      <c r="K1602" s="1"/>
    </row>
    <row r="1603" spans="5:11" x14ac:dyDescent="0.2">
      <c r="E1603" s="1"/>
      <c r="F1603" s="1"/>
      <c r="H1603" s="1"/>
      <c r="I1603" s="1"/>
      <c r="J1603" s="1"/>
      <c r="K1603" s="1"/>
    </row>
    <row r="1604" spans="5:11" x14ac:dyDescent="0.2">
      <c r="E1604" s="1"/>
      <c r="F1604" s="1"/>
      <c r="H1604" s="1"/>
      <c r="I1604" s="1"/>
      <c r="J1604" s="1"/>
      <c r="K1604" s="1"/>
    </row>
    <row r="1605" spans="5:11" x14ac:dyDescent="0.2">
      <c r="E1605" s="1"/>
      <c r="F1605" s="1"/>
      <c r="H1605" s="1"/>
      <c r="I1605" s="1"/>
      <c r="J1605" s="1"/>
      <c r="K1605" s="1"/>
    </row>
    <row r="1606" spans="5:11" x14ac:dyDescent="0.2">
      <c r="E1606" s="1"/>
      <c r="F1606" s="1"/>
      <c r="H1606" s="1"/>
      <c r="I1606" s="1"/>
      <c r="J1606" s="1"/>
      <c r="K1606" s="1"/>
    </row>
    <row r="1607" spans="5:11" x14ac:dyDescent="0.2">
      <c r="E1607" s="1"/>
      <c r="F1607" s="1"/>
      <c r="H1607" s="1"/>
      <c r="I1607" s="1"/>
      <c r="J1607" s="1"/>
      <c r="K1607" s="1"/>
    </row>
    <row r="1608" spans="5:11" x14ac:dyDescent="0.2">
      <c r="E1608" s="1"/>
      <c r="F1608" s="1"/>
      <c r="H1608" s="1"/>
      <c r="I1608" s="1"/>
      <c r="J1608" s="1"/>
      <c r="K1608" s="1"/>
    </row>
    <row r="1609" spans="5:11" x14ac:dyDescent="0.2">
      <c r="E1609" s="1"/>
      <c r="F1609" s="1"/>
      <c r="H1609" s="1"/>
      <c r="I1609" s="1"/>
      <c r="J1609" s="1"/>
      <c r="K1609" s="1"/>
    </row>
    <row r="1610" spans="5:11" x14ac:dyDescent="0.2">
      <c r="E1610" s="1"/>
      <c r="F1610" s="1"/>
      <c r="H1610" s="1"/>
      <c r="I1610" s="1"/>
      <c r="J1610" s="1"/>
      <c r="K1610" s="1"/>
    </row>
    <row r="1611" spans="5:11" x14ac:dyDescent="0.2">
      <c r="E1611" s="1"/>
      <c r="F1611" s="1"/>
      <c r="H1611" s="1"/>
      <c r="I1611" s="1"/>
      <c r="J1611" s="1"/>
      <c r="K1611" s="1"/>
    </row>
    <row r="1612" spans="5:11" x14ac:dyDescent="0.2">
      <c r="E1612" s="1"/>
      <c r="F1612" s="1"/>
      <c r="H1612" s="1"/>
      <c r="I1612" s="1"/>
      <c r="J1612" s="1"/>
      <c r="K1612" s="1"/>
    </row>
    <row r="1613" spans="5:11" x14ac:dyDescent="0.2">
      <c r="E1613" s="1"/>
      <c r="F1613" s="1"/>
      <c r="H1613" s="1"/>
      <c r="I1613" s="1"/>
      <c r="J1613" s="1"/>
      <c r="K1613" s="1"/>
    </row>
    <row r="1614" spans="5:11" x14ac:dyDescent="0.2">
      <c r="E1614" s="1"/>
      <c r="F1614" s="1"/>
      <c r="H1614" s="1"/>
      <c r="I1614" s="1"/>
      <c r="J1614" s="1"/>
      <c r="K1614" s="1"/>
    </row>
    <row r="1615" spans="5:11" x14ac:dyDescent="0.2">
      <c r="E1615" s="1"/>
      <c r="F1615" s="1"/>
      <c r="H1615" s="1"/>
      <c r="I1615" s="1"/>
      <c r="J1615" s="1"/>
      <c r="K1615" s="1"/>
    </row>
    <row r="1616" spans="5:11" x14ac:dyDescent="0.2">
      <c r="E1616" s="1"/>
      <c r="F1616" s="1"/>
      <c r="H1616" s="1"/>
      <c r="I1616" s="1"/>
      <c r="J1616" s="1"/>
      <c r="K1616" s="1"/>
    </row>
    <row r="1617" spans="5:11" x14ac:dyDescent="0.2">
      <c r="E1617" s="1"/>
      <c r="F1617" s="1"/>
      <c r="H1617" s="1"/>
      <c r="I1617" s="1"/>
      <c r="J1617" s="1"/>
      <c r="K1617" s="1"/>
    </row>
    <row r="1618" spans="5:11" x14ac:dyDescent="0.2">
      <c r="E1618" s="1"/>
      <c r="F1618" s="1"/>
      <c r="H1618" s="1"/>
      <c r="I1618" s="1"/>
      <c r="J1618" s="1"/>
      <c r="K1618" s="1"/>
    </row>
    <row r="1619" spans="5:11" x14ac:dyDescent="0.2">
      <c r="E1619" s="1"/>
      <c r="F1619" s="1"/>
      <c r="H1619" s="1"/>
      <c r="I1619" s="1"/>
      <c r="J1619" s="1"/>
      <c r="K1619" s="1"/>
    </row>
    <row r="1620" spans="5:11" x14ac:dyDescent="0.2">
      <c r="E1620" s="1"/>
      <c r="F1620" s="1"/>
      <c r="H1620" s="1"/>
      <c r="I1620" s="1"/>
      <c r="J1620" s="1"/>
      <c r="K1620" s="1"/>
    </row>
    <row r="1621" spans="5:11" x14ac:dyDescent="0.2">
      <c r="E1621" s="1"/>
      <c r="F1621" s="1"/>
      <c r="H1621" s="1"/>
      <c r="I1621" s="1"/>
      <c r="J1621" s="1"/>
      <c r="K1621" s="1"/>
    </row>
    <row r="1622" spans="5:11" x14ac:dyDescent="0.2">
      <c r="E1622" s="1"/>
      <c r="F1622" s="1"/>
      <c r="H1622" s="1"/>
      <c r="I1622" s="1"/>
      <c r="J1622" s="1"/>
      <c r="K1622" s="1"/>
    </row>
    <row r="1623" spans="5:11" x14ac:dyDescent="0.2">
      <c r="E1623" s="1"/>
      <c r="F1623" s="1"/>
      <c r="H1623" s="1"/>
      <c r="I1623" s="1"/>
      <c r="J1623" s="1"/>
      <c r="K1623" s="1"/>
    </row>
    <row r="1624" spans="5:11" x14ac:dyDescent="0.2">
      <c r="E1624" s="1"/>
      <c r="F1624" s="1"/>
      <c r="H1624" s="1"/>
      <c r="I1624" s="1"/>
      <c r="J1624" s="1"/>
      <c r="K1624" s="1"/>
    </row>
    <row r="1625" spans="5:11" x14ac:dyDescent="0.2">
      <c r="E1625" s="1"/>
      <c r="F1625" s="1"/>
      <c r="H1625" s="1"/>
      <c r="I1625" s="1"/>
      <c r="J1625" s="1"/>
      <c r="K1625" s="1"/>
    </row>
    <row r="1626" spans="5:11" x14ac:dyDescent="0.2">
      <c r="E1626" s="1"/>
      <c r="F1626" s="1"/>
      <c r="H1626" s="1"/>
      <c r="I1626" s="1"/>
      <c r="J1626" s="1"/>
      <c r="K1626" s="1"/>
    </row>
    <row r="1627" spans="5:11" x14ac:dyDescent="0.2">
      <c r="E1627" s="1"/>
      <c r="F1627" s="1"/>
      <c r="H1627" s="1"/>
      <c r="I1627" s="1"/>
      <c r="J1627" s="1"/>
      <c r="K1627" s="1"/>
    </row>
    <row r="1628" spans="5:11" x14ac:dyDescent="0.2">
      <c r="E1628" s="1"/>
      <c r="F1628" s="1"/>
      <c r="H1628" s="1"/>
      <c r="I1628" s="1"/>
      <c r="J1628" s="1"/>
      <c r="K1628" s="1"/>
    </row>
    <row r="1629" spans="5:11" x14ac:dyDescent="0.2">
      <c r="E1629" s="1"/>
      <c r="F1629" s="1"/>
      <c r="H1629" s="1"/>
      <c r="I1629" s="1"/>
      <c r="J1629" s="1"/>
      <c r="K1629" s="1"/>
    </row>
    <row r="1630" spans="5:11" x14ac:dyDescent="0.2">
      <c r="E1630" s="1"/>
      <c r="F1630" s="1"/>
      <c r="H1630" s="1"/>
      <c r="I1630" s="1"/>
      <c r="J1630" s="1"/>
      <c r="K1630" s="1"/>
    </row>
    <row r="1631" spans="5:11" x14ac:dyDescent="0.2">
      <c r="E1631" s="1"/>
      <c r="F1631" s="1"/>
      <c r="H1631" s="1"/>
      <c r="I1631" s="1"/>
      <c r="J1631" s="1"/>
      <c r="K1631" s="1"/>
    </row>
    <row r="1632" spans="5:11" x14ac:dyDescent="0.2">
      <c r="E1632" s="1"/>
      <c r="F1632" s="1"/>
      <c r="H1632" s="1"/>
      <c r="I1632" s="1"/>
      <c r="J1632" s="1"/>
      <c r="K1632" s="1"/>
    </row>
    <row r="1633" spans="5:11" x14ac:dyDescent="0.2">
      <c r="E1633" s="1"/>
      <c r="F1633" s="1"/>
      <c r="H1633" s="1"/>
      <c r="I1633" s="1"/>
      <c r="J1633" s="1"/>
      <c r="K1633" s="1"/>
    </row>
    <row r="1634" spans="5:11" x14ac:dyDescent="0.2">
      <c r="E1634" s="1"/>
      <c r="F1634" s="1"/>
      <c r="H1634" s="1"/>
      <c r="I1634" s="1"/>
      <c r="J1634" s="1"/>
      <c r="K1634" s="1"/>
    </row>
    <row r="1635" spans="5:11" x14ac:dyDescent="0.2">
      <c r="E1635" s="1"/>
      <c r="F1635" s="1"/>
      <c r="H1635" s="1"/>
      <c r="I1635" s="1"/>
      <c r="J1635" s="1"/>
      <c r="K1635" s="1"/>
    </row>
    <row r="1636" spans="5:11" x14ac:dyDescent="0.2">
      <c r="E1636" s="1"/>
      <c r="F1636" s="1"/>
      <c r="H1636" s="1"/>
      <c r="I1636" s="1"/>
      <c r="J1636" s="1"/>
      <c r="K1636" s="1"/>
    </row>
    <row r="1637" spans="5:11" x14ac:dyDescent="0.2">
      <c r="E1637" s="1"/>
      <c r="F1637" s="1"/>
      <c r="H1637" s="1"/>
      <c r="I1637" s="1"/>
      <c r="J1637" s="1"/>
      <c r="K1637" s="1"/>
    </row>
    <row r="1638" spans="5:11" x14ac:dyDescent="0.2">
      <c r="E1638" s="1"/>
      <c r="F1638" s="1"/>
      <c r="H1638" s="1"/>
      <c r="I1638" s="1"/>
      <c r="J1638" s="1"/>
      <c r="K1638" s="1"/>
    </row>
    <row r="1639" spans="5:11" x14ac:dyDescent="0.2">
      <c r="E1639" s="1"/>
      <c r="F1639" s="1"/>
      <c r="H1639" s="1"/>
      <c r="I1639" s="1"/>
      <c r="J1639" s="1"/>
      <c r="K1639" s="1"/>
    </row>
  </sheetData>
  <mergeCells count="1233">
    <mergeCell ref="B15:E15"/>
    <mergeCell ref="X15:AA15"/>
    <mergeCell ref="B423:E423"/>
    <mergeCell ref="B220:E220"/>
    <mergeCell ref="B281:E281"/>
    <mergeCell ref="B348:E348"/>
    <mergeCell ref="X239:AA240"/>
    <mergeCell ref="B352:E352"/>
    <mergeCell ref="X373:AA373"/>
    <mergeCell ref="B288:E288"/>
    <mergeCell ref="B322:E322"/>
    <mergeCell ref="B395:E395"/>
    <mergeCell ref="B418:E418"/>
    <mergeCell ref="B403:E403"/>
    <mergeCell ref="B411:E411"/>
    <mergeCell ref="B394:E394"/>
    <mergeCell ref="B303:E303"/>
    <mergeCell ref="B410:E410"/>
    <mergeCell ref="X408:AA408"/>
    <mergeCell ref="B330:E330"/>
    <mergeCell ref="B354:E354"/>
    <mergeCell ref="B375:E375"/>
    <mergeCell ref="B382:E382"/>
    <mergeCell ref="B372:E372"/>
    <mergeCell ref="X338:AA338"/>
    <mergeCell ref="G113:M113"/>
    <mergeCell ref="B113:E113"/>
    <mergeCell ref="X113:AA113"/>
    <mergeCell ref="B114:E114"/>
    <mergeCell ref="G114:M114"/>
    <mergeCell ref="X114:AA114"/>
    <mergeCell ref="B115:E115"/>
    <mergeCell ref="B649:E649"/>
    <mergeCell ref="B650:E650"/>
    <mergeCell ref="X559:AA560"/>
    <mergeCell ref="AB559:AB560"/>
    <mergeCell ref="AF559:AH559"/>
    <mergeCell ref="B732:E732"/>
    <mergeCell ref="X732:AA732"/>
    <mergeCell ref="B729:E729"/>
    <mergeCell ref="X729:AA729"/>
    <mergeCell ref="B466:E466"/>
    <mergeCell ref="X280:AA280"/>
    <mergeCell ref="X321:AA321"/>
    <mergeCell ref="X311:AA311"/>
    <mergeCell ref="B306:E306"/>
    <mergeCell ref="H399:W399"/>
    <mergeCell ref="C399:E400"/>
    <mergeCell ref="B342:E342"/>
    <mergeCell ref="B285:E285"/>
    <mergeCell ref="B302:E302"/>
    <mergeCell ref="B646:E646"/>
    <mergeCell ref="B647:E647"/>
    <mergeCell ref="B538:E538"/>
    <mergeCell ref="B539:E539"/>
    <mergeCell ref="B522:E522"/>
    <mergeCell ref="B541:E541"/>
    <mergeCell ref="B407:E407"/>
    <mergeCell ref="B356:E356"/>
    <mergeCell ref="B350:E350"/>
    <mergeCell ref="X328:AA328"/>
    <mergeCell ref="B389:E389"/>
    <mergeCell ref="B360:E360"/>
    <mergeCell ref="B289:E289"/>
    <mergeCell ref="X344:AA344"/>
    <mergeCell ref="B645:E645"/>
    <mergeCell ref="X327:AA327"/>
    <mergeCell ref="B205:E205"/>
    <mergeCell ref="B304:E304"/>
    <mergeCell ref="X288:AA288"/>
    <mergeCell ref="B366:E366"/>
    <mergeCell ref="B353:E353"/>
    <mergeCell ref="B362:E362"/>
    <mergeCell ref="B345:E345"/>
    <mergeCell ref="B371:E371"/>
    <mergeCell ref="B357:E357"/>
    <mergeCell ref="B301:E301"/>
    <mergeCell ref="B424:E424"/>
    <mergeCell ref="B412:E412"/>
    <mergeCell ref="X405:AA405"/>
    <mergeCell ref="B384:E384"/>
    <mergeCell ref="B347:E347"/>
    <mergeCell ref="X341:AA341"/>
    <mergeCell ref="F399:F400"/>
    <mergeCell ref="B373:E373"/>
    <mergeCell ref="B216:E216"/>
    <mergeCell ref="B335:E335"/>
    <mergeCell ref="X335:AA335"/>
    <mergeCell ref="X342:AA342"/>
    <mergeCell ref="B293:E293"/>
    <mergeCell ref="X337:AA337"/>
    <mergeCell ref="X332:AA332"/>
    <mergeCell ref="B298:E298"/>
    <mergeCell ref="X336:AA336"/>
    <mergeCell ref="B312:E312"/>
    <mergeCell ref="X324:AA324"/>
    <mergeCell ref="X314:AA314"/>
    <mergeCell ref="B323:E323"/>
    <mergeCell ref="B336:E336"/>
    <mergeCell ref="B321:E321"/>
    <mergeCell ref="X339:AA339"/>
    <mergeCell ref="B337:E337"/>
    <mergeCell ref="B341:E341"/>
    <mergeCell ref="X325:AA325"/>
    <mergeCell ref="X186:AA186"/>
    <mergeCell ref="B184:E184"/>
    <mergeCell ref="B252:E252"/>
    <mergeCell ref="H319:W319"/>
    <mergeCell ref="X255:AA255"/>
    <mergeCell ref="B260:E260"/>
    <mergeCell ref="B204:E204"/>
    <mergeCell ref="B333:E333"/>
    <mergeCell ref="B340:E340"/>
    <mergeCell ref="X203:AA203"/>
    <mergeCell ref="B198:E198"/>
    <mergeCell ref="X192:AA192"/>
    <mergeCell ref="X189:AA189"/>
    <mergeCell ref="X201:AA201"/>
    <mergeCell ref="H198:K203"/>
    <mergeCell ref="X200:AA200"/>
    <mergeCell ref="X310:AA310"/>
    <mergeCell ref="X306:AA306"/>
    <mergeCell ref="X323:AA323"/>
    <mergeCell ref="X312:AA312"/>
    <mergeCell ref="Q232:W232"/>
    <mergeCell ref="B268:E268"/>
    <mergeCell ref="X268:AA268"/>
    <mergeCell ref="X283:AA283"/>
    <mergeCell ref="X486:AA486"/>
    <mergeCell ref="B605:E605"/>
    <mergeCell ref="B474:E474"/>
    <mergeCell ref="B519:E519"/>
    <mergeCell ref="F559:F560"/>
    <mergeCell ref="G559:G560"/>
    <mergeCell ref="H559:W559"/>
    <mergeCell ref="X498:AA498"/>
    <mergeCell ref="B439:E439"/>
    <mergeCell ref="B440:E440"/>
    <mergeCell ref="B432:E432"/>
    <mergeCell ref="B479:B480"/>
    <mergeCell ref="C479:E480"/>
    <mergeCell ref="B455:E455"/>
    <mergeCell ref="B509:E509"/>
    <mergeCell ref="I500:M502"/>
    <mergeCell ref="X439:AA439"/>
    <mergeCell ref="B513:E513"/>
    <mergeCell ref="B520:E520"/>
    <mergeCell ref="B514:E514"/>
    <mergeCell ref="B511:E511"/>
    <mergeCell ref="B505:E505"/>
    <mergeCell ref="B533:E533"/>
    <mergeCell ref="B510:E510"/>
    <mergeCell ref="B502:E502"/>
    <mergeCell ref="B508:E508"/>
    <mergeCell ref="B493:E493"/>
    <mergeCell ref="B501:E501"/>
    <mergeCell ref="X484:AA484"/>
    <mergeCell ref="B500:E500"/>
    <mergeCell ref="X473:AA473"/>
    <mergeCell ref="B448:E448"/>
    <mergeCell ref="B343:E343"/>
    <mergeCell ref="X437:AA437"/>
    <mergeCell ref="B441:E441"/>
    <mergeCell ref="B491:E491"/>
    <mergeCell ref="X491:AA491"/>
    <mergeCell ref="X457:AA457"/>
    <mergeCell ref="X455:AA455"/>
    <mergeCell ref="B526:E526"/>
    <mergeCell ref="B518:E518"/>
    <mergeCell ref="X487:AA487"/>
    <mergeCell ref="I506:M511"/>
    <mergeCell ref="B453:E453"/>
    <mergeCell ref="B506:E506"/>
    <mergeCell ref="B457:E457"/>
    <mergeCell ref="B482:E482"/>
    <mergeCell ref="B445:E445"/>
    <mergeCell ref="B447:E447"/>
    <mergeCell ref="B504:E504"/>
    <mergeCell ref="B489:E489"/>
    <mergeCell ref="B449:E449"/>
    <mergeCell ref="X523:AA523"/>
    <mergeCell ref="B451:E451"/>
    <mergeCell ref="B443:E443"/>
    <mergeCell ref="B494:E494"/>
    <mergeCell ref="B524:E524"/>
    <mergeCell ref="B473:E473"/>
    <mergeCell ref="X512:AA512"/>
    <mergeCell ref="X505:AA505"/>
    <mergeCell ref="X472:AA472"/>
    <mergeCell ref="B488:E488"/>
    <mergeCell ref="X488:AA488"/>
    <mergeCell ref="B486:E486"/>
    <mergeCell ref="B370:E370"/>
    <mergeCell ref="B385:E385"/>
    <mergeCell ref="B355:E355"/>
    <mergeCell ref="B417:E417"/>
    <mergeCell ref="B358:E358"/>
    <mergeCell ref="B369:E369"/>
    <mergeCell ref="B344:E344"/>
    <mergeCell ref="B365:E365"/>
    <mergeCell ref="B426:E426"/>
    <mergeCell ref="B442:E442"/>
    <mergeCell ref="B390:E390"/>
    <mergeCell ref="B392:E392"/>
    <mergeCell ref="B399:B400"/>
    <mergeCell ref="B402:E402"/>
    <mergeCell ref="B378:E378"/>
    <mergeCell ref="B401:E401"/>
    <mergeCell ref="B363:E363"/>
    <mergeCell ref="B368:E368"/>
    <mergeCell ref="B361:E361"/>
    <mergeCell ref="B405:E405"/>
    <mergeCell ref="AF663:AH663"/>
    <mergeCell ref="X493:AA493"/>
    <mergeCell ref="B579:E579"/>
    <mergeCell ref="B580:E580"/>
    <mergeCell ref="B575:E575"/>
    <mergeCell ref="B643:E643"/>
    <mergeCell ref="C663:E664"/>
    <mergeCell ref="B603:E603"/>
    <mergeCell ref="B634:E634"/>
    <mergeCell ref="B552:E552"/>
    <mergeCell ref="X663:AA664"/>
    <mergeCell ref="B663:B664"/>
    <mergeCell ref="F663:F664"/>
    <mergeCell ref="B662:W662"/>
    <mergeCell ref="B635:E635"/>
    <mergeCell ref="B568:E568"/>
    <mergeCell ref="AF662:AH662"/>
    <mergeCell ref="B548:E548"/>
    <mergeCell ref="B595:E595"/>
    <mergeCell ref="X544:AA545"/>
    <mergeCell ref="C544:E545"/>
    <mergeCell ref="B601:E601"/>
    <mergeCell ref="B512:E512"/>
    <mergeCell ref="AF543:AH543"/>
    <mergeCell ref="AB544:AB545"/>
    <mergeCell ref="AF544:AH544"/>
    <mergeCell ref="B617:E617"/>
    <mergeCell ref="B573:E573"/>
    <mergeCell ref="B610:E610"/>
    <mergeCell ref="B569:E569"/>
    <mergeCell ref="B607:E607"/>
    <mergeCell ref="B503:E503"/>
    <mergeCell ref="B623:E623"/>
    <mergeCell ref="B678:E678"/>
    <mergeCell ref="AB663:AB664"/>
    <mergeCell ref="X735:AA735"/>
    <mergeCell ref="X683:AA684"/>
    <mergeCell ref="B724:E724"/>
    <mergeCell ref="B706:E706"/>
    <mergeCell ref="B708:E708"/>
    <mergeCell ref="B713:E713"/>
    <mergeCell ref="B702:E702"/>
    <mergeCell ref="B666:E666"/>
    <mergeCell ref="B656:E656"/>
    <mergeCell ref="B674:E674"/>
    <mergeCell ref="B632:E632"/>
    <mergeCell ref="B626:E626"/>
    <mergeCell ref="B633:E633"/>
    <mergeCell ref="B660:E660"/>
    <mergeCell ref="B653:E653"/>
    <mergeCell ref="B671:E671"/>
    <mergeCell ref="B669:E669"/>
    <mergeCell ref="B670:E670"/>
    <mergeCell ref="B630:E630"/>
    <mergeCell ref="B629:E629"/>
    <mergeCell ref="B680:E680"/>
    <mergeCell ref="B704:E704"/>
    <mergeCell ref="X711:AA711"/>
    <mergeCell ref="X724:AA724"/>
    <mergeCell ref="B690:E690"/>
    <mergeCell ref="B695:E695"/>
    <mergeCell ref="G663:G664"/>
    <mergeCell ref="B672:E672"/>
    <mergeCell ref="B689:E689"/>
    <mergeCell ref="X704:AA704"/>
    <mergeCell ref="AF683:AH683"/>
    <mergeCell ref="AF747:AH747"/>
    <mergeCell ref="X700:AA700"/>
    <mergeCell ref="B699:E699"/>
    <mergeCell ref="B701:E701"/>
    <mergeCell ref="V754:V755"/>
    <mergeCell ref="B686:E686"/>
    <mergeCell ref="B733:E733"/>
    <mergeCell ref="B705:E705"/>
    <mergeCell ref="B691:E691"/>
    <mergeCell ref="X725:AA725"/>
    <mergeCell ref="X730:AA730"/>
    <mergeCell ref="X709:AA709"/>
    <mergeCell ref="X726:AA726"/>
    <mergeCell ref="X708:AA708"/>
    <mergeCell ref="X717:AA717"/>
    <mergeCell ref="R754:R755"/>
    <mergeCell ref="B717:E717"/>
    <mergeCell ref="B609:E609"/>
    <mergeCell ref="B698:E698"/>
    <mergeCell ref="X736:AA736"/>
    <mergeCell ref="B652:E652"/>
    <mergeCell ref="B714:E714"/>
    <mergeCell ref="X697:AA697"/>
    <mergeCell ref="K754:K755"/>
    <mergeCell ref="B749:G749"/>
    <mergeCell ref="B752:G752"/>
    <mergeCell ref="B741:E741"/>
    <mergeCell ref="C683:E684"/>
    <mergeCell ref="X715:AA715"/>
    <mergeCell ref="B731:E731"/>
    <mergeCell ref="X731:AA731"/>
    <mergeCell ref="B673:E673"/>
    <mergeCell ref="B725:E725"/>
    <mergeCell ref="B668:E668"/>
    <mergeCell ref="B700:E700"/>
    <mergeCell ref="X713:AA713"/>
    <mergeCell ref="X723:AA723"/>
    <mergeCell ref="B703:E703"/>
    <mergeCell ref="B697:E697"/>
    <mergeCell ref="X707:AA707"/>
    <mergeCell ref="X706:AA706"/>
    <mergeCell ref="B654:E654"/>
    <mergeCell ref="B723:E723"/>
    <mergeCell ref="B754:G755"/>
    <mergeCell ref="T754:T755"/>
    <mergeCell ref="B710:E710"/>
    <mergeCell ref="B712:E712"/>
    <mergeCell ref="H683:W683"/>
    <mergeCell ref="B693:E693"/>
    <mergeCell ref="AF788:AH788"/>
    <mergeCell ref="O754:O755"/>
    <mergeCell ref="L754:L755"/>
    <mergeCell ref="P754:P755"/>
    <mergeCell ref="C774:I774"/>
    <mergeCell ref="C782:G782"/>
    <mergeCell ref="C783:G783"/>
    <mergeCell ref="M754:M755"/>
    <mergeCell ref="B745:E745"/>
    <mergeCell ref="B743:E743"/>
    <mergeCell ref="B753:W753"/>
    <mergeCell ref="B675:E675"/>
    <mergeCell ref="B728:E728"/>
    <mergeCell ref="B685:E685"/>
    <mergeCell ref="B682:W682"/>
    <mergeCell ref="B683:B684"/>
    <mergeCell ref="B692:E692"/>
    <mergeCell ref="B687:E687"/>
    <mergeCell ref="J754:J755"/>
    <mergeCell ref="B756:G756"/>
    <mergeCell ref="C767:I768"/>
    <mergeCell ref="C775:I781"/>
    <mergeCell ref="X698:AA698"/>
    <mergeCell ref="B711:E711"/>
    <mergeCell ref="AF774:AH774"/>
    <mergeCell ref="B770:W772"/>
    <mergeCell ref="AB683:AB684"/>
    <mergeCell ref="Q754:Q755"/>
    <mergeCell ref="G683:G684"/>
    <mergeCell ref="X705:AA705"/>
    <mergeCell ref="X703:AA703"/>
    <mergeCell ref="X701:AA701"/>
    <mergeCell ref="B814:W814"/>
    <mergeCell ref="B787:W787"/>
    <mergeCell ref="B785:W785"/>
    <mergeCell ref="B805:W812"/>
    <mergeCell ref="B788:W788"/>
    <mergeCell ref="B803:W803"/>
    <mergeCell ref="B801:W801"/>
    <mergeCell ref="B792:W795"/>
    <mergeCell ref="B799:W800"/>
    <mergeCell ref="B791:W791"/>
    <mergeCell ref="B789:W789"/>
    <mergeCell ref="S754:S755"/>
    <mergeCell ref="C764:G764"/>
    <mergeCell ref="B737:E737"/>
    <mergeCell ref="N754:N755"/>
    <mergeCell ref="H754:H755"/>
    <mergeCell ref="B726:E726"/>
    <mergeCell ref="I754:I755"/>
    <mergeCell ref="B734:E734"/>
    <mergeCell ref="B744:E744"/>
    <mergeCell ref="B736:E736"/>
    <mergeCell ref="C766:G766"/>
    <mergeCell ref="U754:U755"/>
    <mergeCell ref="C763:I763"/>
    <mergeCell ref="B761:J761"/>
    <mergeCell ref="W754:W755"/>
    <mergeCell ref="B750:G750"/>
    <mergeCell ref="B747:W747"/>
    <mergeCell ref="B730:E730"/>
    <mergeCell ref="B727:E727"/>
    <mergeCell ref="C765:G765"/>
    <mergeCell ref="B735:E735"/>
    <mergeCell ref="H663:W663"/>
    <mergeCell ref="B588:E588"/>
    <mergeCell ref="B523:E523"/>
    <mergeCell ref="B536:E536"/>
    <mergeCell ref="B596:E596"/>
    <mergeCell ref="B598:E598"/>
    <mergeCell ref="B593:E593"/>
    <mergeCell ref="B468:E468"/>
    <mergeCell ref="B499:E499"/>
    <mergeCell ref="B495:E495"/>
    <mergeCell ref="B496:E496"/>
    <mergeCell ref="B497:E497"/>
    <mergeCell ref="B437:E437"/>
    <mergeCell ref="B490:E490"/>
    <mergeCell ref="B715:E715"/>
    <mergeCell ref="B624:E624"/>
    <mergeCell ref="B651:E651"/>
    <mergeCell ref="B456:E456"/>
    <mergeCell ref="B467:E467"/>
    <mergeCell ref="B578:E578"/>
    <mergeCell ref="B604:E604"/>
    <mergeCell ref="B550:E550"/>
    <mergeCell ref="B517:E517"/>
    <mergeCell ref="B597:E597"/>
    <mergeCell ref="B559:B560"/>
    <mergeCell ref="C559:E560"/>
    <mergeCell ref="B592:E592"/>
    <mergeCell ref="B585:W585"/>
    <mergeCell ref="B576:E576"/>
    <mergeCell ref="B636:E636"/>
    <mergeCell ref="B608:E608"/>
    <mergeCell ref="B567:E567"/>
    <mergeCell ref="X540:AA540"/>
    <mergeCell ref="X526:AA526"/>
    <mergeCell ref="B554:E554"/>
    <mergeCell ref="B535:E535"/>
    <mergeCell ref="X541:AA541"/>
    <mergeCell ref="B590:E590"/>
    <mergeCell ref="B551:E551"/>
    <mergeCell ref="B553:E553"/>
    <mergeCell ref="B532:E532"/>
    <mergeCell ref="B582:G582"/>
    <mergeCell ref="B583:G583"/>
    <mergeCell ref="B546:E546"/>
    <mergeCell ref="B529:E529"/>
    <mergeCell ref="H544:W544"/>
    <mergeCell ref="B543:W543"/>
    <mergeCell ref="X539:AA539"/>
    <mergeCell ref="X538:AA538"/>
    <mergeCell ref="B537:E537"/>
    <mergeCell ref="B534:E534"/>
    <mergeCell ref="B540:E540"/>
    <mergeCell ref="B530:E530"/>
    <mergeCell ref="B531:E531"/>
    <mergeCell ref="X527:AA527"/>
    <mergeCell ref="G544:G545"/>
    <mergeCell ref="B564:E564"/>
    <mergeCell ref="B527:E527"/>
    <mergeCell ref="B528:E528"/>
    <mergeCell ref="X150:AA150"/>
    <mergeCell ref="X140:AA140"/>
    <mergeCell ref="B376:E376"/>
    <mergeCell ref="B379:E379"/>
    <mergeCell ref="B286:E286"/>
    <mergeCell ref="X279:AA279"/>
    <mergeCell ref="X309:AA309"/>
    <mergeCell ref="B273:E273"/>
    <mergeCell ref="B280:E280"/>
    <mergeCell ref="X254:AA254"/>
    <mergeCell ref="B492:E492"/>
    <mergeCell ref="X489:AA489"/>
    <mergeCell ref="F159:F160"/>
    <mergeCell ref="B159:B160"/>
    <mergeCell ref="B178:E178"/>
    <mergeCell ref="X178:AA178"/>
    <mergeCell ref="B162:E162"/>
    <mergeCell ref="X170:AA170"/>
    <mergeCell ref="X169:AA169"/>
    <mergeCell ref="X181:AA181"/>
    <mergeCell ref="X187:AA187"/>
    <mergeCell ref="B175:E175"/>
    <mergeCell ref="B207:E207"/>
    <mergeCell ref="B472:E472"/>
    <mergeCell ref="B203:E203"/>
    <mergeCell ref="B179:E179"/>
    <mergeCell ref="X179:AA179"/>
    <mergeCell ref="B186:E186"/>
    <mergeCell ref="X485:AA485"/>
    <mergeCell ref="B346:E346"/>
    <mergeCell ref="B459:E459"/>
    <mergeCell ref="B150:E150"/>
    <mergeCell ref="B620:E620"/>
    <mergeCell ref="B621:E621"/>
    <mergeCell ref="B657:E657"/>
    <mergeCell ref="B716:E716"/>
    <mergeCell ref="B561:E561"/>
    <mergeCell ref="B555:E555"/>
    <mergeCell ref="B544:B545"/>
    <mergeCell ref="B631:E631"/>
    <mergeCell ref="B644:E644"/>
    <mergeCell ref="B637:E637"/>
    <mergeCell ref="B655:E655"/>
    <mergeCell ref="B613:E613"/>
    <mergeCell ref="B614:E614"/>
    <mergeCell ref="B616:E616"/>
    <mergeCell ref="B611:E611"/>
    <mergeCell ref="B594:E594"/>
    <mergeCell ref="B591:E591"/>
    <mergeCell ref="B577:E577"/>
    <mergeCell ref="B571:E571"/>
    <mergeCell ref="B599:E599"/>
    <mergeCell ref="B679:E679"/>
    <mergeCell ref="B665:E665"/>
    <mergeCell ref="B627:E627"/>
    <mergeCell ref="B625:E625"/>
    <mergeCell ref="B619:E619"/>
    <mergeCell ref="B570:E570"/>
    <mergeCell ref="B549:E549"/>
    <mergeCell ref="B547:E547"/>
    <mergeCell ref="B566:E566"/>
    <mergeCell ref="B600:E600"/>
    <mergeCell ref="B581:E581"/>
    <mergeCell ref="B589:E589"/>
    <mergeCell ref="A749:A759"/>
    <mergeCell ref="B757:G757"/>
    <mergeCell ref="B738:E738"/>
    <mergeCell ref="B758:G758"/>
    <mergeCell ref="B739:E739"/>
    <mergeCell ref="B742:E742"/>
    <mergeCell ref="B759:G759"/>
    <mergeCell ref="B748:G748"/>
    <mergeCell ref="B751:G751"/>
    <mergeCell ref="X443:AA443"/>
    <mergeCell ref="B484:E484"/>
    <mergeCell ref="B481:E481"/>
    <mergeCell ref="F544:F545"/>
    <mergeCell ref="B740:E740"/>
    <mergeCell ref="F683:F684"/>
    <mergeCell ref="B676:E676"/>
    <mergeCell ref="X343:AA343"/>
    <mergeCell ref="B696:E696"/>
    <mergeCell ref="B707:E707"/>
    <mergeCell ref="B602:E602"/>
    <mergeCell ref="X714:AA714"/>
    <mergeCell ref="X716:AA716"/>
    <mergeCell ref="X537:AA537"/>
    <mergeCell ref="B709:E709"/>
    <mergeCell ref="B618:E618"/>
    <mergeCell ref="B612:E612"/>
    <mergeCell ref="B622:E622"/>
    <mergeCell ref="B628:E628"/>
    <mergeCell ref="B563:E563"/>
    <mergeCell ref="B688:E688"/>
    <mergeCell ref="B694:E694"/>
    <mergeCell ref="X695:AA695"/>
    <mergeCell ref="B97:E97"/>
    <mergeCell ref="B120:E120"/>
    <mergeCell ref="G122:K122"/>
    <mergeCell ref="B117:E117"/>
    <mergeCell ref="B214:E214"/>
    <mergeCell ref="B242:E242"/>
    <mergeCell ref="B221:E221"/>
    <mergeCell ref="B222:E222"/>
    <mergeCell ref="H218:M218"/>
    <mergeCell ref="B218:E218"/>
    <mergeCell ref="B230:E230"/>
    <mergeCell ref="G239:G240"/>
    <mergeCell ref="B259:E259"/>
    <mergeCell ref="G319:G320"/>
    <mergeCell ref="F319:F320"/>
    <mergeCell ref="X127:AA127"/>
    <mergeCell ref="B279:E279"/>
    <mergeCell ref="X264:AA264"/>
    <mergeCell ref="B249:E249"/>
    <mergeCell ref="X258:AA258"/>
    <mergeCell ref="B262:E262"/>
    <mergeCell ref="X250:AA250"/>
    <mergeCell ref="B124:E124"/>
    <mergeCell ref="B130:E130"/>
    <mergeCell ref="B132:E132"/>
    <mergeCell ref="X136:AA136"/>
    <mergeCell ref="X132:AA132"/>
    <mergeCell ref="X147:AA147"/>
    <mergeCell ref="X143:AA143"/>
    <mergeCell ref="X149:AA149"/>
    <mergeCell ref="X202:AA202"/>
    <mergeCell ref="B188:E188"/>
    <mergeCell ref="B153:E153"/>
    <mergeCell ref="B187:E187"/>
    <mergeCell ref="X168:AA168"/>
    <mergeCell ref="B189:E189"/>
    <mergeCell ref="B200:E200"/>
    <mergeCell ref="B183:E183"/>
    <mergeCell ref="X183:AA183"/>
    <mergeCell ref="B149:E149"/>
    <mergeCell ref="B144:E144"/>
    <mergeCell ref="X197:AA197"/>
    <mergeCell ref="B206:E206"/>
    <mergeCell ref="B209:E209"/>
    <mergeCell ref="X190:AA190"/>
    <mergeCell ref="B196:E196"/>
    <mergeCell ref="X145:AA145"/>
    <mergeCell ref="X278:AA278"/>
    <mergeCell ref="B471:E471"/>
    <mergeCell ref="B436:E436"/>
    <mergeCell ref="X155:AA155"/>
    <mergeCell ref="B154:E154"/>
    <mergeCell ref="X152:AA152"/>
    <mergeCell ref="B199:E199"/>
    <mergeCell ref="B176:E176"/>
    <mergeCell ref="X176:AA176"/>
    <mergeCell ref="B174:E174"/>
    <mergeCell ref="B169:E169"/>
    <mergeCell ref="X198:AA198"/>
    <mergeCell ref="X148:AA148"/>
    <mergeCell ref="X146:AA146"/>
    <mergeCell ref="X171:AA171"/>
    <mergeCell ref="B195:E195"/>
    <mergeCell ref="B201:E201"/>
    <mergeCell ref="B140:E140"/>
    <mergeCell ref="B170:E170"/>
    <mergeCell ref="B108:E108"/>
    <mergeCell ref="X79:AA80"/>
    <mergeCell ref="O95:W95"/>
    <mergeCell ref="B99:E99"/>
    <mergeCell ref="X124:AA124"/>
    <mergeCell ref="B81:E81"/>
    <mergeCell ref="B86:E86"/>
    <mergeCell ref="X122:AA122"/>
    <mergeCell ref="B103:E103"/>
    <mergeCell ref="B83:E83"/>
    <mergeCell ref="B82:E82"/>
    <mergeCell ref="X83:Z83"/>
    <mergeCell ref="B107:E107"/>
    <mergeCell ref="B94:E94"/>
    <mergeCell ref="B84:E84"/>
    <mergeCell ref="B90:E90"/>
    <mergeCell ref="X111:AA111"/>
    <mergeCell ref="G115:M115"/>
    <mergeCell ref="X115:AA115"/>
    <mergeCell ref="B116:E116"/>
    <mergeCell ref="G116:M116"/>
    <mergeCell ref="X116:AA116"/>
    <mergeCell ref="X118:AA118"/>
    <mergeCell ref="X106:AA106"/>
    <mergeCell ref="G107:M107"/>
    <mergeCell ref="X120:AA120"/>
    <mergeCell ref="X107:AA107"/>
    <mergeCell ref="G124:K124"/>
    <mergeCell ref="G117:M117"/>
    <mergeCell ref="X117:AA117"/>
    <mergeCell ref="B118:E118"/>
    <mergeCell ref="G118:M118"/>
    <mergeCell ref="B24:E24"/>
    <mergeCell ref="B35:E35"/>
    <mergeCell ref="Q19:W19"/>
    <mergeCell ref="X34:AA34"/>
    <mergeCell ref="X31:AA31"/>
    <mergeCell ref="B31:E31"/>
    <mergeCell ref="H38:K38"/>
    <mergeCell ref="X35:AA35"/>
    <mergeCell ref="G79:G80"/>
    <mergeCell ref="B54:E54"/>
    <mergeCell ref="X71:AA71"/>
    <mergeCell ref="B67:E67"/>
    <mergeCell ref="B62:E62"/>
    <mergeCell ref="B36:E36"/>
    <mergeCell ref="B30:E30"/>
    <mergeCell ref="B34:E34"/>
    <mergeCell ref="H35:K35"/>
    <mergeCell ref="H42:K42"/>
    <mergeCell ref="B43:E43"/>
    <mergeCell ref="X26:AA26"/>
    <mergeCell ref="B69:E69"/>
    <mergeCell ref="B63:E63"/>
    <mergeCell ref="X32:AA32"/>
    <mergeCell ref="B22:E22"/>
    <mergeCell ref="B40:E40"/>
    <mergeCell ref="B72:E72"/>
    <mergeCell ref="B70:E70"/>
    <mergeCell ref="B95:E95"/>
    <mergeCell ref="B29:E29"/>
    <mergeCell ref="B39:E39"/>
    <mergeCell ref="C8:E9"/>
    <mergeCell ref="B17:E17"/>
    <mergeCell ref="X37:AA37"/>
    <mergeCell ref="X33:AA33"/>
    <mergeCell ref="B57:E57"/>
    <mergeCell ref="X28:AA28"/>
    <mergeCell ref="H43:K43"/>
    <mergeCell ref="F79:F80"/>
    <mergeCell ref="X47:AA47"/>
    <mergeCell ref="X42:AA42"/>
    <mergeCell ref="H47:K47"/>
    <mergeCell ref="B41:E41"/>
    <mergeCell ref="X45:AA45"/>
    <mergeCell ref="X38:AA38"/>
    <mergeCell ref="X40:AA40"/>
    <mergeCell ref="C79:E80"/>
    <mergeCell ref="B74:E74"/>
    <mergeCell ref="B59:E59"/>
    <mergeCell ref="I71:M71"/>
    <mergeCell ref="I72:M72"/>
    <mergeCell ref="B71:E71"/>
    <mergeCell ref="B25:E25"/>
    <mergeCell ref="X46:AA46"/>
    <mergeCell ref="B37:E37"/>
    <mergeCell ref="H39:K39"/>
    <mergeCell ref="H37:K37"/>
    <mergeCell ref="B38:E38"/>
    <mergeCell ref="H34:K34"/>
    <mergeCell ref="H36:K36"/>
    <mergeCell ref="B32:E32"/>
    <mergeCell ref="B48:E48"/>
    <mergeCell ref="H48:K48"/>
    <mergeCell ref="AJ1:AJ2"/>
    <mergeCell ref="AE1:AI1"/>
    <mergeCell ref="Y1:AD1"/>
    <mergeCell ref="AF11:AH11"/>
    <mergeCell ref="AE3:AI4"/>
    <mergeCell ref="F8:F9"/>
    <mergeCell ref="X8:AA9"/>
    <mergeCell ref="B13:E13"/>
    <mergeCell ref="AE2:AG2"/>
    <mergeCell ref="AF14:AH14"/>
    <mergeCell ref="AF12:AH12"/>
    <mergeCell ref="B1:W1"/>
    <mergeCell ref="X3:AD4"/>
    <mergeCell ref="Y2:AD2"/>
    <mergeCell ref="H8:W8"/>
    <mergeCell ref="B8:B9"/>
    <mergeCell ref="AC8:AI9"/>
    <mergeCell ref="B3:D5"/>
    <mergeCell ref="E5:W5"/>
    <mergeCell ref="B6:W6"/>
    <mergeCell ref="X5:AD7"/>
    <mergeCell ref="E3:W3"/>
    <mergeCell ref="E4:W4"/>
    <mergeCell ref="B2:W2"/>
    <mergeCell ref="X14:AA14"/>
    <mergeCell ref="B7:W7"/>
    <mergeCell ref="B12:E12"/>
    <mergeCell ref="AE5:AI7"/>
    <mergeCell ref="AF10:AH10"/>
    <mergeCell ref="B10:E10"/>
    <mergeCell ref="B11:E11"/>
    <mergeCell ref="AB8:AB9"/>
    <mergeCell ref="AF21:AI21"/>
    <mergeCell ref="AF22:AJ22"/>
    <mergeCell ref="B14:E14"/>
    <mergeCell ref="B26:E26"/>
    <mergeCell ref="G8:G9"/>
    <mergeCell ref="X36:AA36"/>
    <mergeCell ref="X20:AA20"/>
    <mergeCell ref="B23:E23"/>
    <mergeCell ref="AF24:AI24"/>
    <mergeCell ref="AF23:AI23"/>
    <mergeCell ref="AF26:AJ26"/>
    <mergeCell ref="B28:E28"/>
    <mergeCell ref="B27:E27"/>
    <mergeCell ref="AF19:AJ19"/>
    <mergeCell ref="B20:E20"/>
    <mergeCell ref="AF16:AI16"/>
    <mergeCell ref="AF20:AJ20"/>
    <mergeCell ref="AF13:AH13"/>
    <mergeCell ref="B21:E21"/>
    <mergeCell ref="B18:E18"/>
    <mergeCell ref="B19:E19"/>
    <mergeCell ref="X21:AA21"/>
    <mergeCell ref="X22:AA22"/>
    <mergeCell ref="AF17:AJ17"/>
    <mergeCell ref="AF28:AJ28"/>
    <mergeCell ref="AF27:AI27"/>
    <mergeCell ref="AF25:AI25"/>
    <mergeCell ref="AF29:AJ29"/>
    <mergeCell ref="AF18:AJ18"/>
    <mergeCell ref="X18:AA18"/>
    <mergeCell ref="Q18:W18"/>
    <mergeCell ref="AF15:AI15"/>
    <mergeCell ref="B42:E42"/>
    <mergeCell ref="B47:E47"/>
    <mergeCell ref="H31:K31"/>
    <mergeCell ref="B44:E44"/>
    <mergeCell ref="X43:AA43"/>
    <mergeCell ref="H41:K41"/>
    <mergeCell ref="B45:E45"/>
    <mergeCell ref="H45:K45"/>
    <mergeCell ref="X41:AA41"/>
    <mergeCell ref="H33:K33"/>
    <mergeCell ref="H44:K44"/>
    <mergeCell ref="AB79:AB80"/>
    <mergeCell ref="B61:E61"/>
    <mergeCell ref="B52:E52"/>
    <mergeCell ref="B58:E58"/>
    <mergeCell ref="H46:K46"/>
    <mergeCell ref="X48:AA48"/>
    <mergeCell ref="X87:Z87"/>
    <mergeCell ref="F81:I91"/>
    <mergeCell ref="G105:M105"/>
    <mergeCell ref="G106:M106"/>
    <mergeCell ref="B109:E109"/>
    <mergeCell ref="G109:M109"/>
    <mergeCell ref="H40:K40"/>
    <mergeCell ref="X44:AA44"/>
    <mergeCell ref="X39:AA39"/>
    <mergeCell ref="B46:E46"/>
    <mergeCell ref="B49:E49"/>
    <mergeCell ref="B134:E134"/>
    <mergeCell ref="B133:E133"/>
    <mergeCell ref="X108:AA108"/>
    <mergeCell ref="X128:AA128"/>
    <mergeCell ref="B129:E129"/>
    <mergeCell ref="B106:E106"/>
    <mergeCell ref="G127:K127"/>
    <mergeCell ref="G123:K123"/>
    <mergeCell ref="G130:K130"/>
    <mergeCell ref="G125:K125"/>
    <mergeCell ref="X133:AA133"/>
    <mergeCell ref="B127:E127"/>
    <mergeCell ref="G128:K128"/>
    <mergeCell ref="X109:AA109"/>
    <mergeCell ref="B110:E110"/>
    <mergeCell ref="G110:M110"/>
    <mergeCell ref="X110:AA110"/>
    <mergeCell ref="B111:E111"/>
    <mergeCell ref="G111:M111"/>
    <mergeCell ref="B101:E101"/>
    <mergeCell ref="B119:E119"/>
    <mergeCell ref="B85:E85"/>
    <mergeCell ref="X126:AA126"/>
    <mergeCell ref="X119:AA119"/>
    <mergeCell ref="B128:E128"/>
    <mergeCell ref="B131:E131"/>
    <mergeCell ref="X88:Z88"/>
    <mergeCell ref="X135:AA135"/>
    <mergeCell ref="B208:E208"/>
    <mergeCell ref="X191:AA191"/>
    <mergeCell ref="AF79:AH79"/>
    <mergeCell ref="B33:E33"/>
    <mergeCell ref="H32:K32"/>
    <mergeCell ref="H79:W79"/>
    <mergeCell ref="G126:K126"/>
    <mergeCell ref="B102:E102"/>
    <mergeCell ref="B155:E155"/>
    <mergeCell ref="B136:E136"/>
    <mergeCell ref="B146:E146"/>
    <mergeCell ref="B55:E55"/>
    <mergeCell ref="X72:AA72"/>
    <mergeCell ref="X123:AA123"/>
    <mergeCell ref="B122:E122"/>
    <mergeCell ref="B56:E56"/>
    <mergeCell ref="I73:M73"/>
    <mergeCell ref="B87:E87"/>
    <mergeCell ref="X84:Z84"/>
    <mergeCell ref="B51:E51"/>
    <mergeCell ref="B53:E53"/>
    <mergeCell ref="B73:E73"/>
    <mergeCell ref="B104:E104"/>
    <mergeCell ref="AC147:AF147"/>
    <mergeCell ref="G129:K129"/>
    <mergeCell ref="X142:AA142"/>
    <mergeCell ref="B123:E123"/>
    <mergeCell ref="X125:AA125"/>
    <mergeCell ref="B100:E100"/>
    <mergeCell ref="X134:AA134"/>
    <mergeCell ref="B93:E93"/>
    <mergeCell ref="B105:E105"/>
    <mergeCell ref="B96:E96"/>
    <mergeCell ref="X105:AA105"/>
    <mergeCell ref="AB159:AB160"/>
    <mergeCell ref="B167:E167"/>
    <mergeCell ref="B147:E147"/>
    <mergeCell ref="B168:E168"/>
    <mergeCell ref="B229:E229"/>
    <mergeCell ref="B138:E138"/>
    <mergeCell ref="B50:E50"/>
    <mergeCell ref="X50:AA50"/>
    <mergeCell ref="B92:E92"/>
    <mergeCell ref="H50:K50"/>
    <mergeCell ref="B210:E210"/>
    <mergeCell ref="B98:E98"/>
    <mergeCell ref="B112:E112"/>
    <mergeCell ref="X129:AA129"/>
    <mergeCell ref="B91:E91"/>
    <mergeCell ref="G108:M108"/>
    <mergeCell ref="X112:AA112"/>
    <mergeCell ref="B79:B80"/>
    <mergeCell ref="B88:E88"/>
    <mergeCell ref="B137:E137"/>
    <mergeCell ref="X137:AA137"/>
    <mergeCell ref="X151:AA151"/>
    <mergeCell ref="B190:E190"/>
    <mergeCell ref="B135:E135"/>
    <mergeCell ref="X131:AA131"/>
    <mergeCell ref="B151:E151"/>
    <mergeCell ref="B141:E141"/>
    <mergeCell ref="X141:AA141"/>
    <mergeCell ref="X139:AA139"/>
    <mergeCell ref="X184:AA184"/>
    <mergeCell ref="X49:AA49"/>
    <mergeCell ref="B75:E75"/>
    <mergeCell ref="X73:AA73"/>
    <mergeCell ref="B126:E126"/>
    <mergeCell ref="B89:E89"/>
    <mergeCell ref="X75:AA75"/>
    <mergeCell ref="X130:AA130"/>
    <mergeCell ref="B139:E139"/>
    <mergeCell ref="G132:K132"/>
    <mergeCell ref="X154:AA154"/>
    <mergeCell ref="H49:K49"/>
    <mergeCell ref="B60:E60"/>
    <mergeCell ref="B66:E66"/>
    <mergeCell ref="B152:E152"/>
    <mergeCell ref="B164:E164"/>
    <mergeCell ref="B68:E68"/>
    <mergeCell ref="B64:E64"/>
    <mergeCell ref="G112:M112"/>
    <mergeCell ref="X144:AA144"/>
    <mergeCell ref="B143:E143"/>
    <mergeCell ref="X138:AA138"/>
    <mergeCell ref="B142:E142"/>
    <mergeCell ref="B145:E145"/>
    <mergeCell ref="B148:E148"/>
    <mergeCell ref="B125:E125"/>
    <mergeCell ref="X175:AA175"/>
    <mergeCell ref="X180:AA180"/>
    <mergeCell ref="B185:E185"/>
    <mergeCell ref="B202:E202"/>
    <mergeCell ref="B192:E192"/>
    <mergeCell ref="B197:E197"/>
    <mergeCell ref="X159:AA160"/>
    <mergeCell ref="G159:G160"/>
    <mergeCell ref="B194:E194"/>
    <mergeCell ref="B182:E182"/>
    <mergeCell ref="X182:AA182"/>
    <mergeCell ref="B193:E193"/>
    <mergeCell ref="I193:M196"/>
    <mergeCell ref="X174:AA174"/>
    <mergeCell ref="B191:E191"/>
    <mergeCell ref="B171:E171"/>
    <mergeCell ref="B181:E181"/>
    <mergeCell ref="B163:E163"/>
    <mergeCell ref="H159:W159"/>
    <mergeCell ref="C159:E160"/>
    <mergeCell ref="B166:E166"/>
    <mergeCell ref="B165:E165"/>
    <mergeCell ref="B161:E161"/>
    <mergeCell ref="X161:AA161"/>
    <mergeCell ref="B173:E173"/>
    <mergeCell ref="B172:E172"/>
    <mergeCell ref="X172:AA172"/>
    <mergeCell ref="B180:E180"/>
    <mergeCell ref="B177:E177"/>
    <mergeCell ref="X177:AA177"/>
    <mergeCell ref="X284:AA284"/>
    <mergeCell ref="X265:AA265"/>
    <mergeCell ref="X271:AA271"/>
    <mergeCell ref="X273:AA273"/>
    <mergeCell ref="X275:AA275"/>
    <mergeCell ref="X277:AA277"/>
    <mergeCell ref="X269:AA269"/>
    <mergeCell ref="X270:AA270"/>
    <mergeCell ref="B278:E278"/>
    <mergeCell ref="X266:AA266"/>
    <mergeCell ref="B271:E271"/>
    <mergeCell ref="B253:E253"/>
    <mergeCell ref="B257:E257"/>
    <mergeCell ref="X272:AA272"/>
    <mergeCell ref="X249:AA249"/>
    <mergeCell ref="B233:E233"/>
    <mergeCell ref="B282:E282"/>
    <mergeCell ref="B283:E283"/>
    <mergeCell ref="X248:AA248"/>
    <mergeCell ref="B246:E246"/>
    <mergeCell ref="B254:E254"/>
    <mergeCell ref="H239:W239"/>
    <mergeCell ref="X245:AA245"/>
    <mergeCell ref="X257:AA257"/>
    <mergeCell ref="B264:E264"/>
    <mergeCell ref="B239:B240"/>
    <mergeCell ref="B245:E245"/>
    <mergeCell ref="B284:E284"/>
    <mergeCell ref="X259:AA259"/>
    <mergeCell ref="X253:AA253"/>
    <mergeCell ref="B263:E263"/>
    <mergeCell ref="B251:E251"/>
    <mergeCell ref="X524:AA524"/>
    <mergeCell ref="B521:E521"/>
    <mergeCell ref="B469:E469"/>
    <mergeCell ref="X499:AA499"/>
    <mergeCell ref="X458:AA458"/>
    <mergeCell ref="B475:E475"/>
    <mergeCell ref="X470:AA470"/>
    <mergeCell ref="B450:E450"/>
    <mergeCell ref="B470:E470"/>
    <mergeCell ref="X436:AA436"/>
    <mergeCell ref="B295:E295"/>
    <mergeCell ref="B483:E483"/>
    <mergeCell ref="X483:AA483"/>
    <mergeCell ref="B225:E225"/>
    <mergeCell ref="X262:AA262"/>
    <mergeCell ref="B235:E235"/>
    <mergeCell ref="B255:E255"/>
    <mergeCell ref="B315:E315"/>
    <mergeCell ref="B291:E291"/>
    <mergeCell ref="X308:AA308"/>
    <mergeCell ref="B415:E415"/>
    <mergeCell ref="B430:E430"/>
    <mergeCell ref="B429:E429"/>
    <mergeCell ref="X433:AA433"/>
    <mergeCell ref="B435:E435"/>
    <mergeCell ref="B452:E452"/>
    <mergeCell ref="X441:AA441"/>
    <mergeCell ref="X263:AA263"/>
    <mergeCell ref="X256:AA256"/>
    <mergeCell ref="B334:E334"/>
    <mergeCell ref="B331:E331"/>
    <mergeCell ref="C239:E240"/>
    <mergeCell ref="B414:E414"/>
    <mergeCell ref="B406:E406"/>
    <mergeCell ref="B393:E393"/>
    <mergeCell ref="B307:E307"/>
    <mergeCell ref="X399:AA400"/>
    <mergeCell ref="X409:AA409"/>
    <mergeCell ref="B507:E507"/>
    <mergeCell ref="B327:E327"/>
    <mergeCell ref="B460:E460"/>
    <mergeCell ref="B461:E461"/>
    <mergeCell ref="B462:E462"/>
    <mergeCell ref="B338:E338"/>
    <mergeCell ref="X334:AA334"/>
    <mergeCell ref="X307:AA307"/>
    <mergeCell ref="B311:E311"/>
    <mergeCell ref="X369:AA369"/>
    <mergeCell ref="B319:B320"/>
    <mergeCell ref="X368:AA368"/>
    <mergeCell ref="X434:AA434"/>
    <mergeCell ref="B431:E431"/>
    <mergeCell ref="B404:E404"/>
    <mergeCell ref="B391:E391"/>
    <mergeCell ref="B446:E446"/>
    <mergeCell ref="B438:E438"/>
    <mergeCell ref="B324:E324"/>
    <mergeCell ref="B427:E427"/>
    <mergeCell ref="B416:E416"/>
    <mergeCell ref="B332:E332"/>
    <mergeCell ref="B374:E374"/>
    <mergeCell ref="B326:E326"/>
    <mergeCell ref="B328:E328"/>
    <mergeCell ref="B377:E377"/>
    <mergeCell ref="AF479:AH479"/>
    <mergeCell ref="AF585:AH585"/>
    <mergeCell ref="B586:B587"/>
    <mergeCell ref="C586:E587"/>
    <mergeCell ref="F586:F587"/>
    <mergeCell ref="G586:G587"/>
    <mergeCell ref="H586:W586"/>
    <mergeCell ref="X586:AA587"/>
    <mergeCell ref="AB586:AB587"/>
    <mergeCell ref="AF586:AH586"/>
    <mergeCell ref="X479:AA480"/>
    <mergeCell ref="B383:E383"/>
    <mergeCell ref="B419:E419"/>
    <mergeCell ref="B274:E274"/>
    <mergeCell ref="B339:E339"/>
    <mergeCell ref="X492:AA492"/>
    <mergeCell ref="B248:E248"/>
    <mergeCell ref="B296:E296"/>
    <mergeCell ref="X276:AA276"/>
    <mergeCell ref="B454:E454"/>
    <mergeCell ref="B349:E349"/>
    <mergeCell ref="B425:E425"/>
    <mergeCell ref="B300:E300"/>
    <mergeCell ref="X515:AA515"/>
    <mergeCell ref="X456:AA456"/>
    <mergeCell ref="B515:E515"/>
    <mergeCell ref="G479:G480"/>
    <mergeCell ref="X471:AA471"/>
    <mergeCell ref="X469:AA469"/>
    <mergeCell ref="B413:E413"/>
    <mergeCell ref="X497:AA497"/>
    <mergeCell ref="B308:E308"/>
    <mergeCell ref="B247:E247"/>
    <mergeCell ref="X247:AA247"/>
    <mergeCell ref="B485:E485"/>
    <mergeCell ref="B258:E258"/>
    <mergeCell ref="B269:E269"/>
    <mergeCell ref="X274:AA274"/>
    <mergeCell ref="B272:E272"/>
    <mergeCell ref="B433:E433"/>
    <mergeCell ref="B422:E422"/>
    <mergeCell ref="B562:E562"/>
    <mergeCell ref="X260:AA260"/>
    <mergeCell ref="B276:E276"/>
    <mergeCell ref="B458:E458"/>
    <mergeCell ref="B434:E434"/>
    <mergeCell ref="B290:E290"/>
    <mergeCell ref="B381:E381"/>
    <mergeCell ref="B388:E388"/>
    <mergeCell ref="B310:E310"/>
    <mergeCell ref="B325:E325"/>
    <mergeCell ref="B487:E487"/>
    <mergeCell ref="B428:E428"/>
    <mergeCell ref="B380:E380"/>
    <mergeCell ref="X252:AA252"/>
    <mergeCell ref="X514:AA514"/>
    <mergeCell ref="X528:AA528"/>
    <mergeCell ref="B516:E516"/>
    <mergeCell ref="X435:AA435"/>
    <mergeCell ref="B420:E420"/>
    <mergeCell ref="X406:AA406"/>
    <mergeCell ref="B408:E408"/>
    <mergeCell ref="B409:E409"/>
    <mergeCell ref="G399:G400"/>
    <mergeCell ref="AF399:AH399"/>
    <mergeCell ref="AB399:AB400"/>
    <mergeCell ref="AF319:AH319"/>
    <mergeCell ref="AF239:AH239"/>
    <mergeCell ref="AB319:AB320"/>
    <mergeCell ref="X319:AA320"/>
    <mergeCell ref="X322:AA322"/>
    <mergeCell ref="B275:E275"/>
    <mergeCell ref="B267:E267"/>
    <mergeCell ref="B219:E219"/>
    <mergeCell ref="B228:E228"/>
    <mergeCell ref="B227:E227"/>
    <mergeCell ref="B223:E223"/>
    <mergeCell ref="B226:E226"/>
    <mergeCell ref="B329:E329"/>
    <mergeCell ref="X329:AA329"/>
    <mergeCell ref="AB239:AB240"/>
    <mergeCell ref="B367:E367"/>
    <mergeCell ref="B250:E250"/>
    <mergeCell ref="F239:F240"/>
    <mergeCell ref="B243:E243"/>
    <mergeCell ref="B364:E364"/>
    <mergeCell ref="B313:E313"/>
    <mergeCell ref="B387:E387"/>
    <mergeCell ref="B386:E386"/>
    <mergeCell ref="B351:E351"/>
    <mergeCell ref="B314:E314"/>
    <mergeCell ref="X340:AA340"/>
    <mergeCell ref="C319:E320"/>
    <mergeCell ref="X326:AA326"/>
    <mergeCell ref="Q374:W374"/>
    <mergeCell ref="B359:E359"/>
    <mergeCell ref="AF159:AH159"/>
    <mergeCell ref="G131:K131"/>
    <mergeCell ref="X199:AA199"/>
    <mergeCell ref="X153:AA153"/>
    <mergeCell ref="B16:E16"/>
    <mergeCell ref="B659:E659"/>
    <mergeCell ref="B677:E677"/>
    <mergeCell ref="B211:E211"/>
    <mergeCell ref="B261:E261"/>
    <mergeCell ref="B217:E217"/>
    <mergeCell ref="Q231:W231"/>
    <mergeCell ref="B277:E277"/>
    <mergeCell ref="B121:E121"/>
    <mergeCell ref="X121:AA121"/>
    <mergeCell ref="I119:W121"/>
    <mergeCell ref="X246:AA246"/>
    <mergeCell ref="B606:E606"/>
    <mergeCell ref="B658:E658"/>
    <mergeCell ref="B574:E574"/>
    <mergeCell ref="H479:W479"/>
    <mergeCell ref="B648:E648"/>
    <mergeCell ref="B615:E615"/>
    <mergeCell ref="B444:E444"/>
    <mergeCell ref="B498:E498"/>
    <mergeCell ref="X536:AA536"/>
    <mergeCell ref="X440:AA440"/>
    <mergeCell ref="X407:AA407"/>
    <mergeCell ref="X374:AA374"/>
    <mergeCell ref="X513:AA513"/>
    <mergeCell ref="X525:AA525"/>
    <mergeCell ref="X438:AA438"/>
    <mergeCell ref="X313:AA313"/>
    <mergeCell ref="B641:B642"/>
    <mergeCell ref="C641:E642"/>
    <mergeCell ref="F641:F642"/>
    <mergeCell ref="G641:G642"/>
    <mergeCell ref="H641:W641"/>
    <mergeCell ref="X641:AA642"/>
    <mergeCell ref="B213:E213"/>
    <mergeCell ref="X261:AA261"/>
    <mergeCell ref="B232:E232"/>
    <mergeCell ref="B234:E234"/>
    <mergeCell ref="B265:E265"/>
    <mergeCell ref="B299:E299"/>
    <mergeCell ref="X287:AA287"/>
    <mergeCell ref="X331:AA331"/>
    <mergeCell ref="B287:E287"/>
    <mergeCell ref="B305:E305"/>
    <mergeCell ref="B309:E309"/>
    <mergeCell ref="B463:E463"/>
    <mergeCell ref="B464:E464"/>
    <mergeCell ref="X442:AA442"/>
    <mergeCell ref="X494:AA494"/>
    <mergeCell ref="X495:AA495"/>
    <mergeCell ref="X496:AA496"/>
    <mergeCell ref="X490:AA490"/>
    <mergeCell ref="X503:AA503"/>
    <mergeCell ref="X504:AA504"/>
    <mergeCell ref="X474:AA474"/>
    <mergeCell ref="X475:AA475"/>
    <mergeCell ref="B297:E297"/>
    <mergeCell ref="X297:AA297"/>
    <mergeCell ref="B565:E565"/>
    <mergeCell ref="X267:AA267"/>
    <mergeCell ref="AB641:AB642"/>
    <mergeCell ref="AF641:AH641"/>
    <mergeCell ref="B465:E465"/>
    <mergeCell ref="AF30:AJ30"/>
    <mergeCell ref="B721:B722"/>
    <mergeCell ref="C721:E722"/>
    <mergeCell ref="F721:F722"/>
    <mergeCell ref="G721:G722"/>
    <mergeCell ref="H721:W721"/>
    <mergeCell ref="X721:AA722"/>
    <mergeCell ref="AB721:AB722"/>
    <mergeCell ref="AF721:AH721"/>
    <mergeCell ref="B667:E667"/>
    <mergeCell ref="B294:E294"/>
    <mergeCell ref="B292:E292"/>
    <mergeCell ref="AB479:AB480"/>
    <mergeCell ref="B421:E421"/>
    <mergeCell ref="B525:E525"/>
    <mergeCell ref="B572:E572"/>
    <mergeCell ref="B231:E231"/>
    <mergeCell ref="B270:E270"/>
    <mergeCell ref="B215:E215"/>
    <mergeCell ref="X281:AA281"/>
    <mergeCell ref="X251:AA251"/>
    <mergeCell ref="B256:E256"/>
    <mergeCell ref="B244:E244"/>
    <mergeCell ref="B65:E65"/>
    <mergeCell ref="B212:E212"/>
    <mergeCell ref="B266:E266"/>
    <mergeCell ref="F479:F480"/>
    <mergeCell ref="B241:E241"/>
    <mergeCell ref="B224:E224"/>
  </mergeCells>
  <phoneticPr fontId="0" type="noConversion"/>
  <hyperlinks>
    <hyperlink ref="AB12" r:id="rId1" display="https://www.jivi.com.ar/ficha.php?id=27"/>
    <hyperlink ref="AB28" r:id="rId2" display="https://www.jivi.com.ar/ficha.php?id=660"/>
    <hyperlink ref="AB35" r:id="rId3"/>
    <hyperlink ref="AB34" r:id="rId4"/>
    <hyperlink ref="AB33" r:id="rId5"/>
    <hyperlink ref="AB32" r:id="rId6"/>
    <hyperlink ref="AB31" r:id="rId7"/>
    <hyperlink ref="AB53" r:id="rId8" display="https://www.jivi.com.ar/ficha.php?id=41"/>
    <hyperlink ref="AB54" r:id="rId9" display="https://www.jivi.com.ar/ficha.php?id=42"/>
    <hyperlink ref="AB55" r:id="rId10" display="https://www.jivi.com.ar/ficha.php?id=649"/>
    <hyperlink ref="AB56" r:id="rId11" display="https://www.jivi.com.ar/ficha.php?id=650"/>
    <hyperlink ref="AB66" r:id="rId12" display="https://www.jivi.com.ar/ficha.php?id=164"/>
    <hyperlink ref="AB70" r:id="rId13" display="https://www.jivi.com.ar/ficha.php?id=77"/>
    <hyperlink ref="AB72" r:id="rId14"/>
    <hyperlink ref="AB74" r:id="rId15"/>
    <hyperlink ref="AC81" r:id="rId16"/>
    <hyperlink ref="AD81" r:id="rId17"/>
    <hyperlink ref="AE81" r:id="rId18"/>
    <hyperlink ref="AF81" r:id="rId19"/>
    <hyperlink ref="AG81" r:id="rId20"/>
    <hyperlink ref="AC82" r:id="rId21"/>
    <hyperlink ref="AD82" r:id="rId22"/>
    <hyperlink ref="AE82" r:id="rId23"/>
    <hyperlink ref="AF82" r:id="rId24"/>
    <hyperlink ref="AG82" r:id="rId25"/>
    <hyperlink ref="AH82" r:id="rId26"/>
    <hyperlink ref="AC83" r:id="rId27"/>
    <hyperlink ref="AD83" r:id="rId28"/>
    <hyperlink ref="AE83" r:id="rId29"/>
    <hyperlink ref="AF83" r:id="rId30"/>
    <hyperlink ref="AH83" r:id="rId31"/>
    <hyperlink ref="AG83" r:id="rId32"/>
    <hyperlink ref="AC84" r:id="rId33"/>
    <hyperlink ref="AD84" r:id="rId34"/>
    <hyperlink ref="AE84" r:id="rId35"/>
    <hyperlink ref="AF84" r:id="rId36"/>
    <hyperlink ref="AC85" r:id="rId37"/>
    <hyperlink ref="AD85" r:id="rId38"/>
    <hyperlink ref="AE85" r:id="rId39"/>
    <hyperlink ref="AF85" r:id="rId40"/>
    <hyperlink ref="AG85" r:id="rId41"/>
    <hyperlink ref="AC86" r:id="rId42"/>
    <hyperlink ref="AD86" r:id="rId43"/>
    <hyperlink ref="AE86" r:id="rId44"/>
    <hyperlink ref="AC87" r:id="rId45"/>
    <hyperlink ref="AD87" r:id="rId46"/>
    <hyperlink ref="AE87" r:id="rId47"/>
    <hyperlink ref="AF87" r:id="rId48"/>
    <hyperlink ref="AG87" r:id="rId49"/>
    <hyperlink ref="AH87" r:id="rId50"/>
    <hyperlink ref="AB88" r:id="rId51"/>
    <hyperlink ref="AB89" r:id="rId52"/>
    <hyperlink ref="AB90" r:id="rId53"/>
    <hyperlink ref="AC91" r:id="rId54"/>
    <hyperlink ref="AD91" r:id="rId55"/>
    <hyperlink ref="AE91" r:id="rId56"/>
    <hyperlink ref="AF91" r:id="rId57"/>
    <hyperlink ref="AG91" r:id="rId58"/>
    <hyperlink ref="AB349" r:id="rId59" display="https://www.jivi.com.ar/ficha.php?id=187"/>
    <hyperlink ref="AB351" r:id="rId60" display="https://www.jivi.com.ar/ficha.php?id=4"/>
    <hyperlink ref="AB361" r:id="rId61" display="https://www.jivi.com.ar/ficha.php?id=55"/>
    <hyperlink ref="AB364" r:id="rId62" display="https://www.jivi.com.ar/ficha.php?id=209"/>
    <hyperlink ref="AB365" r:id="rId63"/>
    <hyperlink ref="AB374" r:id="rId64" display="https://www.jivi.com.ar/ficha.php?id=380"/>
    <hyperlink ref="AB378" r:id="rId65" display="https://www.jivi.com.ar/ficha.php?id=548"/>
    <hyperlink ref="AB379" r:id="rId66"/>
    <hyperlink ref="AB382" r:id="rId67" display="https://www.jivi.com.ar/ficha.php?id=719"/>
    <hyperlink ref="AB100" r:id="rId68" display="https://www.jivi.com.ar/ficha.php?id=326"/>
    <hyperlink ref="AB104" r:id="rId69" display="https://www.jivi.com.ar/ficha.php?id=134"/>
    <hyperlink ref="AB145" r:id="rId70" display="https://www.jivi.com.ar/ficha.php?id=394"/>
    <hyperlink ref="AB146" r:id="rId71" display="https://www.jivi.com.ar/ficha.php?id=145"/>
    <hyperlink ref="AB149" r:id="rId72" display="https://www.jivi.com.ar/ficha.php?id=18"/>
    <hyperlink ref="AB153" r:id="rId73" display="https://www.jivi.com.ar/ficha.php?id=19"/>
    <hyperlink ref="AB162" r:id="rId74" display="https://www.jivi.com.ar/ficha.php?id=142"/>
    <hyperlink ref="AB163" r:id="rId75" display="https://www.jivi.com.ar/ficha.php?id=392"/>
    <hyperlink ref="AB164" r:id="rId76" display="https://www.jivi.com.ar/ficha.php?id=393"/>
    <hyperlink ref="AB193" r:id="rId77" display="https://www.jivi.com.ar/ficha.php?id=135"/>
    <hyperlink ref="AB194" r:id="rId78" display="https://www.jivi.com.ar/ficha.php?id=136"/>
    <hyperlink ref="AB195" r:id="rId79" display="https://www.jivi.com.ar/ficha.php?id=137"/>
    <hyperlink ref="AB196" r:id="rId80" display="https://www.jivi.com.ar/ficha.php?id=138"/>
    <hyperlink ref="AB204" r:id="rId81" display="https://www.jivi.com.ar/ficha.php?id=245"/>
    <hyperlink ref="AB218" r:id="rId82" display="https://www.jivi.com.ar/ficha.php?id=166"/>
    <hyperlink ref="AB219" r:id="rId83" display="https://www.jivi.com.ar/ficha.php?id=171"/>
    <hyperlink ref="AB223" r:id="rId84" display="https://www.jivi.com.ar/ficha.php?id=168"/>
    <hyperlink ref="AB230" r:id="rId85" display="https://www.jivi.com.ar/ficha.php?id=169"/>
    <hyperlink ref="AB231" r:id="rId86" display="https://www.jivi.com.ar/ficha.php?id=148"/>
    <hyperlink ref="AB232" r:id="rId87" display="https://www.jivi.com.ar/ficha.php?id=158"/>
    <hyperlink ref="AB703" r:id="rId88" display="https://www.jivi.com.ar/ficha.php?id=621"/>
    <hyperlink ref="AB704" r:id="rId89" display="https://www.jivi.com.ar/ficha.php?id=622"/>
    <hyperlink ref="AB95" r:id="rId90" display="https://www.jivi.com.ar/ficha.php?id=456"/>
    <hyperlink ref="AB291" r:id="rId91" display="https://www.jivi.com.ar/ficha.php?id=246"/>
    <hyperlink ref="AB473" r:id="rId92" display="https://www.jivi.com.ar/ficha.php?id=431"/>
    <hyperlink ref="AB482" r:id="rId93" display="https://www.jivi.com.ar/ficha.php?id=728"/>
    <hyperlink ref="AB506" r:id="rId94"/>
    <hyperlink ref="AB508" r:id="rId95"/>
    <hyperlink ref="AB516" r:id="rId96"/>
    <hyperlink ref="AB518" r:id="rId97"/>
    <hyperlink ref="AB521" r:id="rId98"/>
    <hyperlink ref="AB522" r:id="rId99"/>
    <hyperlink ref="AB523" r:id="rId100"/>
    <hyperlink ref="AB525" r:id="rId101"/>
    <hyperlink ref="AB526" r:id="rId102"/>
    <hyperlink ref="AB528" r:id="rId103"/>
    <hyperlink ref="AB533" r:id="rId104"/>
    <hyperlink ref="AB534" r:id="rId105"/>
    <hyperlink ref="AB686" r:id="rId106"/>
    <hyperlink ref="AB691" r:id="rId107"/>
    <hyperlink ref="AB692" r:id="rId108"/>
    <hyperlink ref="AB356" r:id="rId109" display="https://www.jivi.com.ar/ficha.php?id=51"/>
    <hyperlink ref="AB366" r:id="rId110"/>
    <hyperlink ref="B7:V7" location="'Artículos Publicitarios'!A686" display="PARA IR A LOS RECARGOS POR IMPRESIONES ADICIONALES CLICK AQUÍ"/>
    <hyperlink ref="AB510" r:id="rId111"/>
    <hyperlink ref="AC51" r:id="rId112"/>
    <hyperlink ref="AD51" r:id="rId113"/>
    <hyperlink ref="AE51" r:id="rId114"/>
    <hyperlink ref="B7:W7" location="'Artículos Publicitarios'!A767" display="PARA IR A LOS RECARGOS POR IMPRESIONES ADICIONALES CLICK AQUÍ"/>
    <hyperlink ref="AB245" r:id="rId115" display="https://www.jivi.com.ar/ficha.php?id=840"/>
    <hyperlink ref="AE2:AF2" location="'Artículos Publicitarios'!A839" display="CLICK AQUÍ"/>
    <hyperlink ref="AE2" location="'Artículos Publicitarios'!A833" display="CLICK AQUÍ"/>
    <hyperlink ref="AB576" r:id="rId116" display="https://www.jivi.com.ar/ficha.php?id=846"/>
    <hyperlink ref="AB26" r:id="rId117" display="https://www.jivi.com.ar/ficha.php?id=848"/>
    <hyperlink ref="AB75" r:id="rId118"/>
    <hyperlink ref="AE2:AG2" location="'Artículos Publicitarios'!A826" display="CLICK AQUÍ"/>
    <hyperlink ref="B814:W814" location="'Artículos Publicitarios'!A3" display="PARA SUBIR AL PRINCIPIO DE LA LISTA CLICK AQUÍ"/>
    <hyperlink ref="AB285" r:id="rId119" display="https://www.jivi.com.ar/ficha.php?id=862"/>
    <hyperlink ref="AB44" r:id="rId120"/>
    <hyperlink ref="AB165" r:id="rId121" display="https://www.jivi.com.ar/ficha.php?id=882"/>
    <hyperlink ref="AF11:AH11" location="'Artículos Publicitarios'!A181" display="IR A PAGINA 3"/>
    <hyperlink ref="AF79:AH79" location="'Artículos Publicitarios'!A3" display="IR A PAGINA 1"/>
    <hyperlink ref="AF159:AH159" location="'Artículos Publicitarios'!A3" display="IR A PAGINA 1"/>
    <hyperlink ref="AF239:AH239" location="'Artículos Publicitarios'!A3" display="IR A PAGINA 1"/>
    <hyperlink ref="AF319:AH319" location="'Artículos Publicitarios'!A3" display="IR A PAGINA 1"/>
    <hyperlink ref="AF399:AH399" location="'Artículos Publicitarios'!A3" display="IR A PAGINA 1"/>
    <hyperlink ref="AB707" r:id="rId122" display="https://www.jivi.com.ar/ficha.php?id=903"/>
    <hyperlink ref="AB22" r:id="rId123"/>
    <hyperlink ref="AB700" r:id="rId124" display="https://www.jivi.com.ar/ficha.php?id=918"/>
    <hyperlink ref="AB352" r:id="rId125" display="https://www.jivi.com.ar/ficha.php?id=926"/>
    <hyperlink ref="AB67" r:id="rId126"/>
    <hyperlink ref="AB503" r:id="rId127"/>
    <hyperlink ref="AB197" r:id="rId128" display="https://www.jivi.com.ar/ficha.php?id=948"/>
    <hyperlink ref="AB362" r:id="rId129" display="https://www.jivi.com.ar/ficha.php?id=954"/>
    <hyperlink ref="AB140" r:id="rId130"/>
    <hyperlink ref="AB142" r:id="rId131"/>
    <hyperlink ref="AB141" r:id="rId132"/>
    <hyperlink ref="AB511" r:id="rId133"/>
    <hyperlink ref="AB27" r:id="rId134"/>
    <hyperlink ref="AB357" r:id="rId135" display="https://www.jivi.com.ar/ficha.php?id=850"/>
    <hyperlink ref="AB143" r:id="rId136"/>
    <hyperlink ref="AB529" r:id="rId137"/>
    <hyperlink ref="AB530" r:id="rId138"/>
    <hyperlink ref="AB383" r:id="rId139" display="https://www.jivi.com.ar/ficha.php?id=1023"/>
    <hyperlink ref="AB353" r:id="rId140" display="https://www.jivi.com.ar/ficha.php?id=1025"/>
    <hyperlink ref="AB359" r:id="rId141" display="https://www.jivi.com.ar/ficha.php?id=647"/>
    <hyperlink ref="AB347" r:id="rId142" display="https://www.jivi.com.ar/ficha.php?id=1049"/>
    <hyperlink ref="AB24" r:id="rId143" display="https://www.jivi.com.ar/ficha.php?id=364"/>
    <hyperlink ref="AF27:AI27" location="'Artículos Publicitarios'!A545" display="IR A GORROS"/>
    <hyperlink ref="AF24:AI24" location="'Artículos Publicitarios'!A684" display="IR A PROD. SUBLIMADOS"/>
    <hyperlink ref="AB371" r:id="rId144" display="https://www.jivi.com.ar/ficha.php?id=1095"/>
    <hyperlink ref="AB354" r:id="rId145" display="https://www.jivi.com.ar/ficha.php?id=1094"/>
    <hyperlink ref="AB350" r:id="rId146" display="https://www.jivi.com.ar/ficha.php?id=297"/>
    <hyperlink ref="AB389" r:id="rId147" display="https://www.jivi.com.ar/ficha.php?id=1097"/>
    <hyperlink ref="AB98" r:id="rId148" display="https://www.jivi.com.ar/ficha.php?id=1098"/>
    <hyperlink ref="AB21" r:id="rId149"/>
    <hyperlink ref="AB234" r:id="rId150"/>
    <hyperlink ref="AB345" r:id="rId151" display="https://www.jivi.com.ar/ficha.php?id=1108"/>
    <hyperlink ref="AB373" r:id="rId152" display="https://www.jivi.com.ar/ficha.php?id=1116"/>
    <hyperlink ref="AF683:AH683" location="'Artículos Publicitarios'!A3" display="IR A PAGINA 1"/>
    <hyperlink ref="AF25:AI25" location="'Artículos Publicitarios'!A165" display="IR A CARPITAS"/>
    <hyperlink ref="AF21:AI21" location="'Artículos Publicitarios'!A129" display="IR A CINTAS COLGANTES"/>
    <hyperlink ref="AF28:AI28" location="'Artículos Publicitarios'!A264" display="IR A PORTADOCUMENTOS"/>
    <hyperlink ref="AB190" r:id="rId153" display="https://www.jivi.com.ar/ficha.php?id=1119"/>
    <hyperlink ref="AB191" r:id="rId154"/>
    <hyperlink ref="AB695" r:id="rId155" display="https://www.jivi.com.ar/ficha.php?id=1154"/>
    <hyperlink ref="AB705" r:id="rId156" display="https://www.jivi.com.ar/ficha.php?id=1157"/>
    <hyperlink ref="AB706" r:id="rId157" display="https://www.jivi.com.ar/ficha.php?id=1158"/>
    <hyperlink ref="AB678" r:id="rId158" display="hhttps://www.jivi.com.ar/ficha.php?id=1155"/>
    <hyperlink ref="AB679" r:id="rId159" display="https://www.jivi.com.ar/ficha.php?id=1156"/>
    <hyperlink ref="AB355" r:id="rId160"/>
    <hyperlink ref="AB52" r:id="rId161" display="https://www.jivi.com.ar/ficha.php?id=1172"/>
    <hyperlink ref="AB358" r:id="rId162"/>
    <hyperlink ref="AB97" r:id="rId163"/>
    <hyperlink ref="AB128" r:id="rId164"/>
    <hyperlink ref="AB360" r:id="rId165" display="https://www.jivi.com.ar/ficha.php?id=915"/>
    <hyperlink ref="AB107" r:id="rId166" display="https://www.jivi.com.ar/ficha.php?id=1182"/>
    <hyperlink ref="AB127" r:id="rId167" display="https://www.jivi.com.ar/ficha.php?id=1183"/>
    <hyperlink ref="AB129" r:id="rId168"/>
    <hyperlink ref="AB363" r:id="rId169" display="https://www.jivi.com.ar/ficha.php?id=349"/>
    <hyperlink ref="AB434" r:id="rId170" display="https://www.jivi.com.ar/ficha.php?id=1190"/>
    <hyperlink ref="AB105" r:id="rId171" display="https://www.jivi.com.ar/ficha.php?id=1181"/>
    <hyperlink ref="AB369" r:id="rId172"/>
    <hyperlink ref="AB512" r:id="rId173"/>
    <hyperlink ref="AB437" r:id="rId174" display="https://www.jivi.com.ar/ficha.php?id=1219"/>
    <hyperlink ref="AB49" r:id="rId175"/>
    <hyperlink ref="AB48" r:id="rId176"/>
    <hyperlink ref="AB50" r:id="rId177"/>
    <hyperlink ref="AB708" r:id="rId178" display="https://www.jivi.com.ar/ficha.php?id=904"/>
    <hyperlink ref="AB59" r:id="rId179" display="00085-1B"/>
    <hyperlink ref="AB469" r:id="rId180" display="https://www.jivi.com.ar/ficha.php?id=1225"/>
    <hyperlink ref="AB43" r:id="rId181"/>
    <hyperlink ref="AB701" r:id="rId182" display="https://www.jivi.com.ar/ficha.php?id=919"/>
    <hyperlink ref="AB42" r:id="rId183"/>
    <hyperlink ref="AB166" r:id="rId184" display="https://www.jivi.com.ar/ficha.php?id=883"/>
    <hyperlink ref="AB538" r:id="rId185"/>
    <hyperlink ref="AB133" r:id="rId186" display="https://jivi.com.ar/ficha.php?id=89"/>
    <hyperlink ref="AB577" r:id="rId187" display="https://www.jivi.com.ar/ficha.php?id=1248"/>
    <hyperlink ref="AB372" r:id="rId188" display="https://www.jivi.com.ar/ficha.php?id=1253"/>
    <hyperlink ref="AB286" r:id="rId189" display="https://www.jivi.com.ar/ficha.php?id=1124"/>
    <hyperlink ref="AB167" r:id="rId190" display="https://www.jivi.com.ar/ficha.php?id=1261"/>
    <hyperlink ref="AB409" r:id="rId191" display="https://www.jivi.com.ar/ficha.php?id=1267"/>
    <hyperlink ref="AB470" r:id="rId192" display="https://www.jivi.com.ar/ficha.php?id=1268"/>
    <hyperlink ref="AB411" r:id="rId193" display="https://www.jivi.com.ar/ficha.php?id=1277"/>
    <hyperlink ref="AB733" r:id="rId194"/>
    <hyperlink ref="AB96" r:id="rId195" display="https://www.jivi.com.ar/ficha.php?id=378"/>
    <hyperlink ref="AB188" r:id="rId196"/>
    <hyperlink ref="AB106" r:id="rId197"/>
    <hyperlink ref="AB108" r:id="rId198"/>
    <hyperlink ref="AB122" r:id="rId199" display="https://www.jivi.com.ar/ficha.php?id=1305"/>
    <hyperlink ref="AB123" r:id="rId200"/>
    <hyperlink ref="AB233" r:id="rId201" display="https://www.jivi.com.ar/ficha.php?id=1287"/>
    <hyperlink ref="AB680" r:id="rId202" display="https://www.jivi.com.ar/ficha.php?id=1290"/>
    <hyperlink ref="AB101" r:id="rId203" display="https://www.jivi.com.ar/ficha.php?id=1314"/>
    <hyperlink ref="AJ1:AJ2" location="'Artículos Publicitarios'!A3" display="IR A PAGINA 1"/>
    <hyperlink ref="AB187" r:id="rId204"/>
    <hyperlink ref="AB393" r:id="rId205" display="https://www.jivi.com.ar/ficha.php?id=1344"/>
    <hyperlink ref="AB124" r:id="rId206"/>
    <hyperlink ref="AF774:AH774" location="'Artículos Publicitarios'!A3" display="IR A PAGINA 1"/>
    <hyperlink ref="AB170" r:id="rId207" display="https://www.jivi.com.ar/ficha.php?id=1346"/>
    <hyperlink ref="AB171" r:id="rId208" display="https://www.jivi.com.ar/ficha.php?id=1347"/>
    <hyperlink ref="AB210" r:id="rId209" display="https://www.jivi.com.ar/ficha.php?id=1348"/>
    <hyperlink ref="AB394" r:id="rId210" display="https://www.jivi.com.ar/ficha.php?id=1359"/>
    <hyperlink ref="AB414" r:id="rId211" display="https://www.jivi.com.ar/ficha.php?id=1360"/>
    <hyperlink ref="AB189" r:id="rId212"/>
    <hyperlink ref="AB103" r:id="rId213" display="https://www.jivi.com.ar/ficha.php?id=1366"/>
    <hyperlink ref="AC8:AI9" r:id="rId214" display="REGISTRATE EN NUESTRA WEB PARA BAJAR LISTA DE PRECIOS DESDE CUALQUIER PC"/>
    <hyperlink ref="AB287" r:id="rId215" display="https://www.jivi.com.ar/ficha.php?id=864"/>
    <hyperlink ref="AB421" r:id="rId216" display="https://www.jivi.com.ar/ficha.php?id=1372"/>
    <hyperlink ref="AB418" r:id="rId217" display="https://www.jivi.com.ar/ficha.php?id=1378"/>
    <hyperlink ref="AB422" r:id="rId218" display="https://www.jivi.com.ar/ficha.php?id=1382"/>
    <hyperlink ref="AB417" r:id="rId219" display="https://www.jivi.com.ar/ficha.php?id=1383"/>
    <hyperlink ref="AB442" r:id="rId220" display="https://www.jivi.com.ar/ficha.php?id=1384"/>
    <hyperlink ref="AB135" r:id="rId221" display="https://www.jivi.com.ar/ficha.php?id=1428"/>
    <hyperlink ref="AB443" r:id="rId222" display="https://www.jivi.com.ar/ficha.php?id=1385"/>
    <hyperlink ref="AB441" r:id="rId223" display="https://www.jivi.com.ar/ficha.php?id=1387"/>
    <hyperlink ref="AB444" r:id="rId224" display="https://www.jivi.com.ar/ficha.php?id=1389"/>
    <hyperlink ref="AB23" r:id="rId225" display="https://www.jivi.com.ar/ficha.php?id=363"/>
    <hyperlink ref="AF23" location="'Artículos Publicitarios'!A582" display="IR A REMERAS"/>
    <hyperlink ref="AF23:AI23" location="'Artículos Publicitarios'!A538" display="IR A REMERAS"/>
    <hyperlink ref="AF28:AJ28" location="'Artículos Publicitarios'!A236" display="IR A PORTADOCUMENTOS"/>
    <hyperlink ref="AF26:AH26" location="'Artículos Publicitarios'!A427" display="IR A BOLIGRAFOS"/>
    <hyperlink ref="AF26:AI26" location="'Artículos Publicitarios'!A128" display="IR A LLAVEROS DE CUERO"/>
    <hyperlink ref="AF26:AJ26" location="'Artículos Publicitarios'!A704" display="IR A ART. DE CUERO - CUCHILLERIA"/>
    <hyperlink ref="AB58" r:id="rId226" display="https://www.jivi.com.ar/ficha.php?id=236"/>
    <hyperlink ref="AB175" r:id="rId227" display="https://www.jivi.com.ar/ficha.php?id=1343"/>
    <hyperlink ref="AF13:AH13" location="'Artículos Publicitarios'!A342" display="IR A PAGINA 5"/>
    <hyperlink ref="AF14:AH14" location="'Artículos Publicitarios'!A421" display="IR A PAGINA 6"/>
    <hyperlink ref="AB423" r:id="rId228" display="https://www.jivi.com.ar/ficha.php?id=1394"/>
    <hyperlink ref="AB235" r:id="rId229" display="https://www.jivi.com.ar/ficha.php?id=872"/>
    <hyperlink ref="AB155" r:id="rId230" display="https://www.jivi.com.ar/ficha.php?id=1399"/>
    <hyperlink ref="AF20:AH20" location="'Artículos Publicitarios'!A427" display="IR A BOLIGRAFOS"/>
    <hyperlink ref="AF20:AI20" location="'Artículos Publicitarios'!A128" display="IR A LLAVEROS DE CUERO"/>
    <hyperlink ref="AF20:AJ20" location="'Artículos Publicitarios'!A365" display="IR A BOLIGRAFOS"/>
    <hyperlink ref="AB440" r:id="rId231" display="https://www.jivi.com.ar/ficha.php?id=1262"/>
    <hyperlink ref="AB415" r:id="rId232" display="https://www.jivi.com.ar/ficha.php?id=1400"/>
    <hyperlink ref="AB424" r:id="rId233" display="https://www.jivi.com.ar/ficha.php?id=1401"/>
    <hyperlink ref="AB168" r:id="rId234" display="https://www.jivi.com.ar/ficha.php?id=1392"/>
    <hyperlink ref="AB280" r:id="rId235" display="https://www.jivi.com.ar/ficha.php?id=1230"/>
    <hyperlink ref="AB395" r:id="rId236" display="https://www.jivi.com.ar/ficha.php?id=1110"/>
    <hyperlink ref="AB403" r:id="rId237" display="https://www.jivi.com.ar/ficha.php?id=1111"/>
    <hyperlink ref="AF22:AI22" location="'Artículos Publicitarios'!A325" display="IR A SET DE NOTAS"/>
    <hyperlink ref="AF22:AJ22" location="'Artículos Publicitarios'!A564" display="IR A PARAGUAS"/>
    <hyperlink ref="AB92" r:id="rId238" display="https://www.jivi.com.ar/ficha.php?id=477"/>
    <hyperlink ref="AB94" r:id="rId239" display="https://www.jivi.com.ar/ficha.php?id=376"/>
    <hyperlink ref="AB13" r:id="rId240" display="https://www.jivi.com.ar/ficha.php?id=1402"/>
    <hyperlink ref="AB571" r:id="rId241" display="https://www.jivi.com.ar/ficha.php?id=1393"/>
    <hyperlink ref="AB18" r:id="rId242" display="https://www.jivi.com.ar/ficha.php?id=1405"/>
    <hyperlink ref="AB132" r:id="rId243" display="https://www.jivi.com.ar/ficha.php?id=1413"/>
    <hyperlink ref="AB184" r:id="rId244" display="https://www.jivi.com.ar/ficha.php?id=1415"/>
    <hyperlink ref="AF12:AH12" location="'Artículos Publicitarios'!A260" display="IR A PAGINA 4"/>
    <hyperlink ref="AB340" r:id="rId245" display="https://www.jivi.com.ar/ficha.php?id=1356"/>
    <hyperlink ref="AB222" r:id="rId246" display="https://www.jivi.com.ar/ficha.php?id=1084"/>
    <hyperlink ref="AB338" r:id="rId247" display="https://www.jivi.com.ar/ficha.php?id=1353"/>
    <hyperlink ref="AF29:AH29" location="'Artículos Publicitarios'!A427" display="IR A BOLIGRAFOS"/>
    <hyperlink ref="AF29:AI29" location="'Artículos Publicitarios'!A128" display="IR A LLAVEROS DE CUERO"/>
    <hyperlink ref="AF29:AJ29" location="'Artículos Publicitarios'!A758" display="IR A DELANTALES"/>
    <hyperlink ref="AB738" r:id="rId248"/>
    <hyperlink ref="AB741" r:id="rId249"/>
    <hyperlink ref="AB702" r:id="rId250" display="https://www.jivi.com.ar/ficha.php?id=1281"/>
    <hyperlink ref="AB728" r:id="rId251"/>
    <hyperlink ref="AB306" r:id="rId252" display="https://www.jivi.com.ar/ficha.php?id=1421"/>
    <hyperlink ref="AB309" r:id="rId253" display="https://www.jivi.com.ar/ficha.php?id=1422"/>
    <hyperlink ref="AB310" r:id="rId254" display="https://www.jivi.com.ar/ficha.php?id=1423"/>
    <hyperlink ref="AB336" r:id="rId255" display="https://www.jivi.com.ar/ficha.php?id=1425"/>
    <hyperlink ref="AB337" r:id="rId256" display="https://www.jivi.com.ar/ficha.php?id=1426"/>
    <hyperlink ref="AB467" r:id="rId257" display="https://www.jivi.com.ar/ficha.php?id=1429"/>
    <hyperlink ref="AB514" r:id="rId258"/>
    <hyperlink ref="AB566" r:id="rId259" display="https://www.jivi.com.ar/ficha.php?id=1436"/>
    <hyperlink ref="AB567" r:id="rId260" display="https://www.jivi.com.ar/ficha.php?id=1437"/>
    <hyperlink ref="AB568" r:id="rId261"/>
    <hyperlink ref="AB570" r:id="rId262" display="https://www.jivi.com.ar/ficha.php?id=1439"/>
    <hyperlink ref="AB308" r:id="rId263" display="https://www.jivi.com.ar/ficha.php?id=1442"/>
    <hyperlink ref="AB333" r:id="rId264" display="https://www.jivi.com.ar/ficha.php?id=1427"/>
    <hyperlink ref="AB693" r:id="rId265"/>
    <hyperlink ref="AB388" r:id="rId266" display="https://www.jivi.com.ar/ficha.php?id=1056"/>
    <hyperlink ref="AB279" r:id="rId267" display="https://www.jivi.com.ar/ficha.php?id=1334"/>
    <hyperlink ref="AB273" r:id="rId268" display="https://www.jivi.com.ar/ficha.php?id=1335"/>
    <hyperlink ref="AB322" r:id="rId269" display="https://www.jivi.com.ar/ficha.php?id=1446"/>
    <hyperlink ref="AB339" r:id="rId270" display="https://www.jivi.com.ar/ficha.php?id=1354"/>
    <hyperlink ref="AB328" r:id="rId271" display="https://www.jivi.com.ar/ficha.php?id=1448"/>
    <hyperlink ref="AB344" r:id="rId272" display="https://www.jivi.com.ar/ficha.php?id=1450"/>
    <hyperlink ref="AB206" r:id="rId273"/>
    <hyperlink ref="AB504" r:id="rId274"/>
    <hyperlink ref="AB734" r:id="rId275"/>
    <hyperlink ref="AB430" r:id="rId276" display="https://www.jivi.com.ar/ficha.php?id=1463"/>
    <hyperlink ref="AB431" r:id="rId277" display="https://www.jivi.com.ar/ficha.php?id=1464"/>
    <hyperlink ref="AB572" r:id="rId278" display="https://www.jivi.com.ar/ficha.php?id=1467"/>
    <hyperlink ref="AB580" r:id="rId279"/>
    <hyperlink ref="AB581" r:id="rId280" display="https://www.jivi.com.ar/ficha.php?id=1472"/>
    <hyperlink ref="AB524" r:id="rId281"/>
    <hyperlink ref="AB675" r:id="rId282"/>
    <hyperlink ref="AB676" r:id="rId283"/>
    <hyperlink ref="AB674" r:id="rId284"/>
    <hyperlink ref="AB227" r:id="rId285" display="https://www.jivi.com.ar/ficha.php?id=1478"/>
    <hyperlink ref="AB228" r:id="rId286"/>
    <hyperlink ref="AB229" r:id="rId287"/>
    <hyperlink ref="AB221" r:id="rId288" display="https://www.jivi.com.ar/ficha.php?id=1481"/>
    <hyperlink ref="AB241" r:id="rId289" display="https://www.jivi.com.ar/ficha.php?id=1483"/>
    <hyperlink ref="AB271" r:id="rId290" display="https://www.jivi.com.ar/ficha.php?id=1486"/>
    <hyperlink ref="AB272" r:id="rId291" display="https://www.jivi.com.ar/ficha.php?id=1488"/>
    <hyperlink ref="AB696" r:id="rId292" display="https://www.jivi.com.ar/ficha.php?id=1492"/>
    <hyperlink ref="AB697" r:id="rId293" display="https://www.jivi.com.ar/ficha.php?id=1493"/>
    <hyperlink ref="AB698" r:id="rId294" display="https://www.jivi.com.ar/ficha.php?id=1494"/>
    <hyperlink ref="AB699" r:id="rId295"/>
    <hyperlink ref="AB713" r:id="rId296" display="https://www.jivi.com.ar/ficha.php?id=1496"/>
    <hyperlink ref="AB714" r:id="rId297" display="https://www.jivi.com.ar/ficha.php?id=1497"/>
    <hyperlink ref="AB716" r:id="rId298" display="httphttps://www.jivi.com.ar/ficha.php?id=1498"/>
    <hyperlink ref="AB717" r:id="rId299" display="https://www.jivi.com.ar/ficha.php?id=1499"/>
    <hyperlink ref="AB723" r:id="rId300" display="https://www.jivi.com.ar/ficha.php?id=1500"/>
    <hyperlink ref="AB37" r:id="rId301"/>
    <hyperlink ref="AB39" r:id="rId302"/>
    <hyperlink ref="AB36" r:id="rId303"/>
    <hyperlink ref="AB38" r:id="rId304"/>
    <hyperlink ref="AB40" r:id="rId305"/>
    <hyperlink ref="AB41" r:id="rId306"/>
    <hyperlink ref="AB564" r:id="rId307" display="https://www.jivi.com.ar/ficha.php?id=1509"/>
    <hyperlink ref="AB540" r:id="rId308"/>
    <hyperlink ref="AB305" r:id="rId309" display="https://www.jivi.com.ar/ficha.php?id=1515"/>
    <hyperlink ref="AB71" r:id="rId310"/>
    <hyperlink ref="AB73" r:id="rId311"/>
    <hyperlink ref="AB426" r:id="rId312" display="https://www.jivi.com.ar/ficha.php?id=1523"/>
    <hyperlink ref="AB304" r:id="rId313" display="https://www.jivi.com.ar/ficha.php?id=1559"/>
    <hyperlink ref="AB307" r:id="rId314" display="https://www.jivi.com.ar/ficha.php?id=1527"/>
    <hyperlink ref="AB259" r:id="rId315" display="https://www.jivi.com.ar/ficha.php?id=1532"/>
    <hyperlink ref="AB269" r:id="rId316" display="https://www.jivi.com.ar/ficha.php?id=1534"/>
    <hyperlink ref="AB724" r:id="rId317" display="https://www.jivi.com.ar/ficha.php?id=1535"/>
    <hyperlink ref="AB725" r:id="rId318" display="https://www.jivi.com.ar/ficha.php?id=1536"/>
    <hyperlink ref="AB244" r:id="rId319" display="https://www.jivi.com.ar/ficha.php?id=1539"/>
    <hyperlink ref="AB139" r:id="rId320" display="https://www.jivi.com.ar/ficha.php?id=1540"/>
    <hyperlink ref="AB578" r:id="rId321" display="https://www.jivi.com.ar/ficha.php?id=1541"/>
    <hyperlink ref="AB579" r:id="rId322" display="https://www.jivi.com.ar/ficha.php?id=1542"/>
    <hyperlink ref="AB253" r:id="rId323" display="https://www.jivi.com.ar/ficha.php?id=1545"/>
    <hyperlink ref="AB401" r:id="rId324"/>
    <hyperlink ref="AB370" r:id="rId325" display="https://www.jivi.com.ar/ficha.php?id=981"/>
    <hyperlink ref="AB427" r:id="rId326" display="https://www.jivi.com.ar/ficha.php?id=1548"/>
    <hyperlink ref="AB428" r:id="rId327" display="https://www.jivi.com.ar/ficha.php?id=1549"/>
    <hyperlink ref="AB484" r:id="rId328"/>
    <hyperlink ref="AB459" r:id="rId329" display="https://www.jivi.com.ar/ficha.php?id=1552"/>
    <hyperlink ref="AB391" r:id="rId330" display="https://www.jivi.com.ar/ficha.php?id=1311"/>
    <hyperlink ref="AB154" r:id="rId331" display="https://www.jivi.com.ar/ficha.php?id=1553"/>
    <hyperlink ref="AB150" r:id="rId332" display="https://www.jivi.com.ar/ficha.php?id=1554"/>
    <hyperlink ref="AB622" r:id="rId333" display="https://www.jivi.com.ar/ficha.php?id=1555"/>
    <hyperlink ref="AB57" r:id="rId334" display="https://www.jivi.com.ar/ficha.php?id=1557"/>
    <hyperlink ref="AB739" r:id="rId335"/>
    <hyperlink ref="AB242" r:id="rId336" display="https://www.jivi.com.ar/ficha.php?id=518"/>
    <hyperlink ref="AB207" r:id="rId337" display="https://www.jivi.com.ar/ficha.php?id=1561"/>
    <hyperlink ref="AB10" r:id="rId338" display="https://www.jivi.com.ar/ficha.php?id=26"/>
    <hyperlink ref="AB246" r:id="rId339" display="https://www.jivi.com.ar/ficha.php?id=1066"/>
    <hyperlink ref="AB250" r:id="rId340" display="https://www.jivi.com.ar/ficha.php?id=1562"/>
    <hyperlink ref="AB474" r:id="rId341" display="https://www.jivi.com.ar/ficha.php?id=1563"/>
    <hyperlink ref="AB169" r:id="rId342" display="https://www.jivi.com.ar/ficha.php?id=1414"/>
    <hyperlink ref="AB19" r:id="rId343" display="https://www.jivi.com.ar/ficha.php?id=790"/>
    <hyperlink ref="AB313" r:id="rId344" display="https://www.jivi.com.ar/ficha.php?id=1407"/>
    <hyperlink ref="AB312" r:id="rId345" display="https://www.jivi.com.ar/ficha.php?id=1409"/>
    <hyperlink ref="AB314" r:id="rId346" display="https://www.jivi.com.ar/ficha.php?id=1408"/>
    <hyperlink ref="AB302" r:id="rId347" display="https://www.jivi.com.ar/ficha.php?id=1564"/>
    <hyperlink ref="AB29" r:id="rId348" display="https://www.jivi.com.ar/ficha.php?id=1434"/>
    <hyperlink ref="AB432" r:id="rId349" display="https://www.jivi.com.ar/ficha.php?id=1567"/>
    <hyperlink ref="AB45" r:id="rId350"/>
    <hyperlink ref="AB46" r:id="rId351"/>
    <hyperlink ref="AB47" r:id="rId352"/>
    <hyperlink ref="AB136" r:id="rId353" display="https://www.jivi.com.ar/ficha.php?id=1571"/>
    <hyperlink ref="AB220" r:id="rId354"/>
    <hyperlink ref="AB429" r:id="rId355" display="https://www.jivi.com.ar/ficha.php?id=1572"/>
    <hyperlink ref="AB303" r:id="rId356" display="https://www.jivi.com.ar/ficha.php?id=1573"/>
    <hyperlink ref="AB593" r:id="rId357" display="https://www.jivi.com.ar/ficha.php?id=1294"/>
    <hyperlink ref="AF17:AJ17" location="'Artículos Publicitarios'!A606" display="IR A MOCHILAS - BOLSOS - ETC"/>
    <hyperlink ref="AB602" r:id="rId358" display="https://www.jivi.com.ar/ficha.php?id=1271"/>
    <hyperlink ref="AB601" r:id="rId359" display="https://www.jivi.com.ar/ficha.php?id=1296"/>
    <hyperlink ref="AB607" r:id="rId360" display="https://www.jivi.com.ar/ficha.php?id=1139"/>
    <hyperlink ref="AB598" r:id="rId361" display="https://www.jivi.com.ar/ficha.php?id=1249"/>
    <hyperlink ref="AB643" r:id="rId362" display="https://www.jivi.com.ar/ficha.php?id=1574"/>
    <hyperlink ref="AB600" r:id="rId363" display="https://www.jivi.com.ar/ficha.php?id=1576"/>
    <hyperlink ref="AB611" r:id="rId364" display="https://www.jivi.com.ar/ficha.php?id=1580"/>
    <hyperlink ref="AB612" r:id="rId365" display="https://www.jivi.com.ar/ficha.php?id=1581"/>
    <hyperlink ref="AB615" r:id="rId366" display="https://www.jivi.com.ar/ficha.php?id=1583"/>
    <hyperlink ref="AB616" r:id="rId367" display="https://www.jivi.com.ar/ficha.php?id=1584"/>
    <hyperlink ref="AB618" r:id="rId368" display="https://www.jivi.com.ar/ficha.php?id=1586"/>
    <hyperlink ref="AF19:AJ19" location="'Artículos Publicitarios'!A267" display="IR A CUADERNOS"/>
    <hyperlink ref="AB282" r:id="rId369" display="https://www.jivi.com.ar/ficha.php?id=1221"/>
    <hyperlink ref="AB288" r:id="rId370" display="https://www.jivi.com.ar/ficha.php?id=1588"/>
    <hyperlink ref="AB554" r:id="rId371"/>
    <hyperlink ref="AB555" r:id="rId372" display="https://www.jivi.com.ar/ficha.php?id=1590"/>
    <hyperlink ref="AB561" r:id="rId373"/>
    <hyperlink ref="AB562" r:id="rId374" display="https://www.jivi.com.ar/ficha.php?id=1592"/>
    <hyperlink ref="AB623" r:id="rId375" display="https://www.jivi.com.ar/ficha.php?id=1593"/>
    <hyperlink ref="AB300" r:id="rId376" display="https://www.jivi.com.ar/ficha.php?id=1595"/>
    <hyperlink ref="AB450" r:id="rId377" display="https://www.jivi.com.ar/ficha.php?id=1596"/>
    <hyperlink ref="AB624" r:id="rId378" display="https://www.jivi.com.ar/ficha.php?id=1598"/>
    <hyperlink ref="AB617" r:id="rId379" display="https://www.jivi.com.ar/ficha.php?id=1599"/>
    <hyperlink ref="AB626" r:id="rId380" display="https://www.jivi.com.ar/ficha.php?id=1602"/>
    <hyperlink ref="AB631" r:id="rId381" display="https://www.jivi.com.ar/ficha.php?id=1603"/>
    <hyperlink ref="AB60" r:id="rId382" display="00085-1N"/>
    <hyperlink ref="AB632" r:id="rId383" display="https://www.jivi.com.ar/ficha.php?id=1604"/>
    <hyperlink ref="AB633" r:id="rId384" display="https://www.jivi.com.ar/ficha.php?id=1606"/>
    <hyperlink ref="AB325" r:id="rId385" display="https://www.jivi.com.ar/ficha.php?id=1424"/>
    <hyperlink ref="AB192" r:id="rId386"/>
    <hyperlink ref="AB264" r:id="rId387" display="https://www.jivi.com.ar/ficha.php?id=1459"/>
    <hyperlink ref="AB263" r:id="rId388" display="https://www.jivi.com.ar/ficha.php?id=1608"/>
    <hyperlink ref="AB262" r:id="rId389" display="https://www.jivi.com.ar/ficha.php?id=1609"/>
    <hyperlink ref="AB283" r:id="rId390" display="https://www.jivi.com.ar/ficha.php?id=1274"/>
    <hyperlink ref="AB614" r:id="rId391" display="https://www.jivi.com.ar/ficha.php?id=1611"/>
    <hyperlink ref="AB613" r:id="rId392" display="https://www.jivi.com.ar/ficha.php?id=1612"/>
    <hyperlink ref="AB213" r:id="rId393" display="https://www.jivi.com.ar/ficha.php?id=1614"/>
    <hyperlink ref="AB211" r:id="rId394" display="https://www.jivi.com.ar/ficha.php?id=1452"/>
    <hyperlink ref="AB652" r:id="rId395" display="https://www.jivi.com.ar/ficha.php?id=1617"/>
    <hyperlink ref="AB653" r:id="rId396" display="https://www.jivi.com.ar/ficha.php?id=1618"/>
    <hyperlink ref="AB552" r:id="rId397"/>
    <hyperlink ref="AB553" r:id="rId398" display="https://www.jivi.com.ar/ficha.php?id=1620"/>
    <hyperlink ref="AB574" r:id="rId399" display="https://www.jivi.com.ar/ficha.php?id=1204"/>
    <hyperlink ref="AB575" r:id="rId400"/>
    <hyperlink ref="AB368" r:id="rId401"/>
    <hyperlink ref="AB539" r:id="rId402"/>
    <hyperlink ref="AB687" r:id="rId403"/>
    <hyperlink ref="AB743" r:id="rId404"/>
    <hyperlink ref="AB744" r:id="rId405"/>
    <hyperlink ref="AB745" r:id="rId406"/>
    <hyperlink ref="AB406" r:id="rId407" display="https://www.jivi.com.ar/ficha.php?id=1641"/>
    <hyperlink ref="AB727" r:id="rId408"/>
    <hyperlink ref="AB489" r:id="rId409"/>
    <hyperlink ref="AB181" r:id="rId410" display="https://www.jivi.com.ar/ficha.php?id=1660"/>
    <hyperlink ref="AB99" r:id="rId411" display="https://www.jivi.com.ar/ficha.php?id=440"/>
    <hyperlink ref="AB737" r:id="rId412"/>
    <hyperlink ref="AB742" r:id="rId413"/>
    <hyperlink ref="AB563" r:id="rId414" display="https://www.jivi.com.ar/ficha.php?id=1684"/>
    <hyperlink ref="AB408" r:id="rId415" display="https://www.jivi.com.ar/ficha.php?id=1272"/>
    <hyperlink ref="AB407" r:id="rId416" display="https://www.jivi.com.ar/ficha.php?id=1687"/>
    <hyperlink ref="AB405" r:id="rId417" display="https://www.jivi.com.ar/ficha.php?id=1672"/>
    <hyperlink ref="AB619" r:id="rId418" display="https://www.jivi.com.ar/ficha.php?id=1690"/>
    <hyperlink ref="AB551" r:id="rId419" display="https://www.jivi.com.ar/ficha.php?id=1691"/>
    <hyperlink ref="AB569" r:id="rId420" display="https://www.jivi.com.ar/ficha.php?id=1438"/>
    <hyperlink ref="AF544:AH544" location="'Artículos Publicitarios'!A3" display="IR A PAGINA 1"/>
    <hyperlink ref="AB30" r:id="rId421" display="https://www.jivi.com.ar/ficha.php?id=36"/>
    <hyperlink ref="AB549" r:id="rId422"/>
    <hyperlink ref="AB550" r:id="rId423" display="https://www.jivi.com.ar/ficha.php?id=1698"/>
    <hyperlink ref="AB451" r:id="rId424" display="https://www.jivi.com.ar/ficha.php?id=1699"/>
    <hyperlink ref="AB541" r:id="rId425"/>
    <hyperlink ref="AB425" r:id="rId426" display="https://www.jivi.com.ar/ficha.php?id=1462"/>
    <hyperlink ref="AB258" r:id="rId427" display="https://www.jivi.com.ar/ficha.php?id=1531"/>
    <hyperlink ref="AB256" r:id="rId428" display="https://www.jivi.com.ar/ficha.php?id=1528"/>
    <hyperlink ref="AB468" r:id="rId429"/>
    <hyperlink ref="AB375" r:id="rId430" display="https://www.jivi.com.ar/ficha.php?id=977"/>
    <hyperlink ref="AB447" r:id="rId431" display="https://www.jivi.com.ar/ficha.php?id=1457"/>
    <hyperlink ref="AB446" r:id="rId432" display="https://www.jivi.com.ar/ficha.php?id=1456"/>
    <hyperlink ref="AB376" r:id="rId433" display="https://www.jivi.com.ar/ficha.php?id=1707"/>
    <hyperlink ref="AB377" r:id="rId434" display="https://www.jivi.com.ar/ficha.php?id=1708"/>
    <hyperlink ref="AB548" r:id="rId435" display="https://www.jivi.com.ar/ficha.php?id=1722"/>
    <hyperlink ref="AB14" r:id="rId436" display="https://www.jivi.com.ar/ficha.php?id=1723"/>
    <hyperlink ref="AB203" r:id="rId437"/>
    <hyperlink ref="AB199" r:id="rId438"/>
    <hyperlink ref="AB201" r:id="rId439"/>
    <hyperlink ref="AB200" r:id="rId440"/>
    <hyperlink ref="AB202" r:id="rId441"/>
    <hyperlink ref="AB198" r:id="rId442"/>
    <hyperlink ref="AB688" r:id="rId443"/>
    <hyperlink ref="AB690" r:id="rId444"/>
    <hyperlink ref="AB710" r:id="rId445"/>
    <hyperlink ref="AB712" r:id="rId446"/>
    <hyperlink ref="AB694" r:id="rId447"/>
    <hyperlink ref="AB644" r:id="rId448" display="https://www.jivi.com.ar/ficha.php?id=1575"/>
    <hyperlink ref="AB634" r:id="rId449" display="https://www.jivi.com.ar/ficha.php?id=1743"/>
    <hyperlink ref="AB635" r:id="rId450" display="https://www.jivi.com.ar/ficha.php?id=1744"/>
    <hyperlink ref="AB636" r:id="rId451" display="https://www.jivi.com.ar/ficha.php?id=1745"/>
    <hyperlink ref="AB608" r:id="rId452" display="https://www.jivi.com.ar/ficha.php?id=1746"/>
    <hyperlink ref="AB685" r:id="rId453"/>
    <hyperlink ref="AB546" r:id="rId454"/>
    <hyperlink ref="AB547" r:id="rId455" display="https://www.jivi.com.ar/ficha.php?id=1749"/>
    <hyperlink ref="AB596" r:id="rId456"/>
    <hyperlink ref="AB740" r:id="rId457"/>
    <hyperlink ref="AB449" r:id="rId458"/>
    <hyperlink ref="AB311" r:id="rId459" display="https://www.jivi.com.ar/ficha.php?id=1461"/>
    <hyperlink ref="AB620" r:id="rId460" display="https://www.jivi.com.ar/ficha.php?id=1776"/>
    <hyperlink ref="AB134" r:id="rId461" display="https://www.jivi.com.ar/ficha.php?id=1310"/>
    <hyperlink ref="AB513" r:id="rId462"/>
    <hyperlink ref="AB64" r:id="rId463" display="https://www.jivi.com.ar/ficha.php?id=76"/>
    <hyperlink ref="AB63" r:id="rId464"/>
    <hyperlink ref="AB61" r:id="rId465"/>
    <hyperlink ref="AB251" r:id="rId466" display="https://www.jivi.com.ar/ficha.php?id=1709"/>
    <hyperlink ref="AB654" r:id="rId467" display="https://www.jivi.com.ar/ficha.php?id=1710"/>
    <hyperlink ref="AB665" r:id="rId468"/>
    <hyperlink ref="AB669" r:id="rId469"/>
    <hyperlink ref="AB671" r:id="rId470"/>
    <hyperlink ref="AB603" r:id="rId471" display="https://www.jivi.com.ar/ficha.php?id=1293"/>
    <hyperlink ref="AB277" r:id="rId472" display="https://www.jivi.com.ar/ficha.php?id=1340"/>
    <hyperlink ref="AB281" r:id="rId473" display="https://www.jivi.com.ar/ficha.php?id=1265"/>
    <hyperlink ref="AB270" r:id="rId474" display="https://www.jivi.com.ar/ficha.php?id=1487"/>
    <hyperlink ref="AB125" r:id="rId475"/>
    <hyperlink ref="AB130" r:id="rId476"/>
    <hyperlink ref="AB126" r:id="rId477"/>
    <hyperlink ref="AB131" r:id="rId478"/>
    <hyperlink ref="AB321" r:id="rId479" display="https://www.jivi.com.ar/ficha.php?id=1447"/>
    <hyperlink ref="AB386" r:id="rId480" display="https://www.jivi.com.ar/ficha.php?id=1087"/>
    <hyperlink ref="AB515" r:id="rId481"/>
    <hyperlink ref="AB138" r:id="rId482" display="https://www.jivi.com.ar/ficha.php?id=1451"/>
    <hyperlink ref="AB274" r:id="rId483"/>
    <hyperlink ref="AB380" r:id="rId484" display="https://www.jivi.com.ar/ficha.php?id=1805"/>
    <hyperlink ref="AB343" r:id="rId485" display="https://www.jivi.com.ar/ficha.php?id=1342"/>
    <hyperlink ref="AB387" r:id="rId486" display="https://www.jivi.com.ar/ficha.php?id=1070"/>
    <hyperlink ref="AB390" r:id="rId487"/>
    <hyperlink ref="AB456" r:id="rId488" display="https://www.jivi.com.ar/ficha.php?id=1597"/>
    <hyperlink ref="AB392" r:id="rId489" display="https://www.jivi.com.ar/ficha.php?id=1131"/>
    <hyperlink ref="AB299" r:id="rId490" display="https://www.jivi.com.ar/ficha.php?id=1774"/>
    <hyperlink ref="AB436" r:id="rId491" display="https://www.jivi.com.ar/ficha.php?id=1820"/>
    <hyperlink ref="AB255" r:id="rId492" display="https://www.jivi.com.ar/ficha.php?id=1544"/>
    <hyperlink ref="AB260" r:id="rId493" display="https://www.jivi.com.ar/ficha.php?id=1533"/>
    <hyperlink ref="AF10:AH10" location="'Artículos Publicitarios'!A101" display="IR A PAGINA 2"/>
    <hyperlink ref="AB621" r:id="rId494" display="https://www.jivi.com.ar/ficha.php?id=1556"/>
    <hyperlink ref="AB637" r:id="rId495" display="https://www.jivi.com.ar/ficha.php?id=1825"/>
    <hyperlink ref="AB289" r:id="rId496" display="https://www.jivi.com.ar/ficha.php?id=1491"/>
    <hyperlink ref="AB205" r:id="rId497" display="https://www.jivi.com.ar/ficha.php?id=149"/>
    <hyperlink ref="AB301" r:id="rId498" display="https://www.jivi.com.ar/ficha.php?id=1594"/>
    <hyperlink ref="AB448" r:id="rId499"/>
    <hyperlink ref="AB212" r:id="rId500" display="https://www.jivi.com.ar/ficha.php?id=1799"/>
    <hyperlink ref="AB735" r:id="rId501"/>
    <hyperlink ref="AB736" r:id="rId502"/>
    <hyperlink ref="AB284" r:id="rId503" display="https://www.jivi.com.ar/ficha.php?id=1077"/>
    <hyperlink ref="AB367" r:id="rId504"/>
    <hyperlink ref="AB651" r:id="rId505" display="https://www.jivi.com.ar/ficha.php?id=1616"/>
    <hyperlink ref="AB265" r:id="rId506" display="https://www.jivi.com.ar/ficha.php?id=1520"/>
    <hyperlink ref="AB275" r:id="rId507"/>
    <hyperlink ref="AB323" r:id="rId508" display="https://www.jivi.com.ar/ficha.php?id=1443"/>
    <hyperlink ref="AB137" r:id="rId509" display="https://www.jivi.com.ar/ficha.php?id=1055"/>
    <hyperlink ref="AB689" r:id="rId510"/>
    <hyperlink ref="AB257" r:id="rId511" display="https://www.jivi.com.ar/ficha.php?id=1530"/>
    <hyperlink ref="AB420" r:id="rId512" display="https://www.jivi.com.ar/ficha.php?id=1379"/>
    <hyperlink ref="AB419" r:id="rId513" display="https://www.jivi.com.ar/ficha.php?id=1380"/>
    <hyperlink ref="AB381" r:id="rId514" display="https://www.jivi.com.ar/ficha.php?id=1840"/>
    <hyperlink ref="AB588" r:id="rId515" display="https://www.jivi.com.ar/ficha.php?id=1371"/>
    <hyperlink ref="AB670" r:id="rId516"/>
    <hyperlink ref="AB610" r:id="rId517" display="https://www.jivi.com.ar/ficha.php?id=1579"/>
    <hyperlink ref="AB604" r:id="rId518" display="https://www.jivi.com.ar/ficha.php?id=1138"/>
    <hyperlink ref="AB590" r:id="rId519" display="https://www.jivi.com.ar/ficha.php?id=1911"/>
    <hyperlink ref="AB592" r:id="rId520" display="https://www.jivi.com.ar/ficha.php?id=1916"/>
    <hyperlink ref="AB591" r:id="rId521" display="https://www.jivi.com.ar/ficha.php?id=1912"/>
    <hyperlink ref="AF586:AH586" location="'Artículos Publicitarios'!A3" display="IR A PAGINA 1"/>
    <hyperlink ref="AF15:AI15" location="'Artículos Publicitarios'!A502" display="IR A PAGINA 7"/>
    <hyperlink ref="AF16:AI16" location="'Artículos Publicitarios'!A584" display="IR A PAGINA 8"/>
    <hyperlink ref="AB433" r:id="rId522" display="https://www.jivi.com.ar/ficha.php?id=1386"/>
    <hyperlink ref="AB404" r:id="rId523" display="https://www.jivi.com.ar/ficha.php?id=1566"/>
    <hyperlink ref="AB252" r:id="rId524" display="https://www.jivi.com.ar/ficha.php?id=1998"/>
    <hyperlink ref="AB290" r:id="rId525" display="https://www.jivi.com.ar/ficha.php?id=1411"/>
    <hyperlink ref="AB625" r:id="rId526" display="https://www.jivi.com.ar/ficha.php?id=1601"/>
    <hyperlink ref="AB609" r:id="rId527" display="https://www.jivi.com.ar/ficha.php?id=1577"/>
    <hyperlink ref="AB605" r:id="rId528" display="https://www.jivi.com.ar/ficha.php?id=1245"/>
    <hyperlink ref="AB630" r:id="rId529" display="https://www.jivi.com.ar/ficha.php?id=2003"/>
    <hyperlink ref="AB261" r:id="rId530" display="https://www.jivi.com.ar/ficha.php?id=2007"/>
    <hyperlink ref="AB178" r:id="rId531" display="https://www.jivi.com.ar/ficha.php?id=1258"/>
    <hyperlink ref="AB493" r:id="rId532"/>
    <hyperlink ref="AB439" r:id="rId533" display="https://www.jivi.com.ar/ficha.php?id=1720"/>
    <hyperlink ref="AB520" r:id="rId534"/>
    <hyperlink ref="AB254" r:id="rId535" display="https://www.jivi.com.ar/ficha.php?id=2011"/>
    <hyperlink ref="AB385" r:id="rId536"/>
    <hyperlink ref="AB597" r:id="rId537" display="https://www.jivi.com.ar/ficha.php?id=2014"/>
    <hyperlink ref="AB438" r:id="rId538" display="https://www.jivi.com.ar/ficha.php?id=2017"/>
    <hyperlink ref="AB452" r:id="rId539" display="https://www.jivi.com.ar/ficha.php?id=2018"/>
    <hyperlink ref="AB276" r:id="rId540" display="https://www.jivi.com.ar/ficha.php?id=1339"/>
    <hyperlink ref="AB298" r:id="rId541" display="https://www.jivi.com.ar/ficha.php?id=2026"/>
    <hyperlink ref="AB243" r:id="rId542" display="https://www.jivi.com.ar/ficha.php?id=335"/>
    <hyperlink ref="AB348" r:id="rId543" display="https://www.jivi.com.ar/ficha.php?id=444"/>
    <hyperlink ref="AB498" r:id="rId544"/>
    <hyperlink ref="AB499" r:id="rId545"/>
    <hyperlink ref="AB655" r:id="rId546" display="https://www.jivi.com.ar/ficha.php?id=2040"/>
    <hyperlink ref="AB731" r:id="rId547" display="https://www.jivi.com.ar/ficha.php?id=1662"/>
    <hyperlink ref="AB711" r:id="rId548" display="https://www.jivi.com.ar/ficha.php?id=2042"/>
    <hyperlink ref="AB531" r:id="rId549"/>
    <hyperlink ref="AB532" r:id="rId550"/>
    <hyperlink ref="AB535" r:id="rId551"/>
    <hyperlink ref="AF479:AH479" location="'Artículos Publicitarios'!A3" display="IR A PAGINA 1"/>
    <hyperlink ref="AB445" r:id="rId552" display="https://www.jivi.com.ar/ficha.php?id=1390"/>
    <hyperlink ref="AB413" r:id="rId553" display="https://www.jivi.com.ar/ficha.php?id=1280"/>
    <hyperlink ref="AB412" r:id="rId554" display="https://www.jivi.com.ar/ficha.php?id=1278"/>
    <hyperlink ref="AB278" r:id="rId555" display="https://www.jivi.com.ar/ficha.php?id=1256"/>
    <hyperlink ref="AB324" r:id="rId556" display="https://www.jivi.com.ar/ficha.php?id=1410"/>
    <hyperlink ref="AB330" r:id="rId557" display="https://www.jivi.com.ar/articulos.php?search=1066"/>
    <hyperlink ref="AB17" r:id="rId558" display="https://www.jivi.com.ar/ficha.php?id=1433"/>
    <hyperlink ref="AB183" r:id="rId559" display="https://www.jivi.com.ar/ficha.php?id=1416"/>
    <hyperlink ref="AB629" r:id="rId560" display="https://www.jivi.com.ar/ficha.php?id=2051"/>
    <hyperlink ref="AB174" r:id="rId561" display="https://www.jivi.com.ar/ficha.php?id=2052"/>
    <hyperlink ref="AB435" r:id="rId562"/>
    <hyperlink ref="AB266" r:id="rId563" display="https://www.jivi.com.ar/ficha.php?id=2058"/>
    <hyperlink ref="AB249" r:id="rId564" display="https://www.jivi.com.ar/ficha.php?id=971"/>
    <hyperlink ref="AB248" r:id="rId565" display="https://www.jivi.com.ar/ficha.php?id=2059"/>
    <hyperlink ref="AB730" r:id="rId566" display="https://www.jivi.com.ar/ficha.php?id=2060"/>
    <hyperlink ref="AB709" r:id="rId567" display="https://www.jivi.com.ar/ficha.php?id=2061"/>
    <hyperlink ref="AB726" r:id="rId568" display="https://www.jivi.com.ar/ficha.php?id=2062"/>
    <hyperlink ref="AB176" r:id="rId569" display="https://www.jivi.com.ar/ficha.php?id=2337"/>
    <hyperlink ref="AB208" r:id="rId570" display="https://www.jivi.com.ar/ficha.php?id=1391"/>
    <hyperlink ref="AB209" r:id="rId571" display="https://www.jivi.com.ar/ficha.php?id=2066"/>
    <hyperlink ref="AB453" r:id="rId572" display="https://www.jivi.com.ar/ficha.php?id=2067"/>
    <hyperlink ref="AB454" r:id="rId573" display="https://www.jivi.com.ar/ficha.php?id=2068"/>
    <hyperlink ref="AB595" r:id="rId574" display="https://www.jivi.com.ar/ficha.php?id=1295"/>
    <hyperlink ref="AB658" r:id="rId575" display="https://www.jivi.com.ar/ficha.php?id=2069"/>
    <hyperlink ref="AB628" r:id="rId576" display="https://www.jivi.com.ar/ficha.php?id=2070"/>
    <hyperlink ref="AB589" r:id="rId577" display="https://www.jivi.com.ar/ficha.php?id=2083"/>
    <hyperlink ref="AB180" r:id="rId578" display="https://www.jivi.com.ar/ficha.php?id=1266"/>
    <hyperlink ref="AB185" r:id="rId579" display="https://www.jivi.com.ar/ficha.php?id=2084"/>
    <hyperlink ref="AB179" r:id="rId580" display="https://www.jivi.com.ar/ficha.php?id=2085"/>
    <hyperlink ref="AB186" r:id="rId581" display="https://www.jivi.com.ar/ficha.php?id=1001"/>
    <hyperlink ref="AB102" r:id="rId582" display="https://www.jivi.com.ar/ficha.php?id=333"/>
    <hyperlink ref="AB455" r:id="rId583" display="https://www.jivi.com.ar/ficha.php?id=1512"/>
    <hyperlink ref="AB457" r:id="rId584" display="https://www.jivi.com.ar/ficha.php?id=1786"/>
    <hyperlink ref="AB384" r:id="rId585" display="https://www.jivi.com.ar/ficha.php?id=1299"/>
    <hyperlink ref="AB656" r:id="rId586" display="https://www.jivi.com.ar/ficha.php?id=2097"/>
    <hyperlink ref="AB458" r:id="rId587" display="https://www.jivi.com.ar/ficha.php?id=2101"/>
    <hyperlink ref="AB536" r:id="rId588"/>
    <hyperlink ref="AB537" r:id="rId589"/>
    <hyperlink ref="AB182" r:id="rId590" display="https://www.jivi.com.ar/ficha.php?id=2142"/>
    <hyperlink ref="AB267" r:id="rId591" display="https://www.jivi.com.ar/ficha.php?id=2147"/>
    <hyperlink ref="AB268" r:id="rId592" display="https://www.jivi.com.ar/ficha.php?id=2146"/>
    <hyperlink ref="AB346" r:id="rId593" display="https://www.jivi.com.ar/ficha.php?id=1403"/>
    <hyperlink ref="AF18:AJ18" location="'Artículos Publicitarios'!A313" display="IR A BOTELLAS Y JARROS"/>
    <hyperlink ref="AB494" r:id="rId594"/>
    <hyperlink ref="AB495" r:id="rId595"/>
    <hyperlink ref="AB496" r:id="rId596"/>
    <hyperlink ref="AB326" r:id="rId597" display="https://www.jivi.com.ar/ficha.php?id=2178"/>
    <hyperlink ref="AB11" r:id="rId598" display="https://www.jivi.com.ar/ficha.php?id=2105"/>
    <hyperlink ref="AB297" r:id="rId599" display="https://www.jivi.com.ar/ficha.php?id=2224"/>
    <hyperlink ref="AB410" r:id="rId600" display="https://www.jivi.com.ar/ficha.php?id=1279"/>
    <hyperlink ref="AB505" r:id="rId601"/>
    <hyperlink ref="AB627" r:id="rId602" display="https://www.jivi.com.ar/ficha.php?id=2231"/>
    <hyperlink ref="AB606" r:id="rId603" display="https://www.jivi.com.ar/ficha.php?id=2230"/>
    <hyperlink ref="AB565" r:id="rId604" display="https://www.jivi.com.ar/ficha.php?id=1435"/>
    <hyperlink ref="AB315" r:id="rId605" display="https://www.jivi.com.ar/ficha.php?id=2227"/>
    <hyperlink ref="AB296" r:id="rId606" display="https://www.jivi.com.ar/ficha.php?id=2225"/>
    <hyperlink ref="AB62" r:id="rId607"/>
    <hyperlink ref="AB416" r:id="rId608"/>
    <hyperlink ref="AB15" r:id="rId609" display="https://www.jivi.com.ar/ficha.php?id=2222"/>
    <hyperlink ref="AB226" r:id="rId610" display="https://www.jivi.com.ar/ficha.php?id=2226"/>
    <hyperlink ref="AB666" r:id="rId611"/>
    <hyperlink ref="AB119" r:id="rId612"/>
    <hyperlink ref="AB120" r:id="rId613"/>
    <hyperlink ref="AB121" r:id="rId614"/>
    <hyperlink ref="AB109" r:id="rId615" display="https://www.jivi.com.ar/ficha.php?id=2208"/>
    <hyperlink ref="AB110" r:id="rId616"/>
    <hyperlink ref="AB111" r:id="rId617" display="https://www.jivi.com.ar/ficha.php?id=2210"/>
    <hyperlink ref="AB112" r:id="rId618"/>
    <hyperlink ref="AB113" r:id="rId619" display="https://www.jivi.com.ar/ficha.php?id=2212"/>
    <hyperlink ref="AB114" r:id="rId620"/>
    <hyperlink ref="AB115" r:id="rId621" display="https://www.jivi.com.ar/ficha.php?id=2214"/>
    <hyperlink ref="AB117" r:id="rId622" display="https://www.jivi.com.ar/ficha.php?id=2215"/>
    <hyperlink ref="AB118" r:id="rId623"/>
    <hyperlink ref="AB247" r:id="rId624" display="https://www.jivi.com.ar/ficha.php?id=2233"/>
    <hyperlink ref="AB648" r:id="rId625" display="https://www.jivi.com.ar/ficha.php?id=2234"/>
    <hyperlink ref="AB16" r:id="rId626" display="https://www.jivi.com.ar/ficha.php?id=1251"/>
    <hyperlink ref="AB659" r:id="rId627" display="https://www.jivi.com.ar/ficha.php?id=2262"/>
    <hyperlink ref="AB216" r:id="rId628" display="https://www.jivi.com.ar/ficha.php?id=2266"/>
    <hyperlink ref="AB485" r:id="rId629"/>
    <hyperlink ref="AB487" r:id="rId630"/>
    <hyperlink ref="AB490" r:id="rId631"/>
    <hyperlink ref="AB172" r:id="rId632" display="https://www.jivi.com.ar/ficha.php?id=2271"/>
    <hyperlink ref="AB335" r:id="rId633" display="https://www.jivi.com.ar/ficha.php?id=2272"/>
    <hyperlink ref="AB161" r:id="rId634" display="https://www.jivi.com.ar/ficha.php?id=914"/>
    <hyperlink ref="AB295" r:id="rId635" display="https://www.jivi.com.ar/ficha.php?id=2273"/>
    <hyperlink ref="AB329" r:id="rId636" display="https://www.jivi.com.ar/ficha.php?id=2274"/>
    <hyperlink ref="AB599" r:id="rId637" display="https://www.jivi.com.ar/ficha.php?id=1140"/>
    <hyperlink ref="AB488" r:id="rId638"/>
    <hyperlink ref="AB492" r:id="rId639"/>
    <hyperlink ref="AB486" r:id="rId640"/>
    <hyperlink ref="AB483" r:id="rId641"/>
    <hyperlink ref="AB491" r:id="rId642"/>
    <hyperlink ref="AF559:AH559" location="'Artículos Publicitarios'!A3" display="IR A PAGINA 1"/>
    <hyperlink ref="AB732" r:id="rId643" display="https://www.jivi.com.ar/ficha.php?id=2278"/>
    <hyperlink ref="AB729" r:id="rId644" display="https://www.jivi.com.ar/ficha.php?id=2279"/>
    <hyperlink ref="AB334" r:id="rId645" display="https://www.jivi.com.ar/ficha.php?id=2281"/>
    <hyperlink ref="AB341" r:id="rId646" display="https://www.jivi.com.ar/ficha.php?id=1445"/>
    <hyperlink ref="AB293" r:id="rId647" display="https://www.jivi.com.ar/ficha.php?id=2286"/>
    <hyperlink ref="AB331" r:id="rId648" display="https://www.jivi.com.ar/ficha.php?id=2287"/>
    <hyperlink ref="AB332" r:id="rId649" display="https://www.jivi.com.ar/ficha.php?id=2288"/>
    <hyperlink ref="AB657" r:id="rId650" display="https://www.jivi.com.ar/ficha.php?id=2289"/>
    <hyperlink ref="AB327" r:id="rId651" display="https://www.jivi.com.ar/ficha.php?id=2290"/>
    <hyperlink ref="AB402" r:id="rId652"/>
    <hyperlink ref="AB173" r:id="rId653" display="https://www.jivi.com.ar/ficha.php?id=2055"/>
    <hyperlink ref="AB224" r:id="rId654"/>
    <hyperlink ref="AB294" r:id="rId655" display="https://www.jivi.com.ar/ficha.php?id=2294"/>
    <hyperlink ref="AB292" r:id="rId656" display="https://www.jivi.com.ar/ficha.php?id=2295"/>
    <hyperlink ref="AB645" r:id="rId657" display="https://www.jivi.com.ar/ficha.php?id=2296"/>
    <hyperlink ref="AB646" r:id="rId658" display="https://www.jivi.com.ar/ficha.php?id=2297"/>
    <hyperlink ref="AB647" r:id="rId659" display="https://www.jivi.com.ar/ficha.php?id=2298"/>
    <hyperlink ref="AB649" r:id="rId660" display="https://www.jivi.com.ar/ficha.php?id=2299"/>
    <hyperlink ref="AB650" r:id="rId661" display="https://www.jivi.com.ar/ficha.php?id=2300"/>
    <hyperlink ref="AB594" r:id="rId662"/>
    <hyperlink ref="AF641:AH641" location="'Artículos Publicitarios'!A3" display="IR A PAGINA 1"/>
    <hyperlink ref="AF30:AH30" location="'Artículos Publicitarios'!A427" display="IR A BOLIGRAFOS"/>
    <hyperlink ref="AF30:AI30" location="'Artículos Publicitarios'!A128" display="IR A LLAVEROS DE CUERO"/>
    <hyperlink ref="AF30:AJ30" location="'Artículos Publicitarios'!A482" display="IR A PELOTITAS ANTIESTRES"/>
    <hyperlink ref="AF721:AH721" location="'Artículos Publicitarios'!A3" display="IR A PAGINA 1"/>
    <hyperlink ref="AB667" r:id="rId663"/>
    <hyperlink ref="AB215" r:id="rId664" display="https://www.jivi.com.ar/ficha.php?id=1319"/>
    <hyperlink ref="AB460" r:id="rId665" display="https://www.jivi.com.ar/ficha.php?id=2306"/>
    <hyperlink ref="AB461" r:id="rId666" display="https://www.jivi.com.ar/ficha.php?id=2307"/>
    <hyperlink ref="AB462" r:id="rId667" display="https://www.jivi.com.ar/ficha.php?id=2308"/>
    <hyperlink ref="AB463" r:id="rId668" display="https://www.jivi.com.ar/ficha.php?id=2309"/>
    <hyperlink ref="AB464" r:id="rId669" display="https://www.jivi.com.ar/ficha.php?id=2312"/>
    <hyperlink ref="AB465" r:id="rId670" display="https://www.jivi.com.ar/ficha.php?id=2310"/>
    <hyperlink ref="AB466" r:id="rId671" display="https://www.jivi.com.ar/ficha.php?id=2313"/>
    <hyperlink ref="AB65" r:id="rId672"/>
    <hyperlink ref="AB342" r:id="rId673" display="https://jivi.com.ar/ficha.php?id=648"/>
    <hyperlink ref="AB25" r:id="rId674" display="https://www.jivi.com.ar/ficha.php?id=2327"/>
    <hyperlink ref="AB116" r:id="rId675"/>
    <hyperlink ref="AB177" r:id="rId676" display="https://www.jivi.com.ar/ficha.php?id=1369"/>
  </hyperlinks>
  <pageMargins left="0.27559055118110237" right="0.11811023622047245" top="0.19685039370078741" bottom="0.15748031496062992" header="0.11811023622047245" footer="0.15748031496062992"/>
  <pageSetup paperSize="5" orientation="portrait" copies="5" r:id="rId677"/>
  <headerFooter alignWithMargins="0"/>
  <cellWatches>
    <cellWatch r="X8"/>
  </cellWatches>
  <ignoredErrors>
    <ignoredError sqref="AB685 AB694 AB733:AB734 AB727 AB710:AB711 AB712 AB728" numberStoredAsText="1"/>
    <ignoredError sqref="X680 B27:E27 C26:E26 A210:E210 A103:E104 H396:Q396 C28:E28 H691:L693 G285 G287 G316:W316 U31 S39:S40 S36 U36 U39:U40 S42 U42 S48 U48 F542:T542 W538 G370:G372 V92:W93 F82:I89 F91:I91 F90:I90 Q105 I57:I59 U105 S105 J81:J91 B280:E280 H369:J372 G81:I81 H388:J388 H94:W94 J10:K10 X221:X223 J12:K12 X11 F540 H139 O107:O108 S107:S108 Q107:Q108 U107:U108 X467 G279:G280 V28:V29 S31 H31:M31 H29:I29 G378:J379 G393:J395 H391:J391 G312:G314 O31 Q31 H30 I195:M195 I194:M194 I193:M193 I196:M196 H193:H196 P232:W232 P231 I13 G271:G274 G305:G310 H381:K381 K362:K364 G365:K366 K368:K372 Q374 R374:W374 K387:K395 W198 W203 G302:G303 N95:W95 G262:G263 G382:K383 G178 G439:G442 G445 G291 H20:T20 G70 G175 F222:W222 F456:G456 G630:G637 G355:H355 I348:V349 F429:G429 B607:E607 G100:G101 B615:G615 B613:E613 B614:E614 G458 W64 W57 N30:W30 H23:V24 H26:J28 G512 H95:I96 J96:W96 K95:M95 G102:V104 I134:V134 W190 G219:V220 H218:M218 G217:G218 H217:V217 N218:V218 L198:V203 H199:K203 H198:K198 G198:G203 G204:V207 N193:V196 G208:W209 H192:W192 O232 G231:N232 G197:V197 G299:G300 I347 K347:W347 K375:K380 K384:K385 F433:G433 G373:W373 G374:P374 H420:W426 G538:G541 G530:G535 G592 G589:H591 B608:E608 B609:E609 B610:E610 B611:E611 I589:V589 I598 G588:I588 L607:V607 I604:V604 L598:V598 H546:W547 W685 W688 H685:V688 G690:V690 G694:K694 W709 F711:G711 O695:V703 H741:T745 F740:G741 H733:V740 H18:H19 L10:V13 H21:W22 K26:T29 W53 G54:I56 G52:V53 H66:V70 H168:V171 G467:K467 V470:V472 G605:I605 B612:E612 G712 G434 H14:V14 H17:T17 G225:W230 H343:V343 H418:V419 G668:V668 H606:I607 G548:V555 G233:V235 H298:V314 H315:W315 G665:V665 I666:V666 J54:V61 H61:I61 I62:V62 I137:V139 O135 M135 Q135 S135 U135 I135:K136 G345:V345 H709:V717 I133:Q133 G336:V336 H245:V260 H151:O152 Q151:W152 H15:T15 G210:V210 G216:I216 L216:V216 H162:S162 L470:T472 L469:V469 J172:W172 H172 F333:V333 H335:V335 H161:V161 H328:V330 K411:V417 F497:V497 H595:H598 N599:Y599 G473:V475 L496:V496 M467:V467 G469:K472 G468:V468 G730:V731 H729:V729 G732:W732 G726:V728 G334 J334:V334 H337:W341 K588:V588 I595:V597 I593 K593:V593 H600:V603 K605:V606 G342:V342 H331:W331 H332:V332 G710 G607:G614 F744:G744 H296:W297 G295:V295 H327:W327 L375:V395 H178:V191 H344:S344 G223:H223 N223:V224 T149:W150 S149 Q149 H149:O149 H150:S150 H153:V154 H292:W294 I350:K361 L350:V372 G95:G98 H97:W101 F155:V155 G212:V214 G211:O211 G250:G256 H262:V267 H261:K261 H269:V291 H268:O268 H323:V326 F410:V410 G404:V409 G428 H427:K427 N427:W427 G430:G432 H428:W449 H451:W454 J450:W450 H493:V495 J492:V492 G504:V505 H512:V527 H529:V540 J528:V528 J541:V541 H581:S581 I590:K592 N590:V592 H689:Q689 G742:G743 G745 H592:H593 G460:M460 N460:V464 H455:V459 H476:V476 N594:V594 H647:V657 H483:V491 H563:V580 K645:V646 P659:V659 J667:V667 G670:V671 G669 I669:V669 G674:V676 G672:G673 I672:V673 H725:V725 N215:V215 G221:W221 L215 P466:W466 H63:V64 H65:J65 J242:V244 G322:V322 F402:V403 H25:I25 L25:W25 F500:V503 G498:V499 L65 N65 P65 R65 T65 V65 G619:G626 H608:V637 H173:V176 H177:W177 J241:V241 F321:V321 K401:V401 J481:V481 H561:V562 F643:V644 G724:V724" formula="1"/>
    <ignoredError sqref="G389" evalError="1"/>
    <ignoredError sqref="H389:J389" evalError="1" formula="1"/>
  </ignoredErrors>
  <drawing r:id="rId678"/>
  <legacyDrawing r:id="rId67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Artículos Publicitarios</vt:lpstr>
    </vt:vector>
  </TitlesOfParts>
  <Company>JIVI PROPAGANDA S.R.L.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JIVI PROPAGANDA S.R.L.</dc:creator>
  <dc:description>Esta lista puede variar sin previo aviso.</dc:description>
  <cp:lastModifiedBy>Usuario</cp:lastModifiedBy>
  <cp:revision/>
  <cp:lastPrinted>2025-07-17T16:57:10Z</cp:lastPrinted>
  <dcterms:created xsi:type="dcterms:W3CDTF">2003-01-03T20:20:32Z</dcterms:created>
  <dcterms:modified xsi:type="dcterms:W3CDTF">2025-07-31T12:38:15Z</dcterms:modified>
</cp:coreProperties>
</file>