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3" i="1" l="1"/>
  <c r="F512" i="1"/>
  <c r="F634" i="1"/>
  <c r="F606" i="1"/>
  <c r="F270" i="1"/>
  <c r="F206" i="1"/>
  <c r="J65" i="1" l="1"/>
  <c r="L65" i="1"/>
  <c r="N65" i="1"/>
  <c r="P65" i="1"/>
  <c r="R65" i="1"/>
  <c r="T65" i="1"/>
  <c r="V65" i="1"/>
  <c r="F465" i="1" l="1"/>
  <c r="P465" i="1" s="1"/>
  <c r="Q465" i="1" s="1"/>
  <c r="R465" i="1" l="1"/>
  <c r="S465" i="1" s="1"/>
  <c r="T465" i="1"/>
  <c r="U465" i="1" s="1"/>
  <c r="V465" i="1"/>
  <c r="W465" i="1" s="1"/>
  <c r="G465" i="1"/>
  <c r="N465" i="1"/>
  <c r="O465" i="1" s="1"/>
  <c r="F637" i="1"/>
  <c r="F618" i="1"/>
  <c r="F214" i="1" l="1"/>
  <c r="G214" i="1" l="1"/>
  <c r="L214" i="1"/>
  <c r="M214" i="1" s="1"/>
  <c r="J214" i="1"/>
  <c r="K214" i="1" s="1"/>
  <c r="N214" i="1"/>
  <c r="O214" i="1" s="1"/>
  <c r="T214" i="1"/>
  <c r="U214" i="1" s="1"/>
  <c r="P214" i="1"/>
  <c r="Q214" i="1" s="1"/>
  <c r="R214" i="1"/>
  <c r="S214" i="1" s="1"/>
  <c r="V214" i="1"/>
  <c r="W214" i="1" s="1"/>
  <c r="H672" i="1"/>
  <c r="H671" i="1"/>
  <c r="H668" i="1"/>
  <c r="F666" i="1"/>
  <c r="H666" i="1" s="1"/>
  <c r="I666" i="1" s="1"/>
  <c r="G230" i="1"/>
  <c r="F464" i="1"/>
  <c r="P464" i="1" s="1"/>
  <c r="Q464" i="1" s="1"/>
  <c r="F463" i="1"/>
  <c r="N463" i="1" s="1"/>
  <c r="O463" i="1" s="1"/>
  <c r="F462" i="1"/>
  <c r="V462" i="1" s="1"/>
  <c r="W462" i="1" s="1"/>
  <c r="F461" i="1"/>
  <c r="V461" i="1" s="1"/>
  <c r="W461" i="1" s="1"/>
  <c r="F460" i="1"/>
  <c r="N460" i="1" s="1"/>
  <c r="O460" i="1" s="1"/>
  <c r="F459" i="1"/>
  <c r="G459" i="1" s="1"/>
  <c r="G592" i="1"/>
  <c r="N592" i="1"/>
  <c r="O592" i="1" s="1"/>
  <c r="J666" i="1" l="1"/>
  <c r="K666" i="1" s="1"/>
  <c r="L666" i="1"/>
  <c r="M666" i="1" s="1"/>
  <c r="N666" i="1"/>
  <c r="O666" i="1" s="1"/>
  <c r="T666" i="1"/>
  <c r="U666" i="1" s="1"/>
  <c r="P666" i="1"/>
  <c r="Q666" i="1" s="1"/>
  <c r="R666" i="1"/>
  <c r="S666" i="1" s="1"/>
  <c r="V666" i="1"/>
  <c r="W666" i="1" s="1"/>
  <c r="G464" i="1"/>
  <c r="R464" i="1"/>
  <c r="S464" i="1" s="1"/>
  <c r="T464" i="1"/>
  <c r="U464" i="1" s="1"/>
  <c r="V464" i="1"/>
  <c r="W464" i="1" s="1"/>
  <c r="N464" i="1"/>
  <c r="O464" i="1" s="1"/>
  <c r="N459" i="1"/>
  <c r="O459" i="1" s="1"/>
  <c r="R459" i="1"/>
  <c r="S459" i="1" s="1"/>
  <c r="V459" i="1"/>
  <c r="W459" i="1" s="1"/>
  <c r="P459" i="1"/>
  <c r="Q459" i="1" s="1"/>
  <c r="T459" i="1"/>
  <c r="U459" i="1" s="1"/>
  <c r="P463" i="1"/>
  <c r="Q463" i="1" s="1"/>
  <c r="R463" i="1"/>
  <c r="S463" i="1" s="1"/>
  <c r="V463" i="1"/>
  <c r="W463" i="1" s="1"/>
  <c r="G463" i="1"/>
  <c r="T463" i="1"/>
  <c r="U463" i="1" s="1"/>
  <c r="R462" i="1"/>
  <c r="S462" i="1" s="1"/>
  <c r="P462" i="1"/>
  <c r="Q462" i="1" s="1"/>
  <c r="N462" i="1"/>
  <c r="O462" i="1" s="1"/>
  <c r="T462" i="1"/>
  <c r="U462" i="1" s="1"/>
  <c r="G462" i="1"/>
  <c r="T461" i="1"/>
  <c r="U461" i="1" s="1"/>
  <c r="G461" i="1"/>
  <c r="N461" i="1"/>
  <c r="O461" i="1" s="1"/>
  <c r="P461" i="1"/>
  <c r="Q461" i="1" s="1"/>
  <c r="R461" i="1"/>
  <c r="S461" i="1" s="1"/>
  <c r="G460" i="1"/>
  <c r="P460" i="1"/>
  <c r="Q460" i="1" s="1"/>
  <c r="R460" i="1"/>
  <c r="S460" i="1" s="1"/>
  <c r="T460" i="1"/>
  <c r="U460" i="1" s="1"/>
  <c r="V460" i="1"/>
  <c r="W460" i="1" s="1"/>
  <c r="R592" i="1"/>
  <c r="S592" i="1" s="1"/>
  <c r="T592" i="1"/>
  <c r="U592" i="1" s="1"/>
  <c r="V592" i="1"/>
  <c r="W592" i="1" s="1"/>
  <c r="P592" i="1"/>
  <c r="Q592" i="1" s="1"/>
  <c r="F604" i="1"/>
  <c r="V649" i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G649" i="1"/>
  <c r="V648" i="1"/>
  <c r="W648" i="1" s="1"/>
  <c r="T648" i="1"/>
  <c r="U648" i="1" s="1"/>
  <c r="R648" i="1"/>
  <c r="S648" i="1" s="1"/>
  <c r="P648" i="1"/>
  <c r="Q648" i="1" s="1"/>
  <c r="N648" i="1"/>
  <c r="O648" i="1" s="1"/>
  <c r="L648" i="1"/>
  <c r="M648" i="1" s="1"/>
  <c r="G648" i="1"/>
  <c r="V646" i="1"/>
  <c r="W646" i="1" s="1"/>
  <c r="T646" i="1"/>
  <c r="U646" i="1" s="1"/>
  <c r="R646" i="1"/>
  <c r="S646" i="1" s="1"/>
  <c r="P646" i="1"/>
  <c r="Q646" i="1" s="1"/>
  <c r="N646" i="1"/>
  <c r="O646" i="1" s="1"/>
  <c r="L646" i="1"/>
  <c r="M646" i="1" s="1"/>
  <c r="G646" i="1"/>
  <c r="V645" i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G645" i="1"/>
  <c r="V644" i="1"/>
  <c r="W644" i="1" s="1"/>
  <c r="T644" i="1"/>
  <c r="U644" i="1" s="1"/>
  <c r="R644" i="1"/>
  <c r="S644" i="1" s="1"/>
  <c r="P644" i="1"/>
  <c r="Q644" i="1" s="1"/>
  <c r="N644" i="1"/>
  <c r="O644" i="1" s="1"/>
  <c r="L644" i="1"/>
  <c r="M644" i="1" s="1"/>
  <c r="G644" i="1"/>
  <c r="F744" i="1"/>
  <c r="F742" i="1"/>
  <c r="F727" i="1"/>
  <c r="F657" i="1" l="1"/>
  <c r="F654" i="1"/>
  <c r="F651" i="1"/>
  <c r="F650" i="1"/>
  <c r="F611" i="1"/>
  <c r="F586" i="1"/>
  <c r="F563" i="1"/>
  <c r="F548" i="1"/>
  <c r="F547" i="1"/>
  <c r="F546" i="1"/>
  <c r="F539" i="1"/>
  <c r="F513" i="1"/>
  <c r="F503" i="1"/>
  <c r="F502" i="1"/>
  <c r="F482" i="1"/>
  <c r="F457" i="1"/>
  <c r="F449" i="1"/>
  <c r="F448" i="1"/>
  <c r="F447" i="1"/>
  <c r="F446" i="1"/>
  <c r="F445" i="1"/>
  <c r="F442" i="1"/>
  <c r="F441" i="1"/>
  <c r="F440" i="1"/>
  <c r="F439" i="1"/>
  <c r="F434" i="1"/>
  <c r="F433" i="1"/>
  <c r="F431" i="1"/>
  <c r="F430" i="1"/>
  <c r="F429" i="1"/>
  <c r="F426" i="1"/>
  <c r="F427" i="1"/>
  <c r="F424" i="1"/>
  <c r="F422" i="1"/>
  <c r="F421" i="1"/>
  <c r="F420" i="1"/>
  <c r="F417" i="1"/>
  <c r="F416" i="1"/>
  <c r="F415" i="1"/>
  <c r="F414" i="1"/>
  <c r="F413" i="1"/>
  <c r="F412" i="1"/>
  <c r="F408" i="1"/>
  <c r="F407" i="1"/>
  <c r="F406" i="1"/>
  <c r="F405" i="1"/>
  <c r="F404" i="1"/>
  <c r="F403" i="1"/>
  <c r="F389" i="1"/>
  <c r="F388" i="1"/>
  <c r="F387" i="1"/>
  <c r="F386" i="1"/>
  <c r="F385" i="1"/>
  <c r="F382" i="1"/>
  <c r="F381" i="1"/>
  <c r="F380" i="1"/>
  <c r="F379" i="1"/>
  <c r="F378" i="1"/>
  <c r="F377" i="1"/>
  <c r="F375" i="1"/>
  <c r="F287" i="1"/>
  <c r="F285" i="1"/>
  <c r="F63" i="1"/>
  <c r="F279" i="1"/>
  <c r="F276" i="1"/>
  <c r="F275" i="1"/>
  <c r="F273" i="1"/>
  <c r="F272" i="1"/>
  <c r="F267" i="1"/>
  <c r="F265" i="1"/>
  <c r="F257" i="1"/>
  <c r="F255" i="1"/>
  <c r="F254" i="1"/>
  <c r="F251" i="1"/>
  <c r="F250" i="1"/>
  <c r="F248" i="1"/>
  <c r="F246" i="1"/>
  <c r="F243" i="1"/>
  <c r="F210" i="1"/>
  <c r="F204" i="1"/>
  <c r="F205" i="1"/>
  <c r="F139" i="1"/>
  <c r="F138" i="1"/>
  <c r="F161" i="1"/>
  <c r="F155" i="1"/>
  <c r="F168" i="1"/>
  <c r="F371" i="1"/>
  <c r="F370" i="1"/>
  <c r="F369" i="1"/>
  <c r="F368" i="1"/>
  <c r="F367" i="1"/>
  <c r="F364" i="1"/>
  <c r="F363" i="1"/>
  <c r="F365" i="1"/>
  <c r="F366" i="1"/>
  <c r="F362" i="1"/>
  <c r="F361" i="1"/>
  <c r="F360" i="1"/>
  <c r="F359" i="1"/>
  <c r="F358" i="1"/>
  <c r="F356" i="1"/>
  <c r="F357" i="1"/>
  <c r="F355" i="1"/>
  <c r="F354" i="1"/>
  <c r="F353" i="1"/>
  <c r="F352" i="1"/>
  <c r="F351" i="1"/>
  <c r="F344" i="1"/>
  <c r="F350" i="1"/>
  <c r="F303" i="1"/>
  <c r="F298" i="1"/>
  <c r="F297" i="1"/>
  <c r="F291" i="1"/>
  <c r="P291" i="1" s="1"/>
  <c r="Q291" i="1" s="1"/>
  <c r="F293" i="1"/>
  <c r="G293" i="1" s="1"/>
  <c r="N291" i="1" l="1"/>
  <c r="O291" i="1" s="1"/>
  <c r="R291" i="1"/>
  <c r="S291" i="1" s="1"/>
  <c r="G291" i="1"/>
  <c r="H291" i="1"/>
  <c r="I291" i="1" s="1"/>
  <c r="T291" i="1"/>
  <c r="U291" i="1" s="1"/>
  <c r="J291" i="1"/>
  <c r="K291" i="1" s="1"/>
  <c r="V291" i="1"/>
  <c r="W291" i="1" s="1"/>
  <c r="L291" i="1"/>
  <c r="M291" i="1" s="1"/>
  <c r="V293" i="1" l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F632" i="1" l="1"/>
  <c r="F631" i="1"/>
  <c r="F629" i="1"/>
  <c r="F627" i="1"/>
  <c r="F626" i="1"/>
  <c r="F625" i="1"/>
  <c r="F623" i="1"/>
  <c r="F622" i="1"/>
  <c r="F616" i="1"/>
  <c r="F621" i="1"/>
  <c r="F620" i="1"/>
  <c r="F619" i="1"/>
  <c r="F617" i="1"/>
  <c r="F630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3" i="1" l="1"/>
  <c r="W223" i="1" s="1"/>
  <c r="T223" i="1"/>
  <c r="U223" i="1" s="1"/>
  <c r="R223" i="1"/>
  <c r="S223" i="1" s="1"/>
  <c r="P223" i="1"/>
  <c r="Q223" i="1" s="1"/>
  <c r="N223" i="1"/>
  <c r="O223" i="1" s="1"/>
  <c r="G223" i="1"/>
  <c r="V222" i="1"/>
  <c r="W222" i="1" s="1"/>
  <c r="T222" i="1"/>
  <c r="U222" i="1" s="1"/>
  <c r="R222" i="1"/>
  <c r="S222" i="1" s="1"/>
  <c r="P222" i="1"/>
  <c r="Q222" i="1" s="1"/>
  <c r="F343" i="1"/>
  <c r="N343" i="1" s="1"/>
  <c r="F174" i="1"/>
  <c r="P343" i="1" l="1"/>
  <c r="R343" i="1"/>
  <c r="L343" i="1"/>
  <c r="J343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401" i="1" l="1"/>
  <c r="G401" i="1" s="1"/>
  <c r="L401" i="1" l="1"/>
  <c r="M401" i="1" s="1"/>
  <c r="N401" i="1"/>
  <c r="O401" i="1" s="1"/>
  <c r="P401" i="1"/>
  <c r="Q401" i="1" s="1"/>
  <c r="R401" i="1"/>
  <c r="S401" i="1" s="1"/>
  <c r="T401" i="1"/>
  <c r="U401" i="1" s="1"/>
  <c r="V401" i="1"/>
  <c r="W401" i="1" s="1"/>
  <c r="F423" i="1"/>
  <c r="F349" i="1"/>
  <c r="F392" i="1"/>
  <c r="F393" i="1"/>
  <c r="F409" i="1"/>
  <c r="F172" i="1"/>
  <c r="F176" i="1"/>
  <c r="F183" i="1"/>
  <c r="F182" i="1"/>
  <c r="F180" i="1"/>
  <c r="F443" i="1"/>
  <c r="F418" i="1"/>
  <c r="F444" i="1"/>
  <c r="F419" i="1"/>
  <c r="F326" i="1" l="1"/>
  <c r="L326" i="1" s="1"/>
  <c r="M326" i="1" s="1"/>
  <c r="F307" i="1"/>
  <c r="F306" i="1"/>
  <c r="F340" i="1"/>
  <c r="F294" i="1"/>
  <c r="J294" i="1" s="1"/>
  <c r="K294" i="1" s="1"/>
  <c r="F314" i="1"/>
  <c r="F329" i="1"/>
  <c r="F741" i="1"/>
  <c r="F376" i="1"/>
  <c r="N326" i="1" l="1"/>
  <c r="O326" i="1" s="1"/>
  <c r="P326" i="1"/>
  <c r="Q326" i="1" s="1"/>
  <c r="V326" i="1"/>
  <c r="W326" i="1" s="1"/>
  <c r="J326" i="1"/>
  <c r="K326" i="1" s="1"/>
  <c r="T326" i="1"/>
  <c r="U326" i="1" s="1"/>
  <c r="R326" i="1"/>
  <c r="S326" i="1" s="1"/>
  <c r="G326" i="1"/>
  <c r="H326" i="1"/>
  <c r="I326" i="1" s="1"/>
  <c r="G294" i="1"/>
  <c r="L294" i="1"/>
  <c r="M294" i="1" s="1"/>
  <c r="N294" i="1"/>
  <c r="O294" i="1" s="1"/>
  <c r="P294" i="1"/>
  <c r="Q294" i="1" s="1"/>
  <c r="V294" i="1"/>
  <c r="W294" i="1" s="1"/>
  <c r="R294" i="1"/>
  <c r="S294" i="1" s="1"/>
  <c r="H294" i="1"/>
  <c r="I294" i="1" s="1"/>
  <c r="T294" i="1"/>
  <c r="U294" i="1" s="1"/>
  <c r="F656" i="1" l="1"/>
  <c r="P656" i="1" s="1"/>
  <c r="Q656" i="1" s="1"/>
  <c r="F327" i="1"/>
  <c r="F175" i="1"/>
  <c r="F598" i="1"/>
  <c r="F599" i="1"/>
  <c r="F624" i="1"/>
  <c r="F336" i="1"/>
  <c r="F608" i="1"/>
  <c r="F633" i="1"/>
  <c r="F335" i="1"/>
  <c r="F601" i="1"/>
  <c r="F315" i="1"/>
  <c r="F321" i="1"/>
  <c r="F322" i="1"/>
  <c r="F438" i="1"/>
  <c r="F395" i="1"/>
  <c r="F394" i="1"/>
  <c r="F374" i="1"/>
  <c r="F253" i="1"/>
  <c r="F607" i="1"/>
  <c r="F711" i="1"/>
  <c r="F709" i="1"/>
  <c r="F425" i="1"/>
  <c r="F610" i="1"/>
  <c r="F609" i="1"/>
  <c r="F299" i="1"/>
  <c r="F435" i="1"/>
  <c r="F325" i="1"/>
  <c r="F331" i="1"/>
  <c r="L331" i="1" s="1"/>
  <c r="M331" i="1" s="1"/>
  <c r="F334" i="1"/>
  <c r="F330" i="1"/>
  <c r="P330" i="1" s="1"/>
  <c r="Q330" i="1" s="1"/>
  <c r="F323" i="1"/>
  <c r="P331" i="1" l="1"/>
  <c r="Q331" i="1" s="1"/>
  <c r="G656" i="1"/>
  <c r="H656" i="1"/>
  <c r="I656" i="1" s="1"/>
  <c r="J656" i="1"/>
  <c r="K656" i="1" s="1"/>
  <c r="L656" i="1"/>
  <c r="M656" i="1" s="1"/>
  <c r="R656" i="1"/>
  <c r="S656" i="1" s="1"/>
  <c r="T656" i="1"/>
  <c r="U656" i="1" s="1"/>
  <c r="V656" i="1"/>
  <c r="W656" i="1" s="1"/>
  <c r="N656" i="1"/>
  <c r="O656" i="1" s="1"/>
  <c r="R331" i="1"/>
  <c r="S331" i="1" s="1"/>
  <c r="T331" i="1"/>
  <c r="U331" i="1" s="1"/>
  <c r="N331" i="1"/>
  <c r="O331" i="1" s="1"/>
  <c r="G331" i="1"/>
  <c r="H331" i="1"/>
  <c r="I331" i="1" s="1"/>
  <c r="J331" i="1"/>
  <c r="K331" i="1" s="1"/>
  <c r="V331" i="1"/>
  <c r="W331" i="1" s="1"/>
  <c r="T330" i="1"/>
  <c r="U330" i="1" s="1"/>
  <c r="J330" i="1"/>
  <c r="K330" i="1" s="1"/>
  <c r="L330" i="1"/>
  <c r="M330" i="1" s="1"/>
  <c r="N330" i="1"/>
  <c r="O330" i="1" s="1"/>
  <c r="R330" i="1"/>
  <c r="S330" i="1" s="1"/>
  <c r="V330" i="1"/>
  <c r="W330" i="1" s="1"/>
  <c r="G330" i="1"/>
  <c r="H330" i="1"/>
  <c r="I330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G292" i="1"/>
  <c r="V341" i="1" l="1"/>
  <c r="W341" i="1" s="1"/>
  <c r="T341" i="1"/>
  <c r="U341" i="1" s="1"/>
  <c r="R341" i="1"/>
  <c r="S341" i="1" s="1"/>
  <c r="P341" i="1"/>
  <c r="Q341" i="1" s="1"/>
  <c r="N341" i="1"/>
  <c r="L341" i="1"/>
  <c r="M341" i="1" s="1"/>
  <c r="J341" i="1"/>
  <c r="K341" i="1" s="1"/>
  <c r="H341" i="1"/>
  <c r="I341" i="1" s="1"/>
  <c r="O341" i="1"/>
  <c r="G341" i="1"/>
  <c r="J626" i="1" l="1"/>
  <c r="J629" i="1"/>
  <c r="J630" i="1"/>
  <c r="J631" i="1"/>
  <c r="J632" i="1"/>
  <c r="J633" i="1"/>
  <c r="J627" i="1"/>
  <c r="J607" i="1"/>
  <c r="J608" i="1"/>
  <c r="J609" i="1"/>
  <c r="J610" i="1"/>
  <c r="J616" i="1"/>
  <c r="J617" i="1"/>
  <c r="J618" i="1"/>
  <c r="J619" i="1"/>
  <c r="J620" i="1"/>
  <c r="J621" i="1"/>
  <c r="J622" i="1"/>
  <c r="J623" i="1"/>
  <c r="J624" i="1"/>
  <c r="J625" i="1"/>
  <c r="J605" i="1"/>
  <c r="K605" i="1" s="1"/>
  <c r="J604" i="1"/>
  <c r="J601" i="1"/>
  <c r="J600" i="1"/>
  <c r="J599" i="1"/>
  <c r="J598" i="1"/>
  <c r="V340" i="1" l="1"/>
  <c r="W340" i="1" s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J333" i="1"/>
  <c r="K333" i="1" s="1"/>
  <c r="G333" i="1"/>
  <c r="F179" i="1"/>
  <c r="L340" i="1" l="1"/>
  <c r="M340" i="1" s="1"/>
  <c r="R340" i="1"/>
  <c r="S340" i="1" s="1"/>
  <c r="G340" i="1"/>
  <c r="N340" i="1"/>
  <c r="O340" i="1" s="1"/>
  <c r="P340" i="1"/>
  <c r="Q340" i="1" s="1"/>
  <c r="H340" i="1"/>
  <c r="I340" i="1" s="1"/>
  <c r="T340" i="1"/>
  <c r="U340" i="1" s="1"/>
  <c r="J340" i="1"/>
  <c r="K340" i="1" s="1"/>
  <c r="F178" i="1"/>
  <c r="F410" i="1"/>
  <c r="F177" i="1"/>
  <c r="F728" i="1" l="1"/>
  <c r="V728" i="1" s="1"/>
  <c r="W728" i="1" s="1"/>
  <c r="F731" i="1"/>
  <c r="R731" i="1" s="1"/>
  <c r="V467" i="1"/>
  <c r="T467" i="1"/>
  <c r="J467" i="1"/>
  <c r="L467" i="1"/>
  <c r="N467" i="1"/>
  <c r="P467" i="1"/>
  <c r="R467" i="1"/>
  <c r="T466" i="1"/>
  <c r="R466" i="1"/>
  <c r="L466" i="1"/>
  <c r="F489" i="1"/>
  <c r="V489" i="1" s="1"/>
  <c r="W489" i="1" s="1"/>
  <c r="J731" i="1" l="1"/>
  <c r="K731" i="1" s="1"/>
  <c r="L731" i="1"/>
  <c r="N731" i="1"/>
  <c r="P731" i="1"/>
  <c r="Q731" i="1" s="1"/>
  <c r="H731" i="1"/>
  <c r="I731" i="1" s="1"/>
  <c r="V731" i="1"/>
  <c r="W731" i="1" s="1"/>
  <c r="P728" i="1"/>
  <c r="Q728" i="1" s="1"/>
  <c r="T731" i="1"/>
  <c r="U731" i="1" s="1"/>
  <c r="N728" i="1"/>
  <c r="O728" i="1" s="1"/>
  <c r="L728" i="1"/>
  <c r="M728" i="1" s="1"/>
  <c r="R728" i="1"/>
  <c r="S728" i="1" s="1"/>
  <c r="G728" i="1"/>
  <c r="H728" i="1"/>
  <c r="I728" i="1" s="1"/>
  <c r="T728" i="1"/>
  <c r="U728" i="1" s="1"/>
  <c r="J728" i="1"/>
  <c r="K728" i="1" s="1"/>
  <c r="G731" i="1"/>
  <c r="M731" i="1"/>
  <c r="S731" i="1"/>
  <c r="O731" i="1"/>
  <c r="T489" i="1"/>
  <c r="U489" i="1" s="1"/>
  <c r="J489" i="1"/>
  <c r="K489" i="1" s="1"/>
  <c r="L489" i="1"/>
  <c r="M489" i="1" s="1"/>
  <c r="P489" i="1"/>
  <c r="Q489" i="1" s="1"/>
  <c r="H489" i="1"/>
  <c r="I489" i="1" s="1"/>
  <c r="N489" i="1"/>
  <c r="O489" i="1" s="1"/>
  <c r="R489" i="1"/>
  <c r="S489" i="1" s="1"/>
  <c r="G489" i="1"/>
  <c r="F484" i="1"/>
  <c r="P484" i="1" s="1"/>
  <c r="Q484" i="1" s="1"/>
  <c r="F481" i="1"/>
  <c r="V481" i="1" s="1"/>
  <c r="W481" i="1" s="1"/>
  <c r="L481" i="1" l="1"/>
  <c r="M481" i="1" s="1"/>
  <c r="N481" i="1"/>
  <c r="O481" i="1" s="1"/>
  <c r="R481" i="1"/>
  <c r="S481" i="1" s="1"/>
  <c r="P481" i="1"/>
  <c r="Q481" i="1" s="1"/>
  <c r="G481" i="1"/>
  <c r="H481" i="1"/>
  <c r="I481" i="1" s="1"/>
  <c r="T481" i="1"/>
  <c r="U481" i="1" s="1"/>
  <c r="J481" i="1"/>
  <c r="K481" i="1" s="1"/>
  <c r="L484" i="1"/>
  <c r="M484" i="1" s="1"/>
  <c r="G484" i="1"/>
  <c r="H484" i="1"/>
  <c r="I484" i="1" s="1"/>
  <c r="T484" i="1"/>
  <c r="U484" i="1" s="1"/>
  <c r="J484" i="1"/>
  <c r="K484" i="1" s="1"/>
  <c r="V484" i="1"/>
  <c r="W484" i="1" s="1"/>
  <c r="N484" i="1"/>
  <c r="O484" i="1" s="1"/>
  <c r="R484" i="1"/>
  <c r="S484" i="1" s="1"/>
  <c r="F490" i="1"/>
  <c r="J490" i="1" s="1"/>
  <c r="K490" i="1" s="1"/>
  <c r="F486" i="1"/>
  <c r="P486" i="1" s="1"/>
  <c r="Q486" i="1" s="1"/>
  <c r="N490" i="1" l="1"/>
  <c r="O490" i="1" s="1"/>
  <c r="R490" i="1"/>
  <c r="S490" i="1" s="1"/>
  <c r="G490" i="1"/>
  <c r="T490" i="1"/>
  <c r="U490" i="1" s="1"/>
  <c r="L490" i="1"/>
  <c r="M490" i="1" s="1"/>
  <c r="V490" i="1"/>
  <c r="W490" i="1" s="1"/>
  <c r="P490" i="1"/>
  <c r="Q490" i="1" s="1"/>
  <c r="L486" i="1"/>
  <c r="M486" i="1" s="1"/>
  <c r="N486" i="1"/>
  <c r="O486" i="1" s="1"/>
  <c r="T486" i="1"/>
  <c r="U486" i="1" s="1"/>
  <c r="R486" i="1"/>
  <c r="S486" i="1" s="1"/>
  <c r="J486" i="1"/>
  <c r="K486" i="1" s="1"/>
  <c r="V486" i="1"/>
  <c r="W486" i="1" s="1"/>
  <c r="G486" i="1"/>
  <c r="H486" i="1"/>
  <c r="I486" i="1" s="1"/>
  <c r="F597" i="1"/>
  <c r="T597" i="1" s="1"/>
  <c r="U597" i="1" s="1"/>
  <c r="F328" i="1"/>
  <c r="V328" i="1" s="1"/>
  <c r="W328" i="1" s="1"/>
  <c r="V597" i="1" l="1"/>
  <c r="W597" i="1" s="1"/>
  <c r="G597" i="1"/>
  <c r="L597" i="1"/>
  <c r="M597" i="1" s="1"/>
  <c r="N597" i="1"/>
  <c r="O597" i="1" s="1"/>
  <c r="P597" i="1"/>
  <c r="Q597" i="1" s="1"/>
  <c r="R597" i="1"/>
  <c r="S597" i="1" s="1"/>
  <c r="T328" i="1"/>
  <c r="U328" i="1" s="1"/>
  <c r="R328" i="1"/>
  <c r="S328" i="1" s="1"/>
  <c r="J328" i="1"/>
  <c r="K328" i="1" s="1"/>
  <c r="L328" i="1"/>
  <c r="M328" i="1" s="1"/>
  <c r="N328" i="1"/>
  <c r="O328" i="1" s="1"/>
  <c r="P328" i="1"/>
  <c r="Q328" i="1" s="1"/>
  <c r="G328" i="1"/>
  <c r="H328" i="1"/>
  <c r="I328" i="1" s="1"/>
  <c r="V161" i="1"/>
  <c r="W161" i="1" s="1"/>
  <c r="H161" i="1" l="1"/>
  <c r="I161" i="1" s="1"/>
  <c r="L161" i="1"/>
  <c r="M161" i="1" s="1"/>
  <c r="J161" i="1"/>
  <c r="K161" i="1" s="1"/>
  <c r="N161" i="1"/>
  <c r="O161" i="1" s="1"/>
  <c r="R161" i="1"/>
  <c r="S161" i="1" s="1"/>
  <c r="P161" i="1"/>
  <c r="Q161" i="1" s="1"/>
  <c r="T161" i="1"/>
  <c r="U161" i="1" s="1"/>
  <c r="G161" i="1"/>
  <c r="P334" i="1" l="1"/>
  <c r="Q334" i="1" s="1"/>
  <c r="N334" i="1"/>
  <c r="O334" i="1" s="1"/>
  <c r="L334" i="1"/>
  <c r="M334" i="1" s="1"/>
  <c r="V172" i="1"/>
  <c r="W172" i="1" s="1"/>
  <c r="V466" i="1"/>
  <c r="P466" i="1"/>
  <c r="N466" i="1"/>
  <c r="T471" i="1"/>
  <c r="U471" i="1" s="1"/>
  <c r="R471" i="1"/>
  <c r="S471" i="1" s="1"/>
  <c r="P471" i="1"/>
  <c r="Q471" i="1" s="1"/>
  <c r="N471" i="1"/>
  <c r="O471" i="1" s="1"/>
  <c r="L471" i="1"/>
  <c r="M471" i="1" s="1"/>
  <c r="T470" i="1"/>
  <c r="U470" i="1" s="1"/>
  <c r="R470" i="1"/>
  <c r="S470" i="1" s="1"/>
  <c r="P470" i="1"/>
  <c r="Q470" i="1" s="1"/>
  <c r="N470" i="1"/>
  <c r="O470" i="1" s="1"/>
  <c r="L470" i="1"/>
  <c r="M470" i="1" s="1"/>
  <c r="T469" i="1"/>
  <c r="U469" i="1" s="1"/>
  <c r="R469" i="1"/>
  <c r="S469" i="1" s="1"/>
  <c r="P469" i="1"/>
  <c r="Q469" i="1" s="1"/>
  <c r="N469" i="1"/>
  <c r="O469" i="1" s="1"/>
  <c r="L469" i="1"/>
  <c r="M469" i="1" s="1"/>
  <c r="T468" i="1"/>
  <c r="R468" i="1"/>
  <c r="P468" i="1"/>
  <c r="N468" i="1"/>
  <c r="L468" i="1"/>
  <c r="H172" i="1" l="1"/>
  <c r="I172" i="1" s="1"/>
  <c r="R334" i="1"/>
  <c r="S334" i="1" s="1"/>
  <c r="G334" i="1"/>
  <c r="H334" i="1"/>
  <c r="I334" i="1" s="1"/>
  <c r="T334" i="1"/>
  <c r="U334" i="1" s="1"/>
  <c r="J334" i="1"/>
  <c r="K334" i="1" s="1"/>
  <c r="V334" i="1"/>
  <c r="W334" i="1" s="1"/>
  <c r="J172" i="1"/>
  <c r="K172" i="1" s="1"/>
  <c r="L172" i="1"/>
  <c r="M172" i="1" s="1"/>
  <c r="N172" i="1"/>
  <c r="O172" i="1" s="1"/>
  <c r="P172" i="1"/>
  <c r="Q172" i="1" s="1"/>
  <c r="R172" i="1"/>
  <c r="S172" i="1" s="1"/>
  <c r="T172" i="1"/>
  <c r="U172" i="1" s="1"/>
  <c r="G172" i="1"/>
  <c r="F488" i="1"/>
  <c r="P488" i="1" s="1"/>
  <c r="Q488" i="1" s="1"/>
  <c r="F485" i="1"/>
  <c r="V485" i="1" s="1"/>
  <c r="W485" i="1" s="1"/>
  <c r="F483" i="1"/>
  <c r="G483" i="1" s="1"/>
  <c r="L488" i="1" l="1"/>
  <c r="M488" i="1" s="1"/>
  <c r="N488" i="1"/>
  <c r="O488" i="1" s="1"/>
  <c r="R488" i="1"/>
  <c r="S488" i="1" s="1"/>
  <c r="G488" i="1"/>
  <c r="H488" i="1"/>
  <c r="I488" i="1" s="1"/>
  <c r="T488" i="1"/>
  <c r="U488" i="1" s="1"/>
  <c r="J488" i="1"/>
  <c r="K488" i="1" s="1"/>
  <c r="V488" i="1"/>
  <c r="W488" i="1" s="1"/>
  <c r="J485" i="1"/>
  <c r="K485" i="1" s="1"/>
  <c r="H485" i="1"/>
  <c r="I485" i="1" s="1"/>
  <c r="L485" i="1"/>
  <c r="M485" i="1" s="1"/>
  <c r="R485" i="1"/>
  <c r="S485" i="1" s="1"/>
  <c r="T485" i="1"/>
  <c r="U485" i="1" s="1"/>
  <c r="N485" i="1"/>
  <c r="O485" i="1" s="1"/>
  <c r="P485" i="1"/>
  <c r="Q485" i="1" s="1"/>
  <c r="G485" i="1"/>
  <c r="J483" i="1" l="1"/>
  <c r="K483" i="1" s="1"/>
  <c r="L483" i="1" l="1"/>
  <c r="M483" i="1" s="1"/>
  <c r="N483" i="1"/>
  <c r="O483" i="1" s="1"/>
  <c r="P483" i="1"/>
  <c r="Q483" i="1" s="1"/>
  <c r="R483" i="1"/>
  <c r="S483" i="1" s="1"/>
  <c r="T483" i="1"/>
  <c r="U483" i="1" s="1"/>
  <c r="V483" i="1"/>
  <c r="W483" i="1" s="1"/>
  <c r="H483" i="1"/>
  <c r="I483" i="1" s="1"/>
  <c r="V215" i="1"/>
  <c r="W215" i="1" s="1"/>
  <c r="T215" i="1"/>
  <c r="U215" i="1" s="1"/>
  <c r="R215" i="1"/>
  <c r="S215" i="1" s="1"/>
  <c r="P215" i="1"/>
  <c r="Q215" i="1" s="1"/>
  <c r="N215" i="1"/>
  <c r="O215" i="1" s="1"/>
  <c r="G215" i="1"/>
  <c r="V676" i="1" l="1"/>
  <c r="W676" i="1" s="1"/>
  <c r="T676" i="1"/>
  <c r="U676" i="1" s="1"/>
  <c r="R676" i="1"/>
  <c r="S676" i="1" s="1"/>
  <c r="P676" i="1"/>
  <c r="Q676" i="1" s="1"/>
  <c r="N676" i="1"/>
  <c r="O676" i="1" s="1"/>
  <c r="L676" i="1"/>
  <c r="M676" i="1" s="1"/>
  <c r="J676" i="1"/>
  <c r="K676" i="1" s="1"/>
  <c r="V658" i="1"/>
  <c r="W658" i="1" s="1"/>
  <c r="T658" i="1"/>
  <c r="U658" i="1" s="1"/>
  <c r="R658" i="1"/>
  <c r="S658" i="1" s="1"/>
  <c r="G658" i="1"/>
  <c r="G16" i="1"/>
  <c r="F487" i="1" l="1"/>
  <c r="F458" i="1"/>
  <c r="F456" i="1"/>
  <c r="F348" i="1"/>
  <c r="F268" i="1"/>
  <c r="F262" i="1"/>
  <c r="F647" i="1" l="1"/>
  <c r="V246" i="1"/>
  <c r="W246" i="1" s="1"/>
  <c r="N647" i="1" l="1"/>
  <c r="O647" i="1" s="1"/>
  <c r="J647" i="1"/>
  <c r="V647" i="1"/>
  <c r="W647" i="1" s="1"/>
  <c r="K647" i="1"/>
  <c r="L647" i="1"/>
  <c r="M647" i="1" s="1"/>
  <c r="P647" i="1"/>
  <c r="Q647" i="1" s="1"/>
  <c r="R647" i="1"/>
  <c r="S647" i="1" s="1"/>
  <c r="G647" i="1"/>
  <c r="H647" i="1"/>
  <c r="I647" i="1" s="1"/>
  <c r="T647" i="1"/>
  <c r="U647" i="1" s="1"/>
  <c r="N246" i="1"/>
  <c r="O246" i="1" s="1"/>
  <c r="J246" i="1"/>
  <c r="K246" i="1" s="1"/>
  <c r="P246" i="1"/>
  <c r="Q246" i="1" s="1"/>
  <c r="R246" i="1"/>
  <c r="S246" i="1" s="1"/>
  <c r="L246" i="1"/>
  <c r="M246" i="1" s="1"/>
  <c r="G246" i="1"/>
  <c r="H246" i="1"/>
  <c r="I246" i="1" s="1"/>
  <c r="T246" i="1"/>
  <c r="U246" i="1" s="1"/>
  <c r="G121" i="1"/>
  <c r="G120" i="1"/>
  <c r="G119" i="1"/>
  <c r="F628" i="1" l="1"/>
  <c r="J628" i="1" s="1"/>
  <c r="J634" i="1"/>
  <c r="F636" i="1"/>
  <c r="J636" i="1" s="1"/>
  <c r="J606" i="1"/>
  <c r="F591" i="1"/>
  <c r="J591" i="1" s="1"/>
  <c r="F603" i="1"/>
  <c r="J603" i="1" s="1"/>
  <c r="J586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5" i="1" l="1"/>
  <c r="O415" i="1" s="1"/>
  <c r="W136" i="1"/>
  <c r="U136" i="1"/>
  <c r="S136" i="1"/>
  <c r="Q136" i="1"/>
  <c r="O136" i="1"/>
  <c r="M136" i="1"/>
  <c r="V415" i="1" l="1"/>
  <c r="W415" i="1" s="1"/>
  <c r="G415" i="1"/>
  <c r="L415" i="1"/>
  <c r="M415" i="1" s="1"/>
  <c r="P415" i="1"/>
  <c r="Q415" i="1" s="1"/>
  <c r="R415" i="1"/>
  <c r="S415" i="1" s="1"/>
  <c r="T415" i="1"/>
  <c r="U415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65" i="1" l="1"/>
  <c r="W665" i="1" s="1"/>
  <c r="T665" i="1"/>
  <c r="U665" i="1" s="1"/>
  <c r="R665" i="1"/>
  <c r="S665" i="1" s="1"/>
  <c r="P665" i="1"/>
  <c r="Q665" i="1" s="1"/>
  <c r="N665" i="1"/>
  <c r="O665" i="1" s="1"/>
  <c r="L665" i="1"/>
  <c r="M665" i="1" s="1"/>
  <c r="J665" i="1"/>
  <c r="K665" i="1" s="1"/>
  <c r="V295" i="1" l="1"/>
  <c r="W295" i="1" s="1"/>
  <c r="H314" i="1"/>
  <c r="I314" i="1" s="1"/>
  <c r="L295" i="1" l="1"/>
  <c r="M295" i="1" s="1"/>
  <c r="R295" i="1"/>
  <c r="S295" i="1" s="1"/>
  <c r="T295" i="1"/>
  <c r="U295" i="1" s="1"/>
  <c r="N295" i="1"/>
  <c r="O295" i="1" s="1"/>
  <c r="G295" i="1"/>
  <c r="P295" i="1"/>
  <c r="Q295" i="1" s="1"/>
  <c r="J295" i="1"/>
  <c r="K295" i="1" s="1"/>
  <c r="V314" i="1" l="1"/>
  <c r="W314" i="1" s="1"/>
  <c r="P314" i="1"/>
  <c r="Q314" i="1" s="1"/>
  <c r="N314" i="1"/>
  <c r="O314" i="1" s="1"/>
  <c r="L314" i="1"/>
  <c r="M314" i="1" s="1"/>
  <c r="J314" i="1"/>
  <c r="K314" i="1" s="1"/>
  <c r="T314" i="1"/>
  <c r="U314" i="1" s="1"/>
  <c r="R314" i="1" l="1"/>
  <c r="S314" i="1" s="1"/>
  <c r="G314" i="1"/>
  <c r="F529" i="1"/>
  <c r="F545" i="1"/>
  <c r="F207" i="1"/>
  <c r="F185" i="1"/>
  <c r="F184" i="1"/>
  <c r="F181" i="1"/>
  <c r="V563" i="1" l="1"/>
  <c r="W563" i="1" s="1"/>
  <c r="J563" i="1" l="1"/>
  <c r="K563" i="1" s="1"/>
  <c r="L563" i="1"/>
  <c r="M563" i="1" s="1"/>
  <c r="N563" i="1"/>
  <c r="O563" i="1" s="1"/>
  <c r="G563" i="1"/>
  <c r="H563" i="1"/>
  <c r="I563" i="1" s="1"/>
  <c r="P563" i="1"/>
  <c r="Q563" i="1" s="1"/>
  <c r="R563" i="1"/>
  <c r="S563" i="1" s="1"/>
  <c r="T563" i="1"/>
  <c r="U563" i="1" s="1"/>
  <c r="V604" i="1"/>
  <c r="W604" i="1" s="1"/>
  <c r="N604" i="1" l="1"/>
  <c r="O604" i="1" s="1"/>
  <c r="P604" i="1"/>
  <c r="Q604" i="1" s="1"/>
  <c r="G604" i="1"/>
  <c r="H604" i="1"/>
  <c r="I604" i="1" s="1"/>
  <c r="T604" i="1"/>
  <c r="U604" i="1" s="1"/>
  <c r="L604" i="1"/>
  <c r="M604" i="1" s="1"/>
  <c r="R604" i="1"/>
  <c r="S604" i="1" s="1"/>
  <c r="K604" i="1"/>
  <c r="T626" i="1"/>
  <c r="H626" i="1" l="1"/>
  <c r="I626" i="1" s="1"/>
  <c r="K626" i="1"/>
  <c r="L626" i="1"/>
  <c r="R626" i="1"/>
  <c r="S626" i="1" s="1"/>
  <c r="U626" i="1"/>
  <c r="N626" i="1"/>
  <c r="O626" i="1" s="1"/>
  <c r="V626" i="1"/>
  <c r="W626" i="1" s="1"/>
  <c r="P626" i="1"/>
  <c r="Q626" i="1" s="1"/>
  <c r="M626" i="1"/>
  <c r="G626" i="1"/>
  <c r="V503" i="1" l="1"/>
  <c r="W503" i="1" s="1"/>
  <c r="G409" i="1"/>
  <c r="F274" i="1"/>
  <c r="L503" i="1" l="1"/>
  <c r="M503" i="1" s="1"/>
  <c r="P503" i="1"/>
  <c r="Q503" i="1" s="1"/>
  <c r="T503" i="1"/>
  <c r="U503" i="1" s="1"/>
  <c r="G503" i="1"/>
  <c r="J503" i="1"/>
  <c r="K503" i="1" s="1"/>
  <c r="N503" i="1"/>
  <c r="O503" i="1" s="1"/>
  <c r="R503" i="1"/>
  <c r="S503" i="1" s="1"/>
  <c r="N409" i="1"/>
  <c r="O409" i="1" s="1"/>
  <c r="R409" i="1"/>
  <c r="S409" i="1" s="1"/>
  <c r="V409" i="1"/>
  <c r="W409" i="1" s="1"/>
  <c r="L409" i="1"/>
  <c r="M409" i="1" s="1"/>
  <c r="P409" i="1"/>
  <c r="Q409" i="1" s="1"/>
  <c r="T409" i="1"/>
  <c r="U409" i="1" s="1"/>
  <c r="G296" i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N229" i="1"/>
  <c r="L229" i="1"/>
  <c r="J229" i="1"/>
  <c r="V229" i="1"/>
  <c r="T229" i="1"/>
  <c r="R229" i="1"/>
  <c r="P229" i="1"/>
  <c r="V296" i="1" l="1"/>
  <c r="W296" i="1" s="1"/>
  <c r="R296" i="1"/>
  <c r="S296" i="1" s="1"/>
  <c r="T296" i="1"/>
  <c r="U296" i="1" s="1"/>
  <c r="L296" i="1"/>
  <c r="M296" i="1" s="1"/>
  <c r="N296" i="1"/>
  <c r="O296" i="1" s="1"/>
  <c r="P296" i="1"/>
  <c r="Q296" i="1" s="1"/>
  <c r="J296" i="1"/>
  <c r="K296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44" i="1" l="1"/>
  <c r="P325" i="1" l="1"/>
  <c r="Q325" i="1" s="1"/>
  <c r="L325" i="1" l="1"/>
  <c r="M325" i="1" s="1"/>
  <c r="N325" i="1"/>
  <c r="O325" i="1" s="1"/>
  <c r="R325" i="1"/>
  <c r="S325" i="1" s="1"/>
  <c r="G325" i="1"/>
  <c r="H325" i="1"/>
  <c r="I325" i="1" s="1"/>
  <c r="T325" i="1"/>
  <c r="U325" i="1" s="1"/>
  <c r="J325" i="1"/>
  <c r="K325" i="1" s="1"/>
  <c r="V325" i="1"/>
  <c r="W325" i="1" s="1"/>
  <c r="N222" i="1" l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67" i="1" l="1"/>
  <c r="W667" i="1" s="1"/>
  <c r="T667" i="1"/>
  <c r="U667" i="1" s="1"/>
  <c r="R667" i="1"/>
  <c r="S667" i="1" s="1"/>
  <c r="P667" i="1"/>
  <c r="Q667" i="1" s="1"/>
  <c r="N667" i="1"/>
  <c r="O667" i="1" s="1"/>
  <c r="L667" i="1"/>
  <c r="M667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J675" i="1"/>
  <c r="K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J674" i="1"/>
  <c r="K674" i="1" s="1"/>
  <c r="V673" i="1"/>
  <c r="W673" i="1" s="1"/>
  <c r="T673" i="1"/>
  <c r="U673" i="1" s="1"/>
  <c r="R673" i="1"/>
  <c r="S673" i="1" s="1"/>
  <c r="P673" i="1"/>
  <c r="Q673" i="1" s="1"/>
  <c r="N673" i="1"/>
  <c r="O673" i="1" s="1"/>
  <c r="L673" i="1"/>
  <c r="M673" i="1" s="1"/>
  <c r="J673" i="1"/>
  <c r="K673" i="1" s="1"/>
  <c r="V672" i="1"/>
  <c r="W672" i="1" s="1"/>
  <c r="T672" i="1"/>
  <c r="U672" i="1" s="1"/>
  <c r="R672" i="1"/>
  <c r="S672" i="1" s="1"/>
  <c r="P672" i="1"/>
  <c r="Q672" i="1" s="1"/>
  <c r="N672" i="1"/>
  <c r="O672" i="1" s="1"/>
  <c r="L672" i="1"/>
  <c r="M672" i="1" s="1"/>
  <c r="J672" i="1"/>
  <c r="K672" i="1" s="1"/>
  <c r="V671" i="1"/>
  <c r="W671" i="1" s="1"/>
  <c r="T671" i="1"/>
  <c r="U671" i="1" s="1"/>
  <c r="R671" i="1"/>
  <c r="S671" i="1" s="1"/>
  <c r="P671" i="1"/>
  <c r="Q671" i="1" s="1"/>
  <c r="N671" i="1"/>
  <c r="O671" i="1" s="1"/>
  <c r="L671" i="1"/>
  <c r="M671" i="1" s="1"/>
  <c r="J671" i="1"/>
  <c r="K671" i="1" s="1"/>
  <c r="V670" i="1"/>
  <c r="W670" i="1" s="1"/>
  <c r="T670" i="1"/>
  <c r="U670" i="1" s="1"/>
  <c r="R670" i="1"/>
  <c r="S670" i="1" s="1"/>
  <c r="P670" i="1"/>
  <c r="Q670" i="1" s="1"/>
  <c r="N670" i="1"/>
  <c r="O670" i="1" s="1"/>
  <c r="L670" i="1"/>
  <c r="M670" i="1" s="1"/>
  <c r="J670" i="1"/>
  <c r="K670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J669" i="1"/>
  <c r="K669" i="1" s="1"/>
  <c r="V668" i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J668" i="1"/>
  <c r="K668" i="1" s="1"/>
  <c r="T664" i="1"/>
  <c r="R664" i="1"/>
  <c r="P664" i="1"/>
  <c r="L664" i="1"/>
  <c r="V664" i="1"/>
  <c r="N664" i="1"/>
  <c r="J664" i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L473" i="1"/>
  <c r="J473" i="1"/>
  <c r="N473" i="1"/>
  <c r="P473" i="1"/>
  <c r="R473" i="1"/>
  <c r="T473" i="1"/>
  <c r="V473" i="1"/>
  <c r="V475" i="1"/>
  <c r="W475" i="1" s="1"/>
  <c r="T475" i="1"/>
  <c r="U475" i="1" s="1"/>
  <c r="R475" i="1"/>
  <c r="S475" i="1" s="1"/>
  <c r="P475" i="1"/>
  <c r="Q475" i="1" s="1"/>
  <c r="N475" i="1"/>
  <c r="O475" i="1" s="1"/>
  <c r="L475" i="1"/>
  <c r="M475" i="1" s="1"/>
  <c r="J475" i="1"/>
  <c r="K475" i="1" s="1"/>
  <c r="H739" i="1"/>
  <c r="H738" i="1"/>
  <c r="J739" i="1"/>
  <c r="J738" i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V738" i="1"/>
  <c r="W738" i="1" s="1"/>
  <c r="T738" i="1"/>
  <c r="U738" i="1" s="1"/>
  <c r="R738" i="1"/>
  <c r="S738" i="1" s="1"/>
  <c r="P738" i="1"/>
  <c r="Q738" i="1" s="1"/>
  <c r="N738" i="1"/>
  <c r="O738" i="1" s="1"/>
  <c r="L738" i="1"/>
  <c r="M738" i="1" s="1"/>
  <c r="V737" i="1"/>
  <c r="W737" i="1" s="1"/>
  <c r="T737" i="1"/>
  <c r="U737" i="1" s="1"/>
  <c r="R737" i="1"/>
  <c r="S737" i="1" s="1"/>
  <c r="P737" i="1"/>
  <c r="Q737" i="1" s="1"/>
  <c r="N737" i="1"/>
  <c r="O737" i="1" s="1"/>
  <c r="L737" i="1"/>
  <c r="M737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V734" i="1"/>
  <c r="W734" i="1" s="1"/>
  <c r="T734" i="1"/>
  <c r="U734" i="1" s="1"/>
  <c r="R734" i="1"/>
  <c r="S734" i="1" s="1"/>
  <c r="P734" i="1"/>
  <c r="Q734" i="1" s="1"/>
  <c r="N734" i="1"/>
  <c r="O734" i="1" s="1"/>
  <c r="L734" i="1"/>
  <c r="M734" i="1" s="1"/>
  <c r="V701" i="1"/>
  <c r="W701" i="1" s="1"/>
  <c r="T701" i="1"/>
  <c r="U701" i="1" s="1"/>
  <c r="R701" i="1"/>
  <c r="S701" i="1" s="1"/>
  <c r="P701" i="1"/>
  <c r="Q701" i="1" s="1"/>
  <c r="V700" i="1"/>
  <c r="W700" i="1" s="1"/>
  <c r="T700" i="1"/>
  <c r="U700" i="1" s="1"/>
  <c r="R700" i="1"/>
  <c r="S700" i="1" s="1"/>
  <c r="P700" i="1"/>
  <c r="Q700" i="1" s="1"/>
  <c r="V699" i="1"/>
  <c r="W699" i="1" s="1"/>
  <c r="T699" i="1"/>
  <c r="U699" i="1" s="1"/>
  <c r="R699" i="1"/>
  <c r="S699" i="1" s="1"/>
  <c r="P699" i="1"/>
  <c r="Q699" i="1" s="1"/>
  <c r="V698" i="1"/>
  <c r="W698" i="1" s="1"/>
  <c r="T698" i="1"/>
  <c r="U698" i="1" s="1"/>
  <c r="R698" i="1"/>
  <c r="S698" i="1" s="1"/>
  <c r="P698" i="1"/>
  <c r="Q698" i="1" s="1"/>
  <c r="V697" i="1"/>
  <c r="W697" i="1" s="1"/>
  <c r="T697" i="1"/>
  <c r="U697" i="1" s="1"/>
  <c r="R697" i="1"/>
  <c r="S697" i="1" s="1"/>
  <c r="P697" i="1"/>
  <c r="Q697" i="1" s="1"/>
  <c r="V696" i="1"/>
  <c r="W696" i="1" s="1"/>
  <c r="T696" i="1"/>
  <c r="U696" i="1" s="1"/>
  <c r="R696" i="1"/>
  <c r="S696" i="1" s="1"/>
  <c r="P696" i="1"/>
  <c r="Q696" i="1" s="1"/>
  <c r="V695" i="1"/>
  <c r="W695" i="1" s="1"/>
  <c r="T695" i="1"/>
  <c r="U695" i="1" s="1"/>
  <c r="R695" i="1"/>
  <c r="S695" i="1" s="1"/>
  <c r="P695" i="1"/>
  <c r="Q695" i="1" s="1"/>
  <c r="V694" i="1"/>
  <c r="W694" i="1" s="1"/>
  <c r="T694" i="1"/>
  <c r="U694" i="1" s="1"/>
  <c r="R694" i="1"/>
  <c r="S694" i="1" s="1"/>
  <c r="P694" i="1"/>
  <c r="Q694" i="1" s="1"/>
  <c r="V724" i="1"/>
  <c r="W724" i="1" s="1"/>
  <c r="T724" i="1"/>
  <c r="U724" i="1" s="1"/>
  <c r="R724" i="1"/>
  <c r="S724" i="1" s="1"/>
  <c r="P724" i="1"/>
  <c r="Q724" i="1" s="1"/>
  <c r="N724" i="1"/>
  <c r="O724" i="1" s="1"/>
  <c r="L724" i="1"/>
  <c r="M724" i="1" s="1"/>
  <c r="J724" i="1"/>
  <c r="K724" i="1" s="1"/>
  <c r="H724" i="1"/>
  <c r="I724" i="1" s="1"/>
  <c r="V718" i="1"/>
  <c r="W718" i="1" s="1"/>
  <c r="T718" i="1"/>
  <c r="U718" i="1" s="1"/>
  <c r="R718" i="1"/>
  <c r="S718" i="1" s="1"/>
  <c r="P718" i="1"/>
  <c r="Q718" i="1" s="1"/>
  <c r="N718" i="1"/>
  <c r="O718" i="1" s="1"/>
  <c r="L718" i="1"/>
  <c r="M718" i="1" s="1"/>
  <c r="J718" i="1"/>
  <c r="K718" i="1" s="1"/>
  <c r="H718" i="1"/>
  <c r="I718" i="1" s="1"/>
  <c r="V716" i="1"/>
  <c r="W716" i="1" s="1"/>
  <c r="T716" i="1"/>
  <c r="U716" i="1" s="1"/>
  <c r="R716" i="1"/>
  <c r="S716" i="1" s="1"/>
  <c r="V715" i="1"/>
  <c r="W715" i="1" s="1"/>
  <c r="T715" i="1"/>
  <c r="U715" i="1" s="1"/>
  <c r="R715" i="1"/>
  <c r="S715" i="1" s="1"/>
  <c r="V714" i="1"/>
  <c r="W714" i="1" s="1"/>
  <c r="T714" i="1"/>
  <c r="U714" i="1" s="1"/>
  <c r="R714" i="1"/>
  <c r="S714" i="1" s="1"/>
  <c r="V713" i="1"/>
  <c r="W713" i="1" s="1"/>
  <c r="T713" i="1"/>
  <c r="U713" i="1" s="1"/>
  <c r="R713" i="1"/>
  <c r="S713" i="1" s="1"/>
  <c r="V712" i="1"/>
  <c r="W712" i="1" s="1"/>
  <c r="T712" i="1"/>
  <c r="U712" i="1" s="1"/>
  <c r="R712" i="1"/>
  <c r="S712" i="1" s="1"/>
  <c r="P712" i="1"/>
  <c r="Q712" i="1" s="1"/>
  <c r="N712" i="1"/>
  <c r="O712" i="1" s="1"/>
  <c r="L712" i="1"/>
  <c r="M712" i="1" s="1"/>
  <c r="V472" i="1" l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F743" i="1"/>
  <c r="T743" i="1" s="1"/>
  <c r="U743" i="1" s="1"/>
  <c r="T744" i="1"/>
  <c r="U744" i="1" s="1"/>
  <c r="R742" i="1"/>
  <c r="S742" i="1" s="1"/>
  <c r="T740" i="1"/>
  <c r="U740" i="1" s="1"/>
  <c r="R740" i="1"/>
  <c r="S740" i="1" s="1"/>
  <c r="P740" i="1"/>
  <c r="Q740" i="1" s="1"/>
  <c r="N740" i="1"/>
  <c r="O740" i="1" s="1"/>
  <c r="L740" i="1"/>
  <c r="M740" i="1" s="1"/>
  <c r="J740" i="1"/>
  <c r="K740" i="1" s="1"/>
  <c r="T736" i="1"/>
  <c r="U736" i="1" s="1"/>
  <c r="R736" i="1"/>
  <c r="S736" i="1" s="1"/>
  <c r="P736" i="1"/>
  <c r="Q736" i="1" s="1"/>
  <c r="N736" i="1"/>
  <c r="O736" i="1" s="1"/>
  <c r="L736" i="1"/>
  <c r="M736" i="1" s="1"/>
  <c r="J736" i="1"/>
  <c r="K736" i="1" s="1"/>
  <c r="F612" i="1"/>
  <c r="J612" i="1" s="1"/>
  <c r="J611" i="1"/>
  <c r="L742" i="1" l="1"/>
  <c r="M742" i="1" s="1"/>
  <c r="N742" i="1"/>
  <c r="O742" i="1" s="1"/>
  <c r="N744" i="1"/>
  <c r="O744" i="1" s="1"/>
  <c r="P744" i="1"/>
  <c r="Q744" i="1" s="1"/>
  <c r="T742" i="1"/>
  <c r="U742" i="1" s="1"/>
  <c r="N743" i="1"/>
  <c r="O743" i="1" s="1"/>
  <c r="P743" i="1"/>
  <c r="Q743" i="1" s="1"/>
  <c r="J743" i="1"/>
  <c r="K743" i="1" s="1"/>
  <c r="R743" i="1"/>
  <c r="S743" i="1" s="1"/>
  <c r="L743" i="1"/>
  <c r="M743" i="1" s="1"/>
  <c r="J744" i="1"/>
  <c r="K744" i="1" s="1"/>
  <c r="R744" i="1"/>
  <c r="S744" i="1" s="1"/>
  <c r="L744" i="1"/>
  <c r="M744" i="1" s="1"/>
  <c r="P742" i="1"/>
  <c r="Q742" i="1" s="1"/>
  <c r="J742" i="1"/>
  <c r="K742" i="1" s="1"/>
  <c r="V571" i="1" l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H571" i="1"/>
  <c r="I571" i="1" s="1"/>
  <c r="V575" i="1"/>
  <c r="W575" i="1" s="1"/>
  <c r="T575" i="1"/>
  <c r="U575" i="1" s="1"/>
  <c r="R575" i="1"/>
  <c r="S575" i="1" s="1"/>
  <c r="P575" i="1"/>
  <c r="Q575" i="1" s="1"/>
  <c r="N575" i="1"/>
  <c r="O575" i="1" s="1"/>
  <c r="L575" i="1"/>
  <c r="M575" i="1" s="1"/>
  <c r="J575" i="1"/>
  <c r="K575" i="1" s="1"/>
  <c r="H575" i="1"/>
  <c r="I575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V605" i="1"/>
  <c r="W605" i="1" s="1"/>
  <c r="T605" i="1"/>
  <c r="U605" i="1" s="1"/>
  <c r="R605" i="1"/>
  <c r="S605" i="1" s="1"/>
  <c r="P605" i="1"/>
  <c r="Q605" i="1" s="1"/>
  <c r="N605" i="1"/>
  <c r="O605" i="1" s="1"/>
  <c r="L605" i="1"/>
  <c r="M605" i="1" s="1"/>
  <c r="H611" i="1"/>
  <c r="I611" i="1" s="1"/>
  <c r="K611" i="1"/>
  <c r="L611" i="1"/>
  <c r="M611" i="1" s="1"/>
  <c r="N611" i="1"/>
  <c r="O611" i="1" s="1"/>
  <c r="P611" i="1"/>
  <c r="Q611" i="1" s="1"/>
  <c r="R611" i="1"/>
  <c r="S611" i="1" s="1"/>
  <c r="T611" i="1"/>
  <c r="U611" i="1" s="1"/>
  <c r="V611" i="1"/>
  <c r="W611" i="1" s="1"/>
  <c r="H612" i="1"/>
  <c r="I612" i="1" s="1"/>
  <c r="K612" i="1"/>
  <c r="L612" i="1"/>
  <c r="M612" i="1" s="1"/>
  <c r="N612" i="1"/>
  <c r="O612" i="1" s="1"/>
  <c r="P612" i="1"/>
  <c r="Q612" i="1" s="1"/>
  <c r="R612" i="1"/>
  <c r="S612" i="1" s="1"/>
  <c r="T612" i="1"/>
  <c r="U612" i="1" s="1"/>
  <c r="V612" i="1"/>
  <c r="W612" i="1" s="1"/>
  <c r="V600" i="1"/>
  <c r="W600" i="1" s="1"/>
  <c r="T600" i="1"/>
  <c r="U600" i="1" s="1"/>
  <c r="R600" i="1"/>
  <c r="S600" i="1" s="1"/>
  <c r="P600" i="1"/>
  <c r="Q600" i="1" s="1"/>
  <c r="N600" i="1"/>
  <c r="O600" i="1" s="1"/>
  <c r="L600" i="1"/>
  <c r="M600" i="1" s="1"/>
  <c r="K600" i="1"/>
  <c r="H600" i="1"/>
  <c r="I600" i="1" s="1"/>
  <c r="V593" i="1"/>
  <c r="W593" i="1" s="1"/>
  <c r="T593" i="1"/>
  <c r="U593" i="1" s="1"/>
  <c r="R593" i="1"/>
  <c r="S593" i="1" s="1"/>
  <c r="V596" i="1"/>
  <c r="W596" i="1" s="1"/>
  <c r="T596" i="1"/>
  <c r="U596" i="1" s="1"/>
  <c r="R596" i="1"/>
  <c r="S596" i="1" s="1"/>
  <c r="P596" i="1"/>
  <c r="Q596" i="1" s="1"/>
  <c r="N596" i="1"/>
  <c r="O596" i="1" s="1"/>
  <c r="L596" i="1"/>
  <c r="M596" i="1" s="1"/>
  <c r="H528" i="1"/>
  <c r="H527" i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J528" i="1"/>
  <c r="K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J518" i="1"/>
  <c r="V518" i="1"/>
  <c r="W518" i="1" s="1"/>
  <c r="T518" i="1"/>
  <c r="U518" i="1" s="1"/>
  <c r="R518" i="1"/>
  <c r="S518" i="1" s="1"/>
  <c r="P518" i="1"/>
  <c r="Q518" i="1" s="1"/>
  <c r="N518" i="1"/>
  <c r="O518" i="1" s="1"/>
  <c r="L518" i="1"/>
  <c r="M518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J525" i="1"/>
  <c r="K525" i="1" s="1"/>
  <c r="H525" i="1"/>
  <c r="I525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J523" i="1"/>
  <c r="K523" i="1" s="1"/>
  <c r="H523" i="1"/>
  <c r="I523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J522" i="1"/>
  <c r="K522" i="1" s="1"/>
  <c r="H522" i="1"/>
  <c r="I522" i="1" s="1"/>
  <c r="T521" i="1"/>
  <c r="V521" i="1"/>
  <c r="R521" i="1"/>
  <c r="P521" i="1"/>
  <c r="N521" i="1"/>
  <c r="V514" i="1"/>
  <c r="W514" i="1" s="1"/>
  <c r="T514" i="1"/>
  <c r="U514" i="1" s="1"/>
  <c r="R514" i="1"/>
  <c r="S514" i="1" s="1"/>
  <c r="P514" i="1"/>
  <c r="Q514" i="1" s="1"/>
  <c r="N514" i="1"/>
  <c r="O514" i="1" s="1"/>
  <c r="L514" i="1"/>
  <c r="M514" i="1" s="1"/>
  <c r="V515" i="1"/>
  <c r="W515" i="1" s="1"/>
  <c r="T515" i="1"/>
  <c r="U515" i="1" s="1"/>
  <c r="R515" i="1"/>
  <c r="S515" i="1" s="1"/>
  <c r="P515" i="1"/>
  <c r="Q515" i="1" s="1"/>
  <c r="N515" i="1"/>
  <c r="O515" i="1" s="1"/>
  <c r="L515" i="1"/>
  <c r="M515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V517" i="1"/>
  <c r="W517" i="1" s="1"/>
  <c r="T517" i="1"/>
  <c r="U517" i="1" s="1"/>
  <c r="R517" i="1"/>
  <c r="S517" i="1" s="1"/>
  <c r="P517" i="1"/>
  <c r="Q517" i="1" s="1"/>
  <c r="N517" i="1"/>
  <c r="O517" i="1" s="1"/>
  <c r="L517" i="1"/>
  <c r="M517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H521" i="1"/>
  <c r="J521" i="1"/>
  <c r="L521" i="1"/>
  <c r="V520" i="1"/>
  <c r="N520" i="1"/>
  <c r="L520" i="1"/>
  <c r="P520" i="1"/>
  <c r="R520" i="1"/>
  <c r="T520" i="1"/>
  <c r="W466" i="1" l="1"/>
  <c r="W467" i="1"/>
  <c r="H467" i="1"/>
  <c r="N373" i="1"/>
  <c r="O373" i="1" s="1"/>
  <c r="L373" i="1"/>
  <c r="M373" i="1" s="1"/>
  <c r="J373" i="1"/>
  <c r="K373" i="1" s="1"/>
  <c r="H373" i="1"/>
  <c r="I373" i="1" s="1"/>
  <c r="L428" i="1"/>
  <c r="M428" i="1" s="1"/>
  <c r="N428" i="1"/>
  <c r="O428" i="1" s="1"/>
  <c r="P428" i="1"/>
  <c r="Q428" i="1" s="1"/>
  <c r="R428" i="1"/>
  <c r="S428" i="1" s="1"/>
  <c r="T428" i="1"/>
  <c r="U428" i="1" s="1"/>
  <c r="V428" i="1"/>
  <c r="W428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V390" i="1"/>
  <c r="W390" i="1" s="1"/>
  <c r="T390" i="1"/>
  <c r="U390" i="1" s="1"/>
  <c r="R390" i="1"/>
  <c r="S390" i="1" s="1"/>
  <c r="P390" i="1"/>
  <c r="Q390" i="1" s="1"/>
  <c r="N390" i="1"/>
  <c r="O390" i="1" s="1"/>
  <c r="L390" i="1"/>
  <c r="M390" i="1" s="1"/>
  <c r="J346" i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9" i="1"/>
  <c r="T339" i="1"/>
  <c r="R339" i="1"/>
  <c r="P339" i="1"/>
  <c r="N339" i="1"/>
  <c r="L339" i="1"/>
  <c r="J339" i="1"/>
  <c r="H339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V290" i="1"/>
  <c r="T290" i="1"/>
  <c r="R290" i="1"/>
  <c r="P290" i="1"/>
  <c r="N290" i="1"/>
  <c r="L290" i="1"/>
  <c r="J290" i="1"/>
  <c r="H249" i="1"/>
  <c r="I249" i="1" s="1"/>
  <c r="J249" i="1"/>
  <c r="K249" i="1" s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H252" i="1"/>
  <c r="I252" i="1" s="1"/>
  <c r="J252" i="1"/>
  <c r="K252" i="1" s="1"/>
  <c r="L252" i="1"/>
  <c r="M252" i="1" s="1"/>
  <c r="N252" i="1"/>
  <c r="O252" i="1" s="1"/>
  <c r="P252" i="1"/>
  <c r="Q252" i="1" s="1"/>
  <c r="R252" i="1"/>
  <c r="S252" i="1" s="1"/>
  <c r="T252" i="1"/>
  <c r="U252" i="1" s="1"/>
  <c r="V252" i="1"/>
  <c r="W25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G495" i="1"/>
  <c r="G494" i="1"/>
  <c r="G493" i="1"/>
  <c r="G492" i="1" l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230" i="1"/>
  <c r="N230" i="1"/>
  <c r="L230" i="1"/>
  <c r="L231" i="1"/>
  <c r="N245" i="1"/>
  <c r="L245" i="1"/>
  <c r="J245" i="1"/>
  <c r="P245" i="1"/>
  <c r="R245" i="1"/>
  <c r="T245" i="1"/>
  <c r="V245" i="1"/>
  <c r="H245" i="1"/>
  <c r="W229" i="1"/>
  <c r="U229" i="1"/>
  <c r="S229" i="1"/>
  <c r="Q229" i="1"/>
  <c r="O229" i="1"/>
  <c r="M229" i="1"/>
  <c r="K229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17" i="1"/>
  <c r="W217" i="1" s="1"/>
  <c r="T217" i="1"/>
  <c r="U217" i="1" s="1"/>
  <c r="R217" i="1"/>
  <c r="S217" i="1" s="1"/>
  <c r="P217" i="1"/>
  <c r="Q217" i="1" s="1"/>
  <c r="N217" i="1"/>
  <c r="O217" i="1" s="1"/>
  <c r="V219" i="1"/>
  <c r="W219" i="1" s="1"/>
  <c r="T219" i="1"/>
  <c r="U219" i="1" s="1"/>
  <c r="V218" i="1"/>
  <c r="W218" i="1" s="1"/>
  <c r="T218" i="1"/>
  <c r="U218" i="1" s="1"/>
  <c r="V216" i="1"/>
  <c r="W216" i="1" s="1"/>
  <c r="T216" i="1"/>
  <c r="U216" i="1" s="1"/>
  <c r="R216" i="1"/>
  <c r="S216" i="1" s="1"/>
  <c r="P216" i="1"/>
  <c r="Q216" i="1" s="1"/>
  <c r="N216" i="1"/>
  <c r="O216" i="1" s="1"/>
  <c r="L216" i="1"/>
  <c r="M216" i="1" s="1"/>
  <c r="J216" i="1"/>
  <c r="K216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02" i="1"/>
  <c r="T202" i="1"/>
  <c r="T198" i="1"/>
  <c r="T199" i="1"/>
  <c r="T200" i="1"/>
  <c r="T201" i="1"/>
  <c r="V198" i="1"/>
  <c r="V199" i="1"/>
  <c r="V200" i="1"/>
  <c r="V201" i="1"/>
  <c r="V197" i="1"/>
  <c r="T197" i="1"/>
  <c r="R202" i="1"/>
  <c r="R198" i="1"/>
  <c r="R199" i="1"/>
  <c r="R200" i="1"/>
  <c r="R201" i="1"/>
  <c r="R197" i="1"/>
  <c r="P202" i="1"/>
  <c r="P198" i="1"/>
  <c r="Q198" i="1" s="1"/>
  <c r="P199" i="1"/>
  <c r="Q199" i="1" s="1"/>
  <c r="P200" i="1"/>
  <c r="Q200" i="1" s="1"/>
  <c r="P201" i="1"/>
  <c r="Q201" i="1" s="1"/>
  <c r="P197" i="1"/>
  <c r="N202" i="1"/>
  <c r="N198" i="1"/>
  <c r="N199" i="1"/>
  <c r="N200" i="1"/>
  <c r="N201" i="1"/>
  <c r="N197" i="1"/>
  <c r="L202" i="1"/>
  <c r="L198" i="1"/>
  <c r="L199" i="1"/>
  <c r="L200" i="1"/>
  <c r="L201" i="1"/>
  <c r="L197" i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T192" i="1"/>
  <c r="V192" i="1"/>
  <c r="R192" i="1"/>
  <c r="P192" i="1"/>
  <c r="N192" i="1"/>
  <c r="V134" i="1" l="1"/>
  <c r="T134" i="1"/>
  <c r="R134" i="1"/>
  <c r="P134" i="1"/>
  <c r="N134" i="1"/>
  <c r="L134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5" i="1" l="1"/>
  <c r="F266" i="1" l="1"/>
  <c r="V266" i="1" l="1"/>
  <c r="W266" i="1" s="1"/>
  <c r="J266" i="1"/>
  <c r="K266" i="1" s="1"/>
  <c r="L266" i="1"/>
  <c r="M266" i="1" s="1"/>
  <c r="N266" i="1"/>
  <c r="O266" i="1" s="1"/>
  <c r="P266" i="1"/>
  <c r="Q266" i="1" s="1"/>
  <c r="H266" i="1"/>
  <c r="I266" i="1" s="1"/>
  <c r="R266" i="1"/>
  <c r="S266" i="1" s="1"/>
  <c r="T266" i="1"/>
  <c r="U266" i="1" s="1"/>
  <c r="H267" i="1"/>
  <c r="I267" i="1" s="1"/>
  <c r="J267" i="1"/>
  <c r="K267" i="1" s="1"/>
  <c r="L267" i="1"/>
  <c r="M267" i="1" s="1"/>
  <c r="N267" i="1"/>
  <c r="O267" i="1" s="1"/>
  <c r="G267" i="1"/>
  <c r="G266" i="1"/>
  <c r="J637" i="1"/>
  <c r="H633" i="1" l="1"/>
  <c r="I633" i="1" s="1"/>
  <c r="N633" i="1"/>
  <c r="O633" i="1" s="1"/>
  <c r="L633" i="1"/>
  <c r="M633" i="1" s="1"/>
  <c r="T633" i="1"/>
  <c r="U633" i="1" s="1"/>
  <c r="V633" i="1"/>
  <c r="W633" i="1" s="1"/>
  <c r="P633" i="1"/>
  <c r="Q633" i="1" s="1"/>
  <c r="R633" i="1"/>
  <c r="S633" i="1" s="1"/>
  <c r="K633" i="1"/>
  <c r="H637" i="1"/>
  <c r="I637" i="1" s="1"/>
  <c r="N637" i="1"/>
  <c r="O637" i="1" s="1"/>
  <c r="L637" i="1"/>
  <c r="M637" i="1" s="1"/>
  <c r="T637" i="1"/>
  <c r="U637" i="1" s="1"/>
  <c r="V637" i="1"/>
  <c r="W637" i="1" s="1"/>
  <c r="K637" i="1"/>
  <c r="P637" i="1"/>
  <c r="Q637" i="1" s="1"/>
  <c r="R637" i="1"/>
  <c r="S637" i="1" s="1"/>
  <c r="N322" i="1"/>
  <c r="O322" i="1" s="1"/>
  <c r="L322" i="1"/>
  <c r="M322" i="1" s="1"/>
  <c r="J322" i="1"/>
  <c r="K322" i="1" s="1"/>
  <c r="H322" i="1"/>
  <c r="I322" i="1" s="1"/>
  <c r="V322" i="1"/>
  <c r="W322" i="1" s="1"/>
  <c r="T322" i="1"/>
  <c r="U322" i="1" s="1"/>
  <c r="R322" i="1"/>
  <c r="S322" i="1" s="1"/>
  <c r="P322" i="1"/>
  <c r="Q322" i="1" s="1"/>
  <c r="F137" i="1"/>
  <c r="N181" i="1" l="1"/>
  <c r="O181" i="1" s="1"/>
  <c r="L181" i="1"/>
  <c r="M181" i="1" s="1"/>
  <c r="J181" i="1"/>
  <c r="K181" i="1" s="1"/>
  <c r="R181" i="1"/>
  <c r="S181" i="1" s="1"/>
  <c r="H181" i="1"/>
  <c r="I181" i="1" s="1"/>
  <c r="P181" i="1"/>
  <c r="Q181" i="1" s="1"/>
  <c r="V181" i="1"/>
  <c r="W181" i="1" s="1"/>
  <c r="T181" i="1"/>
  <c r="U181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1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35" i="1" l="1"/>
  <c r="F534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H534" i="1"/>
  <c r="I534" i="1" s="1"/>
  <c r="V534" i="1"/>
  <c r="W534" i="1" s="1"/>
  <c r="V535" i="1"/>
  <c r="W535" i="1" s="1"/>
  <c r="P535" i="1"/>
  <c r="Q535" i="1" s="1"/>
  <c r="T535" i="1"/>
  <c r="U535" i="1" s="1"/>
  <c r="J535" i="1"/>
  <c r="K535" i="1" s="1"/>
  <c r="N535" i="1"/>
  <c r="O535" i="1" s="1"/>
  <c r="R535" i="1"/>
  <c r="S535" i="1" s="1"/>
  <c r="L535" i="1"/>
  <c r="M535" i="1" s="1"/>
  <c r="H535" i="1"/>
  <c r="I535" i="1" s="1"/>
  <c r="G535" i="1"/>
  <c r="G534" i="1"/>
  <c r="V57" i="1"/>
  <c r="T57" i="1"/>
  <c r="R57" i="1"/>
  <c r="P57" i="1"/>
  <c r="N57" i="1"/>
  <c r="L57" i="1"/>
  <c r="J57" i="1"/>
  <c r="G695" i="1" l="1"/>
  <c r="G694" i="1"/>
  <c r="G696" i="1"/>
  <c r="G697" i="1"/>
  <c r="G698" i="1"/>
  <c r="G699" i="1"/>
  <c r="G700" i="1"/>
  <c r="G701" i="1"/>
  <c r="T457" i="1" l="1"/>
  <c r="U457" i="1" s="1"/>
  <c r="J457" i="1"/>
  <c r="K457" i="1" s="1"/>
  <c r="N457" i="1"/>
  <c r="O457" i="1" s="1"/>
  <c r="H457" i="1"/>
  <c r="I457" i="1" s="1"/>
  <c r="R457" i="1"/>
  <c r="S457" i="1" s="1"/>
  <c r="L457" i="1"/>
  <c r="M457" i="1" s="1"/>
  <c r="V457" i="1"/>
  <c r="W457" i="1" s="1"/>
  <c r="P457" i="1"/>
  <c r="Q457" i="1" s="1"/>
  <c r="G457" i="1"/>
  <c r="J657" i="1"/>
  <c r="L657" i="1" l="1"/>
  <c r="M657" i="1" s="1"/>
  <c r="R657" i="1"/>
  <c r="S657" i="1" s="1"/>
  <c r="H657" i="1"/>
  <c r="I657" i="1" s="1"/>
  <c r="N657" i="1"/>
  <c r="O657" i="1" s="1"/>
  <c r="K657" i="1"/>
  <c r="P657" i="1"/>
  <c r="Q657" i="1" s="1"/>
  <c r="T657" i="1"/>
  <c r="U657" i="1" s="1"/>
  <c r="V657" i="1"/>
  <c r="W657" i="1" s="1"/>
  <c r="G657" i="1"/>
  <c r="F454" i="1"/>
  <c r="R458" i="1" l="1"/>
  <c r="S458" i="1" s="1"/>
  <c r="L458" i="1"/>
  <c r="M458" i="1" s="1"/>
  <c r="V458" i="1"/>
  <c r="W458" i="1" s="1"/>
  <c r="J458" i="1"/>
  <c r="K458" i="1" s="1"/>
  <c r="T458" i="1"/>
  <c r="U458" i="1" s="1"/>
  <c r="P458" i="1"/>
  <c r="Q458" i="1" s="1"/>
  <c r="N458" i="1"/>
  <c r="O458" i="1" s="1"/>
  <c r="L456" i="1"/>
  <c r="M456" i="1" s="1"/>
  <c r="H456" i="1"/>
  <c r="I456" i="1" s="1"/>
  <c r="R456" i="1"/>
  <c r="S456" i="1" s="1"/>
  <c r="J456" i="1"/>
  <c r="K456" i="1" s="1"/>
  <c r="V456" i="1"/>
  <c r="W456" i="1" s="1"/>
  <c r="P456" i="1"/>
  <c r="Q456" i="1" s="1"/>
  <c r="T456" i="1"/>
  <c r="U456" i="1" s="1"/>
  <c r="N456" i="1"/>
  <c r="O456" i="1" s="1"/>
  <c r="T454" i="1"/>
  <c r="U454" i="1" s="1"/>
  <c r="N454" i="1"/>
  <c r="O454" i="1" s="1"/>
  <c r="H454" i="1"/>
  <c r="I454" i="1" s="1"/>
  <c r="L454" i="1"/>
  <c r="M454" i="1" s="1"/>
  <c r="R454" i="1"/>
  <c r="S454" i="1" s="1"/>
  <c r="V454" i="1"/>
  <c r="W454" i="1" s="1"/>
  <c r="P454" i="1"/>
  <c r="Q454" i="1" s="1"/>
  <c r="J454" i="1"/>
  <c r="K454" i="1" s="1"/>
  <c r="L383" i="1"/>
  <c r="M383" i="1" s="1"/>
  <c r="V383" i="1"/>
  <c r="W383" i="1" s="1"/>
  <c r="T383" i="1"/>
  <c r="U383" i="1" s="1"/>
  <c r="R383" i="1"/>
  <c r="S383" i="1" s="1"/>
  <c r="P383" i="1"/>
  <c r="Q383" i="1" s="1"/>
  <c r="N383" i="1"/>
  <c r="O383" i="1" s="1"/>
  <c r="G383" i="1"/>
  <c r="G456" i="1"/>
  <c r="G454" i="1"/>
  <c r="F244" i="1" l="1"/>
  <c r="P387" i="1" l="1"/>
  <c r="Q387" i="1" s="1"/>
  <c r="N387" i="1"/>
  <c r="O387" i="1" s="1"/>
  <c r="L387" i="1"/>
  <c r="M387" i="1" s="1"/>
  <c r="V387" i="1"/>
  <c r="W387" i="1" s="1"/>
  <c r="T387" i="1"/>
  <c r="U387" i="1" s="1"/>
  <c r="R387" i="1"/>
  <c r="S387" i="1" s="1"/>
  <c r="R244" i="1"/>
  <c r="S244" i="1" s="1"/>
  <c r="V244" i="1"/>
  <c r="W244" i="1" s="1"/>
  <c r="T244" i="1"/>
  <c r="U244" i="1" s="1"/>
  <c r="P244" i="1"/>
  <c r="Q244" i="1" s="1"/>
  <c r="N244" i="1"/>
  <c r="O244" i="1" s="1"/>
  <c r="L244" i="1"/>
  <c r="M244" i="1" s="1"/>
  <c r="J244" i="1"/>
  <c r="K244" i="1" s="1"/>
  <c r="H244" i="1"/>
  <c r="I244" i="1" s="1"/>
  <c r="F655" i="1"/>
  <c r="J655" i="1" s="1"/>
  <c r="L655" i="1" l="1"/>
  <c r="M655" i="1" s="1"/>
  <c r="R655" i="1"/>
  <c r="S655" i="1" s="1"/>
  <c r="H655" i="1"/>
  <c r="I655" i="1" s="1"/>
  <c r="N655" i="1"/>
  <c r="O655" i="1" s="1"/>
  <c r="K655" i="1"/>
  <c r="T655" i="1"/>
  <c r="U655" i="1" s="1"/>
  <c r="V655" i="1"/>
  <c r="W655" i="1" s="1"/>
  <c r="P655" i="1"/>
  <c r="Q655" i="1" s="1"/>
  <c r="G655" i="1"/>
  <c r="N368" i="1" l="1"/>
  <c r="O368" i="1" s="1"/>
  <c r="P368" i="1"/>
  <c r="Q368" i="1" s="1"/>
  <c r="R368" i="1"/>
  <c r="S368" i="1" s="1"/>
  <c r="T368" i="1"/>
  <c r="U368" i="1" s="1"/>
  <c r="V368" i="1"/>
  <c r="W368" i="1" s="1"/>
  <c r="L368" i="1"/>
  <c r="M368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5" i="1" l="1"/>
  <c r="T185" i="1"/>
  <c r="U185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V185" i="1"/>
  <c r="W185" i="1" s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78" i="1" l="1"/>
  <c r="S178" i="1" s="1"/>
  <c r="P178" i="1"/>
  <c r="Q178" i="1" s="1"/>
  <c r="N178" i="1"/>
  <c r="O178" i="1" s="1"/>
  <c r="L178" i="1"/>
  <c r="M178" i="1" s="1"/>
  <c r="T178" i="1"/>
  <c r="U178" i="1" s="1"/>
  <c r="J178" i="1"/>
  <c r="K178" i="1" s="1"/>
  <c r="H178" i="1"/>
  <c r="I178" i="1" s="1"/>
  <c r="V178" i="1"/>
  <c r="W178" i="1" s="1"/>
  <c r="G178" i="1"/>
  <c r="V179" i="1" l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J179" i="1"/>
  <c r="K179" i="1" s="1"/>
  <c r="H179" i="1"/>
  <c r="I179" i="1" s="1"/>
  <c r="G184" i="1"/>
  <c r="G179" i="1"/>
  <c r="F587" i="1"/>
  <c r="P587" i="1" l="1"/>
  <c r="Q587" i="1" s="1"/>
  <c r="T587" i="1"/>
  <c r="U587" i="1" s="1"/>
  <c r="N587" i="1"/>
  <c r="O587" i="1" s="1"/>
  <c r="V587" i="1"/>
  <c r="W587" i="1" s="1"/>
  <c r="L587" i="1"/>
  <c r="M587" i="1" s="1"/>
  <c r="R587" i="1"/>
  <c r="S587" i="1" s="1"/>
  <c r="G587" i="1"/>
  <c r="F589" i="1" l="1"/>
  <c r="T589" i="1" l="1"/>
  <c r="U589" i="1" s="1"/>
  <c r="R589" i="1"/>
  <c r="S589" i="1" s="1"/>
  <c r="N589" i="1"/>
  <c r="O589" i="1" s="1"/>
  <c r="V589" i="1"/>
  <c r="W589" i="1" s="1"/>
  <c r="P589" i="1"/>
  <c r="Q589" i="1" s="1"/>
  <c r="T441" i="1" l="1"/>
  <c r="U441" i="1" s="1"/>
  <c r="N441" i="1"/>
  <c r="O441" i="1" s="1"/>
  <c r="J441" i="1"/>
  <c r="K441" i="1" s="1"/>
  <c r="V441" i="1"/>
  <c r="W441" i="1" s="1"/>
  <c r="H441" i="1"/>
  <c r="I441" i="1" s="1"/>
  <c r="L441" i="1"/>
  <c r="M441" i="1" s="1"/>
  <c r="R441" i="1"/>
  <c r="S441" i="1" s="1"/>
  <c r="P441" i="1"/>
  <c r="Q441" i="1" s="1"/>
  <c r="L431" i="1"/>
  <c r="M431" i="1" s="1"/>
  <c r="N431" i="1"/>
  <c r="O431" i="1" s="1"/>
  <c r="P431" i="1"/>
  <c r="Q431" i="1" s="1"/>
  <c r="R431" i="1"/>
  <c r="S431" i="1" s="1"/>
  <c r="T431" i="1"/>
  <c r="U431" i="1" s="1"/>
  <c r="V431" i="1"/>
  <c r="W431" i="1" s="1"/>
  <c r="H627" i="1" l="1"/>
  <c r="I627" i="1" s="1"/>
  <c r="L627" i="1"/>
  <c r="M627" i="1" s="1"/>
  <c r="P627" i="1"/>
  <c r="Q627" i="1" s="1"/>
  <c r="T627" i="1"/>
  <c r="U627" i="1" s="1"/>
  <c r="K627" i="1"/>
  <c r="V627" i="1"/>
  <c r="W627" i="1" s="1"/>
  <c r="N627" i="1"/>
  <c r="O627" i="1" s="1"/>
  <c r="R627" i="1"/>
  <c r="S627" i="1" s="1"/>
  <c r="G627" i="1"/>
  <c r="F594" i="1" l="1"/>
  <c r="F453" i="1"/>
  <c r="F452" i="1"/>
  <c r="F208" i="1"/>
  <c r="V452" i="1" l="1"/>
  <c r="W452" i="1" s="1"/>
  <c r="P452" i="1"/>
  <c r="Q452" i="1" s="1"/>
  <c r="H452" i="1"/>
  <c r="I452" i="1" s="1"/>
  <c r="L452" i="1"/>
  <c r="M452" i="1" s="1"/>
  <c r="R452" i="1"/>
  <c r="S452" i="1" s="1"/>
  <c r="T452" i="1"/>
  <c r="U452" i="1" s="1"/>
  <c r="N452" i="1"/>
  <c r="O452" i="1" s="1"/>
  <c r="J452" i="1"/>
  <c r="K452" i="1" s="1"/>
  <c r="V453" i="1"/>
  <c r="W453" i="1" s="1"/>
  <c r="N453" i="1"/>
  <c r="O453" i="1" s="1"/>
  <c r="J453" i="1"/>
  <c r="K453" i="1" s="1"/>
  <c r="P453" i="1"/>
  <c r="Q453" i="1" s="1"/>
  <c r="T453" i="1"/>
  <c r="U453" i="1" s="1"/>
  <c r="L453" i="1"/>
  <c r="M453" i="1" s="1"/>
  <c r="R453" i="1"/>
  <c r="S453" i="1" s="1"/>
  <c r="H453" i="1"/>
  <c r="I453" i="1" s="1"/>
  <c r="R594" i="1"/>
  <c r="S594" i="1" s="1"/>
  <c r="V594" i="1"/>
  <c r="W594" i="1" s="1"/>
  <c r="P594" i="1"/>
  <c r="Q594" i="1" s="1"/>
  <c r="N594" i="1"/>
  <c r="O594" i="1" s="1"/>
  <c r="T594" i="1"/>
  <c r="U594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G593" i="1"/>
  <c r="G453" i="1"/>
  <c r="G452" i="1"/>
  <c r="G208" i="1"/>
  <c r="L177" i="1" l="1"/>
  <c r="M177" i="1" s="1"/>
  <c r="J177" i="1"/>
  <c r="K177" i="1" s="1"/>
  <c r="H177" i="1"/>
  <c r="I177" i="1" s="1"/>
  <c r="V177" i="1"/>
  <c r="W177" i="1" s="1"/>
  <c r="P177" i="1"/>
  <c r="Q177" i="1" s="1"/>
  <c r="T177" i="1"/>
  <c r="U177" i="1" s="1"/>
  <c r="R177" i="1"/>
  <c r="S177" i="1" s="1"/>
  <c r="N177" i="1"/>
  <c r="O177" i="1" s="1"/>
  <c r="N207" i="1"/>
  <c r="O207" i="1" s="1"/>
  <c r="V207" i="1"/>
  <c r="W207" i="1" s="1"/>
  <c r="T207" i="1"/>
  <c r="U207" i="1" s="1"/>
  <c r="R207" i="1"/>
  <c r="S207" i="1" s="1"/>
  <c r="P207" i="1"/>
  <c r="Q207" i="1" s="1"/>
  <c r="H207" i="1"/>
  <c r="I207" i="1" s="1"/>
  <c r="L207" i="1"/>
  <c r="M207" i="1" s="1"/>
  <c r="J207" i="1"/>
  <c r="K207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7" i="1"/>
  <c r="G176" i="1"/>
  <c r="F725" i="1"/>
  <c r="F708" i="1"/>
  <c r="F729" i="1"/>
  <c r="F247" i="1"/>
  <c r="T725" i="1" l="1"/>
  <c r="L725" i="1"/>
  <c r="M725" i="1" s="1"/>
  <c r="R725" i="1"/>
  <c r="J725" i="1"/>
  <c r="K725" i="1" s="1"/>
  <c r="P725" i="1"/>
  <c r="Q725" i="1" s="1"/>
  <c r="V725" i="1"/>
  <c r="W725" i="1" s="1"/>
  <c r="N725" i="1"/>
  <c r="O725" i="1" s="1"/>
  <c r="T729" i="1"/>
  <c r="U729" i="1" s="1"/>
  <c r="J729" i="1"/>
  <c r="K729" i="1" s="1"/>
  <c r="N729" i="1"/>
  <c r="O729" i="1" s="1"/>
  <c r="H729" i="1"/>
  <c r="I729" i="1" s="1"/>
  <c r="P729" i="1"/>
  <c r="Q729" i="1" s="1"/>
  <c r="R729" i="1"/>
  <c r="S729" i="1" s="1"/>
  <c r="L729" i="1"/>
  <c r="M729" i="1" s="1"/>
  <c r="V729" i="1"/>
  <c r="W729" i="1" s="1"/>
  <c r="V708" i="1"/>
  <c r="W708" i="1" s="1"/>
  <c r="J708" i="1"/>
  <c r="K708" i="1" s="1"/>
  <c r="T708" i="1"/>
  <c r="U708" i="1" s="1"/>
  <c r="L708" i="1"/>
  <c r="M708" i="1" s="1"/>
  <c r="P708" i="1"/>
  <c r="Q708" i="1" s="1"/>
  <c r="R708" i="1"/>
  <c r="S708" i="1" s="1"/>
  <c r="N708" i="1"/>
  <c r="O708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H247" i="1"/>
  <c r="I247" i="1" s="1"/>
  <c r="R265" i="1"/>
  <c r="S265" i="1" s="1"/>
  <c r="V265" i="1"/>
  <c r="W265" i="1" s="1"/>
  <c r="H265" i="1"/>
  <c r="I265" i="1" s="1"/>
  <c r="J265" i="1"/>
  <c r="K265" i="1" s="1"/>
  <c r="L265" i="1"/>
  <c r="M265" i="1" s="1"/>
  <c r="N265" i="1"/>
  <c r="O265" i="1" s="1"/>
  <c r="T265" i="1"/>
  <c r="U265" i="1" s="1"/>
  <c r="P265" i="1"/>
  <c r="Q265" i="1" s="1"/>
  <c r="V248" i="1"/>
  <c r="W248" i="1" s="1"/>
  <c r="T248" i="1"/>
  <c r="U248" i="1" s="1"/>
  <c r="R248" i="1"/>
  <c r="S248" i="1" s="1"/>
  <c r="P248" i="1"/>
  <c r="Q248" i="1" s="1"/>
  <c r="N248" i="1"/>
  <c r="O248" i="1" s="1"/>
  <c r="J248" i="1"/>
  <c r="K248" i="1" s="1"/>
  <c r="L248" i="1"/>
  <c r="M248" i="1" s="1"/>
  <c r="H248" i="1"/>
  <c r="I248" i="1" s="1"/>
  <c r="S725" i="1"/>
  <c r="U725" i="1"/>
  <c r="G725" i="1"/>
  <c r="G708" i="1"/>
  <c r="H708" i="1"/>
  <c r="I708" i="1" s="1"/>
  <c r="G729" i="1"/>
  <c r="G247" i="1"/>
  <c r="G248" i="1"/>
  <c r="J268" i="1" l="1"/>
  <c r="K268" i="1" s="1"/>
  <c r="N268" i="1"/>
  <c r="O268" i="1" s="1"/>
  <c r="P268" i="1"/>
  <c r="Q268" i="1" s="1"/>
  <c r="R268" i="1"/>
  <c r="S268" i="1" s="1"/>
  <c r="T268" i="1"/>
  <c r="U268" i="1" s="1"/>
  <c r="H268" i="1"/>
  <c r="I268" i="1" s="1"/>
  <c r="L268" i="1"/>
  <c r="M268" i="1" s="1"/>
  <c r="V268" i="1"/>
  <c r="W268" i="1" s="1"/>
  <c r="G265" i="1"/>
  <c r="F653" i="1" l="1"/>
  <c r="J653" i="1" s="1"/>
  <c r="F652" i="1"/>
  <c r="J652" i="1" s="1"/>
  <c r="J651" i="1"/>
  <c r="F635" i="1"/>
  <c r="J635" i="1" s="1"/>
  <c r="F613" i="1"/>
  <c r="J613" i="1" s="1"/>
  <c r="F595" i="1"/>
  <c r="F588" i="1"/>
  <c r="F570" i="1"/>
  <c r="F569" i="1"/>
  <c r="P502" i="1" l="1"/>
  <c r="Q502" i="1" s="1"/>
  <c r="V502" i="1"/>
  <c r="W502" i="1" s="1"/>
  <c r="N502" i="1"/>
  <c r="O502" i="1" s="1"/>
  <c r="T502" i="1"/>
  <c r="U502" i="1" s="1"/>
  <c r="L502" i="1"/>
  <c r="M502" i="1" s="1"/>
  <c r="R502" i="1"/>
  <c r="S502" i="1" s="1"/>
  <c r="J502" i="1"/>
  <c r="K502" i="1" s="1"/>
  <c r="P599" i="1"/>
  <c r="Q599" i="1" s="1"/>
  <c r="H599" i="1"/>
  <c r="I599" i="1" s="1"/>
  <c r="V599" i="1"/>
  <c r="W599" i="1" s="1"/>
  <c r="N599" i="1"/>
  <c r="O599" i="1" s="1"/>
  <c r="T599" i="1"/>
  <c r="U599" i="1" s="1"/>
  <c r="L599" i="1"/>
  <c r="M599" i="1" s="1"/>
  <c r="R599" i="1"/>
  <c r="S599" i="1" s="1"/>
  <c r="K599" i="1"/>
  <c r="H623" i="1"/>
  <c r="I623" i="1" s="1"/>
  <c r="L623" i="1"/>
  <c r="M623" i="1" s="1"/>
  <c r="P623" i="1"/>
  <c r="Q623" i="1" s="1"/>
  <c r="T623" i="1"/>
  <c r="U623" i="1" s="1"/>
  <c r="N623" i="1"/>
  <c r="O623" i="1" s="1"/>
  <c r="V623" i="1"/>
  <c r="W623" i="1" s="1"/>
  <c r="R623" i="1"/>
  <c r="S623" i="1" s="1"/>
  <c r="K623" i="1"/>
  <c r="H628" i="1"/>
  <c r="I628" i="1" s="1"/>
  <c r="L628" i="1"/>
  <c r="M628" i="1" s="1"/>
  <c r="P628" i="1"/>
  <c r="Q628" i="1" s="1"/>
  <c r="T628" i="1"/>
  <c r="U628" i="1" s="1"/>
  <c r="K628" i="1"/>
  <c r="V628" i="1"/>
  <c r="W628" i="1" s="1"/>
  <c r="R628" i="1"/>
  <c r="S628" i="1" s="1"/>
  <c r="N628" i="1"/>
  <c r="O628" i="1" s="1"/>
  <c r="V544" i="1"/>
  <c r="L544" i="1"/>
  <c r="R544" i="1"/>
  <c r="J544" i="1"/>
  <c r="P544" i="1"/>
  <c r="N544" i="1"/>
  <c r="T544" i="1"/>
  <c r="H544" i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H629" i="1"/>
  <c r="I629" i="1" s="1"/>
  <c r="L629" i="1"/>
  <c r="M629" i="1" s="1"/>
  <c r="P629" i="1"/>
  <c r="Q629" i="1" s="1"/>
  <c r="T629" i="1"/>
  <c r="U629" i="1" s="1"/>
  <c r="K629" i="1"/>
  <c r="V629" i="1"/>
  <c r="W629" i="1" s="1"/>
  <c r="N629" i="1"/>
  <c r="O629" i="1" s="1"/>
  <c r="R629" i="1"/>
  <c r="S629" i="1" s="1"/>
  <c r="L651" i="1"/>
  <c r="M651" i="1" s="1"/>
  <c r="R651" i="1"/>
  <c r="S651" i="1" s="1"/>
  <c r="H651" i="1"/>
  <c r="I651" i="1" s="1"/>
  <c r="N651" i="1"/>
  <c r="O651" i="1" s="1"/>
  <c r="K651" i="1"/>
  <c r="T651" i="1"/>
  <c r="U651" i="1" s="1"/>
  <c r="V651" i="1"/>
  <c r="W651" i="1" s="1"/>
  <c r="P651" i="1"/>
  <c r="Q651" i="1" s="1"/>
  <c r="P545" i="1"/>
  <c r="R545" i="1"/>
  <c r="N545" i="1"/>
  <c r="T545" i="1"/>
  <c r="L545" i="1"/>
  <c r="J545" i="1"/>
  <c r="H545" i="1"/>
  <c r="V545" i="1"/>
  <c r="P588" i="1"/>
  <c r="Q588" i="1" s="1"/>
  <c r="V588" i="1"/>
  <c r="W588" i="1" s="1"/>
  <c r="N588" i="1"/>
  <c r="O588" i="1" s="1"/>
  <c r="R588" i="1"/>
  <c r="S588" i="1" s="1"/>
  <c r="T588" i="1"/>
  <c r="U588" i="1" s="1"/>
  <c r="K613" i="1"/>
  <c r="T613" i="1"/>
  <c r="U613" i="1" s="1"/>
  <c r="P613" i="1"/>
  <c r="Q613" i="1" s="1"/>
  <c r="V613" i="1"/>
  <c r="W613" i="1" s="1"/>
  <c r="L613" i="1"/>
  <c r="M613" i="1" s="1"/>
  <c r="N613" i="1"/>
  <c r="O613" i="1" s="1"/>
  <c r="R613" i="1"/>
  <c r="S613" i="1" s="1"/>
  <c r="H613" i="1"/>
  <c r="I613" i="1" s="1"/>
  <c r="H634" i="1"/>
  <c r="I634" i="1" s="1"/>
  <c r="N634" i="1"/>
  <c r="O634" i="1" s="1"/>
  <c r="R634" i="1"/>
  <c r="S634" i="1" s="1"/>
  <c r="L634" i="1"/>
  <c r="M634" i="1" s="1"/>
  <c r="T634" i="1"/>
  <c r="U634" i="1" s="1"/>
  <c r="K634" i="1"/>
  <c r="P634" i="1"/>
  <c r="Q634" i="1" s="1"/>
  <c r="V634" i="1"/>
  <c r="W634" i="1" s="1"/>
  <c r="L652" i="1"/>
  <c r="M652" i="1" s="1"/>
  <c r="R652" i="1"/>
  <c r="S652" i="1" s="1"/>
  <c r="H652" i="1"/>
  <c r="I652" i="1" s="1"/>
  <c r="N652" i="1"/>
  <c r="O652" i="1" s="1"/>
  <c r="P652" i="1"/>
  <c r="Q652" i="1" s="1"/>
  <c r="K652" i="1"/>
  <c r="T652" i="1"/>
  <c r="U652" i="1" s="1"/>
  <c r="V652" i="1"/>
  <c r="W652" i="1" s="1"/>
  <c r="T569" i="1"/>
  <c r="U569" i="1" s="1"/>
  <c r="L569" i="1"/>
  <c r="M569" i="1" s="1"/>
  <c r="R569" i="1"/>
  <c r="S569" i="1" s="1"/>
  <c r="J569" i="1"/>
  <c r="K569" i="1" s="1"/>
  <c r="P569" i="1"/>
  <c r="Q569" i="1" s="1"/>
  <c r="N569" i="1"/>
  <c r="O569" i="1" s="1"/>
  <c r="V569" i="1"/>
  <c r="W569" i="1" s="1"/>
  <c r="H569" i="1"/>
  <c r="I569" i="1" s="1"/>
  <c r="H636" i="1"/>
  <c r="I636" i="1" s="1"/>
  <c r="N636" i="1"/>
  <c r="O636" i="1" s="1"/>
  <c r="V636" i="1"/>
  <c r="W636" i="1" s="1"/>
  <c r="K636" i="1"/>
  <c r="P636" i="1"/>
  <c r="Q636" i="1" s="1"/>
  <c r="T636" i="1"/>
  <c r="U636" i="1" s="1"/>
  <c r="L636" i="1"/>
  <c r="M636" i="1" s="1"/>
  <c r="R636" i="1"/>
  <c r="S636" i="1" s="1"/>
  <c r="P606" i="1"/>
  <c r="Q606" i="1" s="1"/>
  <c r="H606" i="1"/>
  <c r="I606" i="1" s="1"/>
  <c r="V606" i="1"/>
  <c r="W606" i="1" s="1"/>
  <c r="N606" i="1"/>
  <c r="O606" i="1" s="1"/>
  <c r="T606" i="1"/>
  <c r="U606" i="1" s="1"/>
  <c r="R606" i="1"/>
  <c r="S606" i="1" s="1"/>
  <c r="L606" i="1"/>
  <c r="M606" i="1" s="1"/>
  <c r="K606" i="1"/>
  <c r="R595" i="1"/>
  <c r="S595" i="1" s="1"/>
  <c r="V595" i="1"/>
  <c r="W595" i="1" s="1"/>
  <c r="P595" i="1"/>
  <c r="Q595" i="1" s="1"/>
  <c r="T595" i="1"/>
  <c r="U595" i="1" s="1"/>
  <c r="N595" i="1"/>
  <c r="O595" i="1" s="1"/>
  <c r="H616" i="1"/>
  <c r="I616" i="1" s="1"/>
  <c r="L616" i="1"/>
  <c r="M616" i="1" s="1"/>
  <c r="P616" i="1"/>
  <c r="Q616" i="1" s="1"/>
  <c r="T616" i="1"/>
  <c r="U616" i="1" s="1"/>
  <c r="N616" i="1"/>
  <c r="O616" i="1" s="1"/>
  <c r="V616" i="1"/>
  <c r="W616" i="1" s="1"/>
  <c r="K616" i="1"/>
  <c r="R616" i="1"/>
  <c r="S616" i="1" s="1"/>
  <c r="H635" i="1"/>
  <c r="I635" i="1" s="1"/>
  <c r="N635" i="1"/>
  <c r="O635" i="1" s="1"/>
  <c r="K635" i="1"/>
  <c r="P635" i="1"/>
  <c r="Q635" i="1" s="1"/>
  <c r="R635" i="1"/>
  <c r="S635" i="1" s="1"/>
  <c r="L635" i="1"/>
  <c r="M635" i="1" s="1"/>
  <c r="T635" i="1"/>
  <c r="U635" i="1" s="1"/>
  <c r="V635" i="1"/>
  <c r="W635" i="1" s="1"/>
  <c r="L653" i="1"/>
  <c r="M653" i="1" s="1"/>
  <c r="R653" i="1"/>
  <c r="S653" i="1" s="1"/>
  <c r="H653" i="1"/>
  <c r="I653" i="1" s="1"/>
  <c r="N653" i="1"/>
  <c r="O653" i="1" s="1"/>
  <c r="K653" i="1"/>
  <c r="T653" i="1"/>
  <c r="U653" i="1" s="1"/>
  <c r="P653" i="1"/>
  <c r="Q653" i="1" s="1"/>
  <c r="V653" i="1"/>
  <c r="W653" i="1" s="1"/>
  <c r="R482" i="1"/>
  <c r="S482" i="1" s="1"/>
  <c r="P482" i="1"/>
  <c r="Q482" i="1" s="1"/>
  <c r="V482" i="1"/>
  <c r="W482" i="1" s="1"/>
  <c r="T482" i="1"/>
  <c r="U482" i="1" s="1"/>
  <c r="L482" i="1"/>
  <c r="M482" i="1" s="1"/>
  <c r="H482" i="1"/>
  <c r="I482" i="1" s="1"/>
  <c r="N482" i="1"/>
  <c r="O482" i="1" s="1"/>
  <c r="J482" i="1"/>
  <c r="K482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28" i="1"/>
  <c r="F432" i="1" l="1"/>
  <c r="F391" i="1"/>
  <c r="F269" i="1"/>
  <c r="F261" i="1"/>
  <c r="F260" i="1"/>
  <c r="F259" i="1"/>
  <c r="F242" i="1"/>
  <c r="F241" i="1"/>
  <c r="F235" i="1"/>
  <c r="F203" i="1"/>
  <c r="F209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2" i="1"/>
  <c r="W432" i="1" s="1"/>
  <c r="N432" i="1"/>
  <c r="O432" i="1" s="1"/>
  <c r="J432" i="1"/>
  <c r="K432" i="1" s="1"/>
  <c r="H432" i="1"/>
  <c r="I432" i="1" s="1"/>
  <c r="T432" i="1"/>
  <c r="U432" i="1" s="1"/>
  <c r="L432" i="1"/>
  <c r="M432" i="1" s="1"/>
  <c r="R432" i="1"/>
  <c r="S432" i="1" s="1"/>
  <c r="P432" i="1"/>
  <c r="Q432" i="1" s="1"/>
  <c r="R442" i="1"/>
  <c r="S442" i="1" s="1"/>
  <c r="L442" i="1"/>
  <c r="M442" i="1" s="1"/>
  <c r="T442" i="1"/>
  <c r="U442" i="1" s="1"/>
  <c r="H442" i="1"/>
  <c r="I442" i="1" s="1"/>
  <c r="V442" i="1"/>
  <c r="W442" i="1" s="1"/>
  <c r="P442" i="1"/>
  <c r="Q442" i="1" s="1"/>
  <c r="J442" i="1"/>
  <c r="K442" i="1" s="1"/>
  <c r="N442" i="1"/>
  <c r="O442" i="1" s="1"/>
  <c r="N426" i="1"/>
  <c r="O426" i="1" s="1"/>
  <c r="P426" i="1"/>
  <c r="Q426" i="1" s="1"/>
  <c r="R426" i="1"/>
  <c r="S426" i="1" s="1"/>
  <c r="T426" i="1"/>
  <c r="U426" i="1" s="1"/>
  <c r="V426" i="1"/>
  <c r="W426" i="1" s="1"/>
  <c r="L425" i="1"/>
  <c r="M425" i="1" s="1"/>
  <c r="N425" i="1"/>
  <c r="O425" i="1" s="1"/>
  <c r="P425" i="1"/>
  <c r="Q425" i="1" s="1"/>
  <c r="R425" i="1"/>
  <c r="S425" i="1" s="1"/>
  <c r="T425" i="1"/>
  <c r="U425" i="1" s="1"/>
  <c r="V425" i="1"/>
  <c r="W425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2" i="1"/>
  <c r="Q242" i="1" s="1"/>
  <c r="N242" i="1"/>
  <c r="O242" i="1" s="1"/>
  <c r="L242" i="1"/>
  <c r="M242" i="1" s="1"/>
  <c r="J242" i="1"/>
  <c r="K242" i="1" s="1"/>
  <c r="V242" i="1"/>
  <c r="W242" i="1" s="1"/>
  <c r="T242" i="1"/>
  <c r="U242" i="1" s="1"/>
  <c r="R242" i="1"/>
  <c r="S242" i="1" s="1"/>
  <c r="P391" i="1"/>
  <c r="Q391" i="1" s="1"/>
  <c r="L391" i="1"/>
  <c r="M391" i="1" s="1"/>
  <c r="J391" i="1"/>
  <c r="V391" i="1"/>
  <c r="W391" i="1" s="1"/>
  <c r="T391" i="1"/>
  <c r="U391" i="1" s="1"/>
  <c r="R391" i="1"/>
  <c r="S391" i="1" s="1"/>
  <c r="N391" i="1"/>
  <c r="O391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3" i="1"/>
  <c r="W183" i="1" s="1"/>
  <c r="T183" i="1"/>
  <c r="U183" i="1" s="1"/>
  <c r="R183" i="1"/>
  <c r="S183" i="1" s="1"/>
  <c r="P183" i="1"/>
  <c r="Q183" i="1" s="1"/>
  <c r="N183" i="1"/>
  <c r="O183" i="1" s="1"/>
  <c r="J183" i="1"/>
  <c r="K183" i="1" s="1"/>
  <c r="L183" i="1"/>
  <c r="M183" i="1" s="1"/>
  <c r="H183" i="1"/>
  <c r="I183" i="1" s="1"/>
  <c r="R255" i="1"/>
  <c r="S255" i="1" s="1"/>
  <c r="T255" i="1"/>
  <c r="U255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T392" i="1"/>
  <c r="U392" i="1" s="1"/>
  <c r="R392" i="1"/>
  <c r="S392" i="1" s="1"/>
  <c r="P392" i="1"/>
  <c r="Q392" i="1" s="1"/>
  <c r="N392" i="1"/>
  <c r="O392" i="1" s="1"/>
  <c r="L392" i="1"/>
  <c r="M392" i="1" s="1"/>
  <c r="V392" i="1"/>
  <c r="W392" i="1" s="1"/>
  <c r="V235" i="1"/>
  <c r="W235" i="1" s="1"/>
  <c r="T235" i="1"/>
  <c r="U235" i="1" s="1"/>
  <c r="R235" i="1"/>
  <c r="S235" i="1" s="1"/>
  <c r="P235" i="1"/>
  <c r="Q235" i="1" s="1"/>
  <c r="N235" i="1"/>
  <c r="O235" i="1" s="1"/>
  <c r="L235" i="1"/>
  <c r="M235" i="1" s="1"/>
  <c r="J235" i="1"/>
  <c r="K235" i="1" s="1"/>
  <c r="G182" i="1"/>
  <c r="R182" i="1"/>
  <c r="S182" i="1" s="1"/>
  <c r="P182" i="1"/>
  <c r="Q182" i="1" s="1"/>
  <c r="N182" i="1"/>
  <c r="O182" i="1" s="1"/>
  <c r="J182" i="1"/>
  <c r="K182" i="1" s="1"/>
  <c r="H182" i="1"/>
  <c r="I182" i="1" s="1"/>
  <c r="T182" i="1"/>
  <c r="U182" i="1" s="1"/>
  <c r="L182" i="1"/>
  <c r="M182" i="1" s="1"/>
  <c r="V182" i="1"/>
  <c r="W182" i="1" s="1"/>
  <c r="J259" i="1"/>
  <c r="K259" i="1" s="1"/>
  <c r="N259" i="1"/>
  <c r="O259" i="1" s="1"/>
  <c r="P259" i="1"/>
  <c r="Q259" i="1" s="1"/>
  <c r="R259" i="1"/>
  <c r="S259" i="1" s="1"/>
  <c r="T259" i="1"/>
  <c r="U259" i="1" s="1"/>
  <c r="H259" i="1"/>
  <c r="I259" i="1" s="1"/>
  <c r="L259" i="1"/>
  <c r="M259" i="1" s="1"/>
  <c r="V259" i="1"/>
  <c r="W259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09" i="1"/>
  <c r="M209" i="1" s="1"/>
  <c r="J209" i="1"/>
  <c r="K209" i="1" s="1"/>
  <c r="H209" i="1"/>
  <c r="I209" i="1" s="1"/>
  <c r="N209" i="1"/>
  <c r="O209" i="1" s="1"/>
  <c r="R209" i="1"/>
  <c r="S209" i="1" s="1"/>
  <c r="V209" i="1"/>
  <c r="W209" i="1" s="1"/>
  <c r="T209" i="1"/>
  <c r="U209" i="1" s="1"/>
  <c r="P209" i="1"/>
  <c r="Q209" i="1" s="1"/>
  <c r="J260" i="1"/>
  <c r="K260" i="1" s="1"/>
  <c r="H260" i="1"/>
  <c r="I260" i="1" s="1"/>
  <c r="V395" i="1"/>
  <c r="W395" i="1" s="1"/>
  <c r="T395" i="1"/>
  <c r="U395" i="1" s="1"/>
  <c r="R395" i="1"/>
  <c r="S395" i="1" s="1"/>
  <c r="P395" i="1"/>
  <c r="Q395" i="1" s="1"/>
  <c r="N395" i="1"/>
  <c r="O395" i="1" s="1"/>
  <c r="L395" i="1"/>
  <c r="M395" i="1" s="1"/>
  <c r="T279" i="1"/>
  <c r="U279" i="1" s="1"/>
  <c r="R279" i="1"/>
  <c r="S279" i="1" s="1"/>
  <c r="N279" i="1"/>
  <c r="O279" i="1" s="1"/>
  <c r="L279" i="1"/>
  <c r="M279" i="1" s="1"/>
  <c r="J279" i="1"/>
  <c r="K279" i="1" s="1"/>
  <c r="H279" i="1"/>
  <c r="I279" i="1" s="1"/>
  <c r="P279" i="1"/>
  <c r="Q279" i="1" s="1"/>
  <c r="V279" i="1"/>
  <c r="W279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6" i="1"/>
  <c r="U206" i="1" s="1"/>
  <c r="R206" i="1"/>
  <c r="S206" i="1" s="1"/>
  <c r="P206" i="1"/>
  <c r="Q206" i="1" s="1"/>
  <c r="N206" i="1"/>
  <c r="O206" i="1" s="1"/>
  <c r="L206" i="1"/>
  <c r="M206" i="1" s="1"/>
  <c r="V206" i="1"/>
  <c r="W206" i="1" s="1"/>
  <c r="J261" i="1"/>
  <c r="K261" i="1" s="1"/>
  <c r="N261" i="1"/>
  <c r="O261" i="1" s="1"/>
  <c r="R261" i="1"/>
  <c r="S261" i="1" s="1"/>
  <c r="T261" i="1"/>
  <c r="U261" i="1" s="1"/>
  <c r="V261" i="1"/>
  <c r="W261" i="1" s="1"/>
  <c r="L261" i="1"/>
  <c r="M261" i="1" s="1"/>
  <c r="P261" i="1"/>
  <c r="Q261" i="1" s="1"/>
  <c r="H261" i="1"/>
  <c r="I261" i="1" s="1"/>
  <c r="J276" i="1"/>
  <c r="K276" i="1" s="1"/>
  <c r="P276" i="1"/>
  <c r="Q276" i="1" s="1"/>
  <c r="R276" i="1"/>
  <c r="S276" i="1" s="1"/>
  <c r="T276" i="1"/>
  <c r="U276" i="1" s="1"/>
  <c r="N276" i="1"/>
  <c r="O276" i="1" s="1"/>
  <c r="H276" i="1"/>
  <c r="I276" i="1" s="1"/>
  <c r="V276" i="1"/>
  <c r="W276" i="1" s="1"/>
  <c r="L276" i="1"/>
  <c r="M276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N262" i="1"/>
  <c r="O262" i="1" s="1"/>
  <c r="P262" i="1"/>
  <c r="Q262" i="1" s="1"/>
  <c r="R262" i="1"/>
  <c r="S262" i="1" s="1"/>
  <c r="T262" i="1"/>
  <c r="U262" i="1" s="1"/>
  <c r="V262" i="1"/>
  <c r="W262" i="1" s="1"/>
  <c r="H262" i="1"/>
  <c r="I262" i="1" s="1"/>
  <c r="L262" i="1"/>
  <c r="M262" i="1" s="1"/>
  <c r="J262" i="1"/>
  <c r="K262" i="1" s="1"/>
  <c r="N203" i="1"/>
  <c r="O203" i="1" s="1"/>
  <c r="L203" i="1"/>
  <c r="M203" i="1" s="1"/>
  <c r="R203" i="1"/>
  <c r="S203" i="1" s="1"/>
  <c r="P203" i="1"/>
  <c r="Q203" i="1" s="1"/>
  <c r="V203" i="1"/>
  <c r="W203" i="1" s="1"/>
  <c r="T203" i="1"/>
  <c r="U203" i="1" s="1"/>
  <c r="J269" i="1"/>
  <c r="K269" i="1" s="1"/>
  <c r="L269" i="1"/>
  <c r="M269" i="1" s="1"/>
  <c r="N269" i="1"/>
  <c r="O269" i="1" s="1"/>
  <c r="P269" i="1"/>
  <c r="Q269" i="1" s="1"/>
  <c r="R269" i="1"/>
  <c r="S269" i="1" s="1"/>
  <c r="T269" i="1"/>
  <c r="U269" i="1" s="1"/>
  <c r="V269" i="1"/>
  <c r="W269" i="1" s="1"/>
  <c r="H269" i="1"/>
  <c r="I269" i="1" s="1"/>
  <c r="J241" i="1"/>
  <c r="K241" i="1" s="1"/>
  <c r="V241" i="1"/>
  <c r="W241" i="1" s="1"/>
  <c r="T241" i="1"/>
  <c r="U241" i="1" s="1"/>
  <c r="R241" i="1"/>
  <c r="S241" i="1" s="1"/>
  <c r="N241" i="1"/>
  <c r="O241" i="1" s="1"/>
  <c r="L241" i="1"/>
  <c r="M241" i="1" s="1"/>
  <c r="P241" i="1"/>
  <c r="Q241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0" i="1"/>
  <c r="K270" i="1" s="1"/>
  <c r="N270" i="1"/>
  <c r="O270" i="1" s="1"/>
  <c r="R270" i="1"/>
  <c r="S270" i="1" s="1"/>
  <c r="T270" i="1"/>
  <c r="U270" i="1" s="1"/>
  <c r="V270" i="1"/>
  <c r="W270" i="1" s="1"/>
  <c r="H270" i="1"/>
  <c r="I270" i="1" s="1"/>
  <c r="L270" i="1"/>
  <c r="M270" i="1" s="1"/>
  <c r="P270" i="1"/>
  <c r="Q270" i="1" s="1"/>
  <c r="H275" i="1"/>
  <c r="I275" i="1" s="1"/>
  <c r="L275" i="1"/>
  <c r="M275" i="1" s="1"/>
  <c r="N275" i="1"/>
  <c r="O275" i="1" s="1"/>
  <c r="P275" i="1"/>
  <c r="Q275" i="1" s="1"/>
  <c r="R275" i="1"/>
  <c r="S275" i="1" s="1"/>
  <c r="V275" i="1"/>
  <c r="W275" i="1" s="1"/>
  <c r="T275" i="1"/>
  <c r="U275" i="1" s="1"/>
  <c r="J275" i="1"/>
  <c r="K275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2" i="1" l="1"/>
  <c r="F211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1" i="1"/>
  <c r="W211" i="1" s="1"/>
  <c r="T211" i="1"/>
  <c r="U211" i="1" s="1"/>
  <c r="R211" i="1"/>
  <c r="S211" i="1" s="1"/>
  <c r="P211" i="1"/>
  <c r="Q211" i="1" s="1"/>
  <c r="L211" i="1"/>
  <c r="M211" i="1" s="1"/>
  <c r="N211" i="1"/>
  <c r="O211" i="1" s="1"/>
  <c r="J211" i="1"/>
  <c r="K211" i="1" s="1"/>
  <c r="J212" i="1"/>
  <c r="K212" i="1" s="1"/>
  <c r="V212" i="1"/>
  <c r="W212" i="1" s="1"/>
  <c r="T212" i="1"/>
  <c r="U212" i="1" s="1"/>
  <c r="N212" i="1"/>
  <c r="O212" i="1" s="1"/>
  <c r="R212" i="1"/>
  <c r="S212" i="1" s="1"/>
  <c r="P212" i="1"/>
  <c r="Q212" i="1" s="1"/>
  <c r="L212" i="1"/>
  <c r="M212" i="1" s="1"/>
  <c r="F561" i="1"/>
  <c r="F553" i="1"/>
  <c r="F552" i="1"/>
  <c r="F567" i="1"/>
  <c r="F566" i="1"/>
  <c r="F565" i="1"/>
  <c r="F564" i="1"/>
  <c r="F277" i="1"/>
  <c r="F411" i="1"/>
  <c r="T439" i="1" l="1"/>
  <c r="U439" i="1" s="1"/>
  <c r="H439" i="1"/>
  <c r="I439" i="1" s="1"/>
  <c r="L439" i="1"/>
  <c r="M439" i="1" s="1"/>
  <c r="P439" i="1"/>
  <c r="Q439" i="1" s="1"/>
  <c r="N439" i="1"/>
  <c r="O439" i="1" s="1"/>
  <c r="R439" i="1"/>
  <c r="S439" i="1" s="1"/>
  <c r="V439" i="1"/>
  <c r="W439" i="1" s="1"/>
  <c r="J439" i="1"/>
  <c r="K439" i="1" s="1"/>
  <c r="H343" i="1"/>
  <c r="I343" i="1" s="1"/>
  <c r="O343" i="1"/>
  <c r="S343" i="1"/>
  <c r="M343" i="1"/>
  <c r="Q343" i="1"/>
  <c r="K343" i="1"/>
  <c r="P443" i="1"/>
  <c r="Q443" i="1" s="1"/>
  <c r="H443" i="1"/>
  <c r="I443" i="1" s="1"/>
  <c r="T443" i="1"/>
  <c r="U443" i="1" s="1"/>
  <c r="J443" i="1"/>
  <c r="K443" i="1" s="1"/>
  <c r="V443" i="1"/>
  <c r="W443" i="1" s="1"/>
  <c r="N443" i="1"/>
  <c r="O443" i="1" s="1"/>
  <c r="L443" i="1"/>
  <c r="M443" i="1" s="1"/>
  <c r="R443" i="1"/>
  <c r="S443" i="1" s="1"/>
  <c r="T448" i="1"/>
  <c r="U448" i="1" s="1"/>
  <c r="P448" i="1"/>
  <c r="Q448" i="1" s="1"/>
  <c r="H448" i="1"/>
  <c r="I448" i="1" s="1"/>
  <c r="R448" i="1"/>
  <c r="S448" i="1" s="1"/>
  <c r="N448" i="1"/>
  <c r="O448" i="1" s="1"/>
  <c r="L448" i="1"/>
  <c r="M448" i="1" s="1"/>
  <c r="V448" i="1"/>
  <c r="W448" i="1" s="1"/>
  <c r="J448" i="1"/>
  <c r="K448" i="1" s="1"/>
  <c r="V434" i="1"/>
  <c r="W434" i="1" s="1"/>
  <c r="P434" i="1"/>
  <c r="Q434" i="1" s="1"/>
  <c r="J434" i="1"/>
  <c r="K434" i="1" s="1"/>
  <c r="N434" i="1"/>
  <c r="O434" i="1" s="1"/>
  <c r="R434" i="1"/>
  <c r="S434" i="1" s="1"/>
  <c r="T434" i="1"/>
  <c r="U434" i="1" s="1"/>
  <c r="H434" i="1"/>
  <c r="I434" i="1" s="1"/>
  <c r="L434" i="1"/>
  <c r="M434" i="1" s="1"/>
  <c r="T446" i="1"/>
  <c r="U446" i="1" s="1"/>
  <c r="L446" i="1"/>
  <c r="M446" i="1" s="1"/>
  <c r="P446" i="1"/>
  <c r="Q446" i="1" s="1"/>
  <c r="V446" i="1"/>
  <c r="W446" i="1" s="1"/>
  <c r="R446" i="1"/>
  <c r="S446" i="1" s="1"/>
  <c r="J446" i="1"/>
  <c r="K446" i="1" s="1"/>
  <c r="H446" i="1"/>
  <c r="I446" i="1" s="1"/>
  <c r="N446" i="1"/>
  <c r="O446" i="1" s="1"/>
  <c r="T567" i="1"/>
  <c r="U567" i="1" s="1"/>
  <c r="L567" i="1"/>
  <c r="M567" i="1" s="1"/>
  <c r="R567" i="1"/>
  <c r="S567" i="1" s="1"/>
  <c r="J567" i="1"/>
  <c r="K567" i="1" s="1"/>
  <c r="H567" i="1"/>
  <c r="I567" i="1" s="1"/>
  <c r="V567" i="1"/>
  <c r="W567" i="1" s="1"/>
  <c r="P567" i="1"/>
  <c r="Q567" i="1" s="1"/>
  <c r="N567" i="1"/>
  <c r="O567" i="1" s="1"/>
  <c r="N433" i="1"/>
  <c r="O433" i="1" s="1"/>
  <c r="P433" i="1"/>
  <c r="Q433" i="1" s="1"/>
  <c r="T433" i="1"/>
  <c r="U433" i="1" s="1"/>
  <c r="H433" i="1"/>
  <c r="I433" i="1" s="1"/>
  <c r="R433" i="1"/>
  <c r="S433" i="1" s="1"/>
  <c r="L433" i="1"/>
  <c r="M433" i="1" s="1"/>
  <c r="V433" i="1"/>
  <c r="W433" i="1" s="1"/>
  <c r="J433" i="1"/>
  <c r="K433" i="1" s="1"/>
  <c r="T564" i="1"/>
  <c r="U564" i="1" s="1"/>
  <c r="L564" i="1"/>
  <c r="M564" i="1" s="1"/>
  <c r="R564" i="1"/>
  <c r="S564" i="1" s="1"/>
  <c r="J564" i="1"/>
  <c r="K564" i="1" s="1"/>
  <c r="H564" i="1"/>
  <c r="I564" i="1" s="1"/>
  <c r="V564" i="1"/>
  <c r="W564" i="1" s="1"/>
  <c r="P564" i="1"/>
  <c r="Q564" i="1" s="1"/>
  <c r="N564" i="1"/>
  <c r="O564" i="1" s="1"/>
  <c r="T552" i="1"/>
  <c r="U552" i="1" s="1"/>
  <c r="L552" i="1"/>
  <c r="M552" i="1" s="1"/>
  <c r="R552" i="1"/>
  <c r="S552" i="1" s="1"/>
  <c r="J552" i="1"/>
  <c r="K552" i="1" s="1"/>
  <c r="H552" i="1"/>
  <c r="I552" i="1" s="1"/>
  <c r="V552" i="1"/>
  <c r="W552" i="1" s="1"/>
  <c r="P552" i="1"/>
  <c r="Q552" i="1" s="1"/>
  <c r="N552" i="1"/>
  <c r="O552" i="1" s="1"/>
  <c r="V444" i="1"/>
  <c r="W444" i="1" s="1"/>
  <c r="N444" i="1"/>
  <c r="O444" i="1" s="1"/>
  <c r="J444" i="1"/>
  <c r="K444" i="1" s="1"/>
  <c r="H444" i="1"/>
  <c r="I444" i="1" s="1"/>
  <c r="T444" i="1"/>
  <c r="U444" i="1" s="1"/>
  <c r="L444" i="1"/>
  <c r="M444" i="1" s="1"/>
  <c r="R444" i="1"/>
  <c r="S444" i="1" s="1"/>
  <c r="P444" i="1"/>
  <c r="Q444" i="1" s="1"/>
  <c r="R447" i="1"/>
  <c r="S447" i="1" s="1"/>
  <c r="L447" i="1"/>
  <c r="M447" i="1" s="1"/>
  <c r="V447" i="1"/>
  <c r="W447" i="1" s="1"/>
  <c r="P447" i="1"/>
  <c r="Q447" i="1" s="1"/>
  <c r="J447" i="1"/>
  <c r="K447" i="1" s="1"/>
  <c r="T447" i="1"/>
  <c r="U447" i="1" s="1"/>
  <c r="H447" i="1"/>
  <c r="I447" i="1" s="1"/>
  <c r="N447" i="1"/>
  <c r="O447" i="1" s="1"/>
  <c r="T565" i="1"/>
  <c r="U565" i="1" s="1"/>
  <c r="L565" i="1"/>
  <c r="M565" i="1" s="1"/>
  <c r="R565" i="1"/>
  <c r="S565" i="1" s="1"/>
  <c r="J565" i="1"/>
  <c r="K565" i="1" s="1"/>
  <c r="H565" i="1"/>
  <c r="I565" i="1" s="1"/>
  <c r="V565" i="1"/>
  <c r="W565" i="1" s="1"/>
  <c r="P565" i="1"/>
  <c r="Q565" i="1" s="1"/>
  <c r="N565" i="1"/>
  <c r="O565" i="1" s="1"/>
  <c r="T553" i="1"/>
  <c r="U553" i="1" s="1"/>
  <c r="L553" i="1"/>
  <c r="M553" i="1" s="1"/>
  <c r="R553" i="1"/>
  <c r="S553" i="1" s="1"/>
  <c r="J553" i="1"/>
  <c r="K553" i="1" s="1"/>
  <c r="P553" i="1"/>
  <c r="Q553" i="1" s="1"/>
  <c r="N553" i="1"/>
  <c r="O553" i="1" s="1"/>
  <c r="V553" i="1"/>
  <c r="W553" i="1" s="1"/>
  <c r="H553" i="1"/>
  <c r="I553" i="1" s="1"/>
  <c r="R440" i="1"/>
  <c r="S440" i="1" s="1"/>
  <c r="L440" i="1"/>
  <c r="M440" i="1" s="1"/>
  <c r="N440" i="1"/>
  <c r="O440" i="1" s="1"/>
  <c r="V440" i="1"/>
  <c r="W440" i="1" s="1"/>
  <c r="P440" i="1"/>
  <c r="Q440" i="1" s="1"/>
  <c r="J440" i="1"/>
  <c r="K440" i="1" s="1"/>
  <c r="T440" i="1"/>
  <c r="U440" i="1" s="1"/>
  <c r="H440" i="1"/>
  <c r="I440" i="1" s="1"/>
  <c r="N445" i="1"/>
  <c r="O445" i="1" s="1"/>
  <c r="H445" i="1"/>
  <c r="I445" i="1" s="1"/>
  <c r="R445" i="1"/>
  <c r="S445" i="1" s="1"/>
  <c r="V445" i="1"/>
  <c r="W445" i="1" s="1"/>
  <c r="T445" i="1"/>
  <c r="U445" i="1" s="1"/>
  <c r="L445" i="1"/>
  <c r="M445" i="1" s="1"/>
  <c r="J445" i="1"/>
  <c r="K445" i="1" s="1"/>
  <c r="P445" i="1"/>
  <c r="Q445" i="1" s="1"/>
  <c r="V566" i="1"/>
  <c r="W566" i="1" s="1"/>
  <c r="P566" i="1"/>
  <c r="Q566" i="1" s="1"/>
  <c r="T566" i="1"/>
  <c r="U566" i="1" s="1"/>
  <c r="J566" i="1"/>
  <c r="K566" i="1" s="1"/>
  <c r="H566" i="1"/>
  <c r="I566" i="1" s="1"/>
  <c r="R566" i="1"/>
  <c r="S566" i="1" s="1"/>
  <c r="N566" i="1"/>
  <c r="O566" i="1" s="1"/>
  <c r="L566" i="1"/>
  <c r="M566" i="1" s="1"/>
  <c r="V561" i="1"/>
  <c r="W561" i="1" s="1"/>
  <c r="P561" i="1"/>
  <c r="Q561" i="1" s="1"/>
  <c r="T561" i="1"/>
  <c r="U561" i="1" s="1"/>
  <c r="J561" i="1"/>
  <c r="K561" i="1" s="1"/>
  <c r="N561" i="1"/>
  <c r="O561" i="1" s="1"/>
  <c r="L561" i="1"/>
  <c r="M561" i="1" s="1"/>
  <c r="R561" i="1"/>
  <c r="S561" i="1" s="1"/>
  <c r="H561" i="1"/>
  <c r="I561" i="1" s="1"/>
  <c r="P418" i="1"/>
  <c r="Q418" i="1" s="1"/>
  <c r="N418" i="1"/>
  <c r="O418" i="1" s="1"/>
  <c r="L418" i="1"/>
  <c r="M418" i="1" s="1"/>
  <c r="R418" i="1"/>
  <c r="S418" i="1" s="1"/>
  <c r="V418" i="1"/>
  <c r="W418" i="1" s="1"/>
  <c r="T418" i="1"/>
  <c r="U418" i="1" s="1"/>
  <c r="T412" i="1"/>
  <c r="U412" i="1" s="1"/>
  <c r="R412" i="1"/>
  <c r="S412" i="1" s="1"/>
  <c r="P412" i="1"/>
  <c r="Q412" i="1" s="1"/>
  <c r="L412" i="1"/>
  <c r="M412" i="1" s="1"/>
  <c r="N412" i="1"/>
  <c r="O412" i="1" s="1"/>
  <c r="V412" i="1"/>
  <c r="W412" i="1" s="1"/>
  <c r="N427" i="1"/>
  <c r="O427" i="1" s="1"/>
  <c r="P427" i="1"/>
  <c r="Q427" i="1" s="1"/>
  <c r="R427" i="1"/>
  <c r="S427" i="1" s="1"/>
  <c r="V427" i="1"/>
  <c r="W427" i="1" s="1"/>
  <c r="T427" i="1"/>
  <c r="U427" i="1" s="1"/>
  <c r="L427" i="1"/>
  <c r="M427" i="1" s="1"/>
  <c r="V411" i="1"/>
  <c r="W411" i="1" s="1"/>
  <c r="N411" i="1"/>
  <c r="O411" i="1" s="1"/>
  <c r="T411" i="1"/>
  <c r="U411" i="1" s="1"/>
  <c r="R411" i="1"/>
  <c r="S411" i="1" s="1"/>
  <c r="L411" i="1"/>
  <c r="M411" i="1" s="1"/>
  <c r="P411" i="1"/>
  <c r="Q411" i="1" s="1"/>
  <c r="V417" i="1"/>
  <c r="W417" i="1" s="1"/>
  <c r="T417" i="1"/>
  <c r="U417" i="1" s="1"/>
  <c r="R417" i="1"/>
  <c r="S417" i="1" s="1"/>
  <c r="P417" i="1"/>
  <c r="Q417" i="1" s="1"/>
  <c r="N417" i="1"/>
  <c r="O417" i="1" s="1"/>
  <c r="L417" i="1"/>
  <c r="M417" i="1" s="1"/>
  <c r="N414" i="1"/>
  <c r="O414" i="1" s="1"/>
  <c r="V414" i="1"/>
  <c r="W414" i="1" s="1"/>
  <c r="L414" i="1"/>
  <c r="M414" i="1" s="1"/>
  <c r="T414" i="1"/>
  <c r="U414" i="1" s="1"/>
  <c r="R414" i="1"/>
  <c r="S414" i="1" s="1"/>
  <c r="P414" i="1"/>
  <c r="Q414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376" i="1"/>
  <c r="W376" i="1" s="1"/>
  <c r="R376" i="1"/>
  <c r="S376" i="1" s="1"/>
  <c r="P376" i="1"/>
  <c r="Q376" i="1" s="1"/>
  <c r="N376" i="1"/>
  <c r="O376" i="1" s="1"/>
  <c r="L376" i="1"/>
  <c r="M376" i="1" s="1"/>
  <c r="T376" i="1"/>
  <c r="U376" i="1" s="1"/>
  <c r="P323" i="1"/>
  <c r="Q323" i="1" s="1"/>
  <c r="N323" i="1"/>
  <c r="O323" i="1" s="1"/>
  <c r="L323" i="1"/>
  <c r="M323" i="1" s="1"/>
  <c r="J323" i="1"/>
  <c r="K323" i="1" s="1"/>
  <c r="H323" i="1"/>
  <c r="I323" i="1" s="1"/>
  <c r="V323" i="1"/>
  <c r="W323" i="1" s="1"/>
  <c r="T323" i="1"/>
  <c r="U323" i="1" s="1"/>
  <c r="R323" i="1"/>
  <c r="S323" i="1" s="1"/>
  <c r="L329" i="1"/>
  <c r="M329" i="1" s="1"/>
  <c r="J329" i="1"/>
  <c r="K329" i="1" s="1"/>
  <c r="H329" i="1"/>
  <c r="I329" i="1" s="1"/>
  <c r="V329" i="1"/>
  <c r="W329" i="1" s="1"/>
  <c r="T329" i="1"/>
  <c r="U329" i="1" s="1"/>
  <c r="R329" i="1"/>
  <c r="S329" i="1" s="1"/>
  <c r="P329" i="1"/>
  <c r="Q329" i="1" s="1"/>
  <c r="N329" i="1"/>
  <c r="O329" i="1" s="1"/>
  <c r="L277" i="1"/>
  <c r="M277" i="1" s="1"/>
  <c r="V277" i="1"/>
  <c r="W277" i="1" s="1"/>
  <c r="T277" i="1"/>
  <c r="U277" i="1" s="1"/>
  <c r="R277" i="1"/>
  <c r="S277" i="1" s="1"/>
  <c r="P277" i="1"/>
  <c r="Q277" i="1" s="1"/>
  <c r="N277" i="1"/>
  <c r="O277" i="1" s="1"/>
  <c r="J277" i="1"/>
  <c r="K277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T404" i="1"/>
  <c r="U404" i="1" s="1"/>
  <c r="R404" i="1"/>
  <c r="S404" i="1" s="1"/>
  <c r="P404" i="1"/>
  <c r="Q404" i="1" s="1"/>
  <c r="N404" i="1"/>
  <c r="O404" i="1" s="1"/>
  <c r="L404" i="1"/>
  <c r="M404" i="1" s="1"/>
  <c r="V404" i="1"/>
  <c r="W404" i="1" s="1"/>
  <c r="P403" i="1"/>
  <c r="Q403" i="1" s="1"/>
  <c r="N403" i="1"/>
  <c r="O403" i="1" s="1"/>
  <c r="L403" i="1"/>
  <c r="M403" i="1" s="1"/>
  <c r="V403" i="1"/>
  <c r="W403" i="1" s="1"/>
  <c r="T403" i="1"/>
  <c r="U403" i="1" s="1"/>
  <c r="R403" i="1"/>
  <c r="S403" i="1" s="1"/>
  <c r="G329" i="1"/>
  <c r="G323" i="1"/>
  <c r="G277" i="1"/>
  <c r="G411" i="1"/>
  <c r="G412" i="1"/>
  <c r="G444" i="1" l="1"/>
  <c r="F491" i="1" l="1"/>
  <c r="F510" i="1"/>
  <c r="G533" i="1"/>
  <c r="F530" i="1"/>
  <c r="F710" i="1"/>
  <c r="F732" i="1"/>
  <c r="F730" i="1"/>
  <c r="V730" i="1" s="1"/>
  <c r="T732" i="1" l="1"/>
  <c r="N732" i="1"/>
  <c r="L732" i="1"/>
  <c r="P732" i="1"/>
  <c r="J732" i="1"/>
  <c r="K732" i="1" s="1"/>
  <c r="R732" i="1"/>
  <c r="R727" i="1"/>
  <c r="P727" i="1"/>
  <c r="T727" i="1"/>
  <c r="J727" i="1"/>
  <c r="K727" i="1" s="1"/>
  <c r="V727" i="1"/>
  <c r="L727" i="1"/>
  <c r="N727" i="1"/>
  <c r="R730" i="1"/>
  <c r="S730" i="1" s="1"/>
  <c r="J730" i="1"/>
  <c r="K730" i="1" s="1"/>
  <c r="P730" i="1"/>
  <c r="Q730" i="1" s="1"/>
  <c r="H730" i="1"/>
  <c r="I730" i="1" s="1"/>
  <c r="T730" i="1"/>
  <c r="U730" i="1" s="1"/>
  <c r="W730" i="1"/>
  <c r="N730" i="1"/>
  <c r="O730" i="1" s="1"/>
  <c r="L730" i="1"/>
  <c r="M730" i="1" s="1"/>
  <c r="R710" i="1"/>
  <c r="S710" i="1" s="1"/>
  <c r="J710" i="1"/>
  <c r="K710" i="1" s="1"/>
  <c r="T710" i="1"/>
  <c r="U710" i="1" s="1"/>
  <c r="L710" i="1"/>
  <c r="M710" i="1" s="1"/>
  <c r="P710" i="1"/>
  <c r="Q710" i="1" s="1"/>
  <c r="H710" i="1"/>
  <c r="I710" i="1" s="1"/>
  <c r="V710" i="1"/>
  <c r="W710" i="1" s="1"/>
  <c r="N710" i="1"/>
  <c r="O710" i="1" s="1"/>
  <c r="R529" i="1"/>
  <c r="S529" i="1" s="1"/>
  <c r="L529" i="1"/>
  <c r="M529" i="1" s="1"/>
  <c r="H529" i="1"/>
  <c r="I529" i="1" s="1"/>
  <c r="V529" i="1"/>
  <c r="W529" i="1" s="1"/>
  <c r="P529" i="1"/>
  <c r="Q529" i="1" s="1"/>
  <c r="N529" i="1"/>
  <c r="O529" i="1" s="1"/>
  <c r="T529" i="1"/>
  <c r="U529" i="1" s="1"/>
  <c r="J529" i="1"/>
  <c r="K529" i="1" s="1"/>
  <c r="H530" i="1"/>
  <c r="I530" i="1" s="1"/>
  <c r="N530" i="1"/>
  <c r="O530" i="1" s="1"/>
  <c r="R530" i="1"/>
  <c r="S530" i="1" s="1"/>
  <c r="L530" i="1"/>
  <c r="M530" i="1" s="1"/>
  <c r="T530" i="1"/>
  <c r="U530" i="1" s="1"/>
  <c r="J530" i="1"/>
  <c r="K530" i="1" s="1"/>
  <c r="V530" i="1"/>
  <c r="W530" i="1" s="1"/>
  <c r="P530" i="1"/>
  <c r="Q530" i="1" s="1"/>
  <c r="T539" i="1"/>
  <c r="U539" i="1" s="1"/>
  <c r="L539" i="1"/>
  <c r="M539" i="1" s="1"/>
  <c r="R539" i="1"/>
  <c r="S539" i="1" s="1"/>
  <c r="J539" i="1"/>
  <c r="K539" i="1" s="1"/>
  <c r="N539" i="1"/>
  <c r="O539" i="1" s="1"/>
  <c r="V539" i="1"/>
  <c r="W539" i="1" s="1"/>
  <c r="P539" i="1"/>
  <c r="Q539" i="1" s="1"/>
  <c r="R513" i="1"/>
  <c r="S513" i="1" s="1"/>
  <c r="H513" i="1"/>
  <c r="I513" i="1" s="1"/>
  <c r="V513" i="1"/>
  <c r="W513" i="1" s="1"/>
  <c r="T513" i="1"/>
  <c r="U513" i="1" s="1"/>
  <c r="P513" i="1"/>
  <c r="Q513" i="1" s="1"/>
  <c r="L513" i="1"/>
  <c r="M513" i="1" s="1"/>
  <c r="N513" i="1"/>
  <c r="O513" i="1" s="1"/>
  <c r="J513" i="1"/>
  <c r="K513" i="1" s="1"/>
  <c r="L510" i="1"/>
  <c r="M510" i="1" s="1"/>
  <c r="J510" i="1"/>
  <c r="K510" i="1" s="1"/>
  <c r="N510" i="1"/>
  <c r="O510" i="1" s="1"/>
  <c r="H510" i="1"/>
  <c r="I510" i="1" s="1"/>
  <c r="V510" i="1"/>
  <c r="W510" i="1" s="1"/>
  <c r="R510" i="1"/>
  <c r="S510" i="1" s="1"/>
  <c r="P510" i="1"/>
  <c r="Q510" i="1" s="1"/>
  <c r="T510" i="1"/>
  <c r="U510" i="1" s="1"/>
  <c r="G530" i="1"/>
  <c r="G529" i="1"/>
  <c r="G710" i="1"/>
  <c r="G730" i="1"/>
  <c r="J654" i="1" l="1"/>
  <c r="L654" i="1" l="1"/>
  <c r="M654" i="1" s="1"/>
  <c r="R654" i="1"/>
  <c r="S654" i="1" s="1"/>
  <c r="H654" i="1"/>
  <c r="I654" i="1" s="1"/>
  <c r="N654" i="1"/>
  <c r="O654" i="1" s="1"/>
  <c r="K654" i="1"/>
  <c r="V654" i="1"/>
  <c r="W654" i="1" s="1"/>
  <c r="P654" i="1"/>
  <c r="Q654" i="1" s="1"/>
  <c r="T654" i="1"/>
  <c r="U654" i="1" s="1"/>
  <c r="H327" i="1"/>
  <c r="I327" i="1" s="1"/>
  <c r="H14" i="1"/>
  <c r="R14" i="1"/>
  <c r="J14" i="1"/>
  <c r="T14" i="1"/>
  <c r="L14" i="1"/>
  <c r="P14" i="1"/>
  <c r="N14" i="1"/>
  <c r="G654" i="1"/>
  <c r="G497" i="1"/>
  <c r="G434" i="1" l="1"/>
  <c r="G496" i="1"/>
  <c r="F347" i="1"/>
  <c r="G347" i="1" l="1"/>
  <c r="G242" i="1" l="1"/>
  <c r="G571" i="1" l="1"/>
  <c r="R297" i="1" l="1"/>
  <c r="S297" i="1" s="1"/>
  <c r="N297" i="1"/>
  <c r="O297" i="1" s="1"/>
  <c r="L297" i="1"/>
  <c r="M297" i="1" s="1"/>
  <c r="J297" i="1"/>
  <c r="K297" i="1" s="1"/>
  <c r="H297" i="1"/>
  <c r="I297" i="1" s="1"/>
  <c r="V297" i="1"/>
  <c r="W297" i="1" s="1"/>
  <c r="T297" i="1"/>
  <c r="U297" i="1" s="1"/>
  <c r="P297" i="1"/>
  <c r="Q297" i="1" s="1"/>
  <c r="G297" i="1"/>
  <c r="G275" i="1" l="1"/>
  <c r="F451" i="1" l="1"/>
  <c r="F437" i="1"/>
  <c r="V437" i="1" l="1"/>
  <c r="W437" i="1" s="1"/>
  <c r="N437" i="1"/>
  <c r="O437" i="1" s="1"/>
  <c r="J437" i="1"/>
  <c r="K437" i="1" s="1"/>
  <c r="H437" i="1"/>
  <c r="I437" i="1" s="1"/>
  <c r="T437" i="1"/>
  <c r="U437" i="1" s="1"/>
  <c r="L437" i="1"/>
  <c r="M437" i="1" s="1"/>
  <c r="R437" i="1"/>
  <c r="S437" i="1" s="1"/>
  <c r="P437" i="1"/>
  <c r="Q437" i="1" s="1"/>
  <c r="P451" i="1"/>
  <c r="Q451" i="1" s="1"/>
  <c r="H451" i="1"/>
  <c r="I451" i="1" s="1"/>
  <c r="L451" i="1"/>
  <c r="M451" i="1" s="1"/>
  <c r="R451" i="1"/>
  <c r="S451" i="1" s="1"/>
  <c r="V451" i="1"/>
  <c r="W451" i="1" s="1"/>
  <c r="N451" i="1"/>
  <c r="O451" i="1" s="1"/>
  <c r="T451" i="1"/>
  <c r="U451" i="1" s="1"/>
  <c r="J451" i="1"/>
  <c r="K451" i="1" s="1"/>
  <c r="G451" i="1"/>
  <c r="G437" i="1"/>
  <c r="K518" i="1"/>
  <c r="G518" i="1"/>
  <c r="I671" i="1"/>
  <c r="I672" i="1"/>
  <c r="W520" i="1"/>
  <c r="U520" i="1"/>
  <c r="S520" i="1"/>
  <c r="Q520" i="1"/>
  <c r="O520" i="1"/>
  <c r="M520" i="1"/>
  <c r="P438" i="1" l="1"/>
  <c r="Q438" i="1" s="1"/>
  <c r="H438" i="1"/>
  <c r="I438" i="1" s="1"/>
  <c r="J438" i="1"/>
  <c r="K438" i="1" s="1"/>
  <c r="V438" i="1"/>
  <c r="W438" i="1" s="1"/>
  <c r="N438" i="1"/>
  <c r="O438" i="1" s="1"/>
  <c r="T438" i="1"/>
  <c r="U438" i="1" s="1"/>
  <c r="L438" i="1"/>
  <c r="M438" i="1" s="1"/>
  <c r="R438" i="1"/>
  <c r="S438" i="1" s="1"/>
  <c r="N253" i="1"/>
  <c r="O253" i="1" s="1"/>
  <c r="P253" i="1"/>
  <c r="Q253" i="1" s="1"/>
  <c r="R253" i="1"/>
  <c r="S253" i="1" s="1"/>
  <c r="T253" i="1"/>
  <c r="U253" i="1" s="1"/>
  <c r="V253" i="1"/>
  <c r="W253" i="1" s="1"/>
  <c r="H253" i="1"/>
  <c r="I253" i="1" s="1"/>
  <c r="J253" i="1"/>
  <c r="K253" i="1" s="1"/>
  <c r="L253" i="1"/>
  <c r="M253" i="1" s="1"/>
  <c r="G595" i="1"/>
  <c r="G253" i="1"/>
  <c r="G438" i="1"/>
  <c r="P491" i="1"/>
  <c r="J491" i="1" l="1"/>
  <c r="K491" i="1" s="1"/>
  <c r="L491" i="1"/>
  <c r="M491" i="1" s="1"/>
  <c r="N491" i="1"/>
  <c r="O491" i="1" s="1"/>
  <c r="V491" i="1"/>
  <c r="W491" i="1" s="1"/>
  <c r="T491" i="1"/>
  <c r="U491" i="1" s="1"/>
  <c r="R491" i="1"/>
  <c r="S491" i="1" s="1"/>
  <c r="G177" i="1"/>
  <c r="Q491" i="1"/>
  <c r="G491" i="1"/>
  <c r="G260" i="1" l="1"/>
  <c r="F384" i="1"/>
  <c r="V384" i="1" l="1"/>
  <c r="W384" i="1" s="1"/>
  <c r="R384" i="1"/>
  <c r="S384" i="1" s="1"/>
  <c r="P384" i="1"/>
  <c r="Q384" i="1" s="1"/>
  <c r="N384" i="1"/>
  <c r="O384" i="1" s="1"/>
  <c r="L384" i="1"/>
  <c r="M384" i="1" s="1"/>
  <c r="T384" i="1"/>
  <c r="U384" i="1" s="1"/>
  <c r="G384" i="1"/>
  <c r="V410" i="1" l="1"/>
  <c r="W410" i="1" s="1"/>
  <c r="T410" i="1"/>
  <c r="U410" i="1" s="1"/>
  <c r="R410" i="1"/>
  <c r="S410" i="1" s="1"/>
  <c r="L410" i="1"/>
  <c r="M410" i="1" s="1"/>
  <c r="P410" i="1"/>
  <c r="Q410" i="1" s="1"/>
  <c r="N410" i="1"/>
  <c r="O410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G629" i="1"/>
  <c r="P603" i="1" l="1"/>
  <c r="Q603" i="1" s="1"/>
  <c r="H603" i="1"/>
  <c r="I603" i="1" s="1"/>
  <c r="V603" i="1"/>
  <c r="W603" i="1" s="1"/>
  <c r="N603" i="1"/>
  <c r="O603" i="1" s="1"/>
  <c r="T603" i="1"/>
  <c r="U603" i="1" s="1"/>
  <c r="L603" i="1"/>
  <c r="M603" i="1" s="1"/>
  <c r="K603" i="1"/>
  <c r="R603" i="1"/>
  <c r="S603" i="1" s="1"/>
  <c r="H624" i="1"/>
  <c r="I624" i="1" s="1"/>
  <c r="L624" i="1"/>
  <c r="M624" i="1" s="1"/>
  <c r="P624" i="1"/>
  <c r="Q624" i="1" s="1"/>
  <c r="T624" i="1"/>
  <c r="U624" i="1" s="1"/>
  <c r="N624" i="1"/>
  <c r="O624" i="1" s="1"/>
  <c r="V624" i="1"/>
  <c r="W624" i="1" s="1"/>
  <c r="K624" i="1"/>
  <c r="R624" i="1"/>
  <c r="S624" i="1" s="1"/>
  <c r="P601" i="1"/>
  <c r="Q601" i="1" s="1"/>
  <c r="H601" i="1"/>
  <c r="I601" i="1" s="1"/>
  <c r="V601" i="1"/>
  <c r="W601" i="1" s="1"/>
  <c r="N601" i="1"/>
  <c r="O601" i="1" s="1"/>
  <c r="T601" i="1"/>
  <c r="U601" i="1" s="1"/>
  <c r="R601" i="1"/>
  <c r="S601" i="1" s="1"/>
  <c r="L601" i="1"/>
  <c r="M601" i="1" s="1"/>
  <c r="K601" i="1"/>
  <c r="H618" i="1"/>
  <c r="I618" i="1" s="1"/>
  <c r="L618" i="1"/>
  <c r="M618" i="1" s="1"/>
  <c r="P618" i="1"/>
  <c r="Q618" i="1" s="1"/>
  <c r="T618" i="1"/>
  <c r="U618" i="1" s="1"/>
  <c r="N618" i="1"/>
  <c r="O618" i="1" s="1"/>
  <c r="V618" i="1"/>
  <c r="W618" i="1" s="1"/>
  <c r="K618" i="1"/>
  <c r="R618" i="1"/>
  <c r="S618" i="1" s="1"/>
  <c r="P607" i="1"/>
  <c r="Q607" i="1" s="1"/>
  <c r="H607" i="1"/>
  <c r="I607" i="1" s="1"/>
  <c r="V607" i="1"/>
  <c r="W607" i="1" s="1"/>
  <c r="N607" i="1"/>
  <c r="O607" i="1" s="1"/>
  <c r="T607" i="1"/>
  <c r="U607" i="1" s="1"/>
  <c r="L607" i="1"/>
  <c r="M607" i="1" s="1"/>
  <c r="K607" i="1"/>
  <c r="R607" i="1"/>
  <c r="S607" i="1" s="1"/>
  <c r="H620" i="1"/>
  <c r="I620" i="1" s="1"/>
  <c r="L620" i="1"/>
  <c r="M620" i="1" s="1"/>
  <c r="P620" i="1"/>
  <c r="Q620" i="1" s="1"/>
  <c r="T620" i="1"/>
  <c r="U620" i="1" s="1"/>
  <c r="N620" i="1"/>
  <c r="O620" i="1" s="1"/>
  <c r="V620" i="1"/>
  <c r="W620" i="1" s="1"/>
  <c r="K620" i="1"/>
  <c r="R620" i="1"/>
  <c r="S620" i="1" s="1"/>
  <c r="H610" i="1"/>
  <c r="I610" i="1" s="1"/>
  <c r="L610" i="1"/>
  <c r="M610" i="1" s="1"/>
  <c r="P610" i="1"/>
  <c r="Q610" i="1" s="1"/>
  <c r="T610" i="1"/>
  <c r="U610" i="1" s="1"/>
  <c r="K610" i="1"/>
  <c r="R610" i="1"/>
  <c r="S610" i="1" s="1"/>
  <c r="V610" i="1"/>
  <c r="W610" i="1" s="1"/>
  <c r="N610" i="1"/>
  <c r="O610" i="1" s="1"/>
  <c r="P609" i="1"/>
  <c r="Q609" i="1" s="1"/>
  <c r="H609" i="1"/>
  <c r="I609" i="1" s="1"/>
  <c r="V609" i="1"/>
  <c r="W609" i="1" s="1"/>
  <c r="N609" i="1"/>
  <c r="O609" i="1" s="1"/>
  <c r="T609" i="1"/>
  <c r="U609" i="1" s="1"/>
  <c r="L609" i="1"/>
  <c r="M609" i="1" s="1"/>
  <c r="K609" i="1"/>
  <c r="R609" i="1"/>
  <c r="S609" i="1" s="1"/>
  <c r="G624" i="1"/>
  <c r="G607" i="1"/>
  <c r="G603" i="1"/>
  <c r="G620" i="1" l="1"/>
  <c r="F332" i="1" l="1"/>
  <c r="F304" i="1"/>
  <c r="F289" i="1"/>
  <c r="F281" i="1"/>
  <c r="F264" i="1"/>
  <c r="F263" i="1"/>
  <c r="F234" i="1"/>
  <c r="F171" i="1"/>
  <c r="F170" i="1"/>
  <c r="H617" i="1" l="1"/>
  <c r="I617" i="1" s="1"/>
  <c r="L617" i="1"/>
  <c r="M617" i="1" s="1"/>
  <c r="P617" i="1"/>
  <c r="Q617" i="1" s="1"/>
  <c r="T617" i="1"/>
  <c r="U617" i="1" s="1"/>
  <c r="N617" i="1"/>
  <c r="O617" i="1" s="1"/>
  <c r="V617" i="1"/>
  <c r="W617" i="1" s="1"/>
  <c r="R617" i="1"/>
  <c r="S617" i="1" s="1"/>
  <c r="K617" i="1"/>
  <c r="N272" i="1"/>
  <c r="O272" i="1" s="1"/>
  <c r="R272" i="1"/>
  <c r="S272" i="1" s="1"/>
  <c r="V272" i="1"/>
  <c r="W272" i="1" s="1"/>
  <c r="H272" i="1"/>
  <c r="I272" i="1" s="1"/>
  <c r="J272" i="1"/>
  <c r="K272" i="1" s="1"/>
  <c r="L272" i="1"/>
  <c r="M272" i="1" s="1"/>
  <c r="P272" i="1"/>
  <c r="Q272" i="1" s="1"/>
  <c r="T272" i="1"/>
  <c r="U272" i="1" s="1"/>
  <c r="R273" i="1"/>
  <c r="S273" i="1" s="1"/>
  <c r="T273" i="1"/>
  <c r="U273" i="1" s="1"/>
  <c r="V273" i="1"/>
  <c r="W273" i="1" s="1"/>
  <c r="H273" i="1"/>
  <c r="I273" i="1" s="1"/>
  <c r="J273" i="1"/>
  <c r="K273" i="1" s="1"/>
  <c r="L273" i="1"/>
  <c r="M273" i="1" s="1"/>
  <c r="N273" i="1"/>
  <c r="O273" i="1" s="1"/>
  <c r="P273" i="1"/>
  <c r="Q273" i="1" s="1"/>
  <c r="L205" i="1"/>
  <c r="M205" i="1" s="1"/>
  <c r="V205" i="1"/>
  <c r="W205" i="1" s="1"/>
  <c r="T205" i="1"/>
  <c r="U205" i="1" s="1"/>
  <c r="R205" i="1"/>
  <c r="S205" i="1" s="1"/>
  <c r="P205" i="1"/>
  <c r="Q205" i="1" s="1"/>
  <c r="N205" i="1"/>
  <c r="O205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89" i="1"/>
  <c r="K289" i="1" s="1"/>
  <c r="L289" i="1"/>
  <c r="M289" i="1" s="1"/>
  <c r="P289" i="1"/>
  <c r="Q289" i="1" s="1"/>
  <c r="R289" i="1"/>
  <c r="S289" i="1" s="1"/>
  <c r="T289" i="1"/>
  <c r="U289" i="1" s="1"/>
  <c r="H289" i="1"/>
  <c r="I289" i="1" s="1"/>
  <c r="N289" i="1"/>
  <c r="O289" i="1" s="1"/>
  <c r="V289" i="1"/>
  <c r="W289" i="1" s="1"/>
  <c r="H299" i="1"/>
  <c r="I299" i="1" s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R264" i="1"/>
  <c r="S264" i="1" s="1"/>
  <c r="T264" i="1"/>
  <c r="U264" i="1" s="1"/>
  <c r="V264" i="1"/>
  <c r="W264" i="1" s="1"/>
  <c r="H264" i="1"/>
  <c r="I264" i="1" s="1"/>
  <c r="J264" i="1"/>
  <c r="K264" i="1" s="1"/>
  <c r="L264" i="1"/>
  <c r="M264" i="1" s="1"/>
  <c r="P264" i="1"/>
  <c r="Q264" i="1" s="1"/>
  <c r="N264" i="1"/>
  <c r="O264" i="1" s="1"/>
  <c r="T586" i="1"/>
  <c r="K586" i="1"/>
  <c r="V586" i="1"/>
  <c r="W586" i="1" s="1"/>
  <c r="N586" i="1"/>
  <c r="O586" i="1" s="1"/>
  <c r="P586" i="1"/>
  <c r="Q586" i="1" s="1"/>
  <c r="L586" i="1"/>
  <c r="M586" i="1" s="1"/>
  <c r="R586" i="1"/>
  <c r="S586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U251" i="1" s="1"/>
  <c r="V251" i="1"/>
  <c r="W251" i="1" s="1"/>
  <c r="H251" i="1"/>
  <c r="I251" i="1" s="1"/>
  <c r="H285" i="1"/>
  <c r="I285" i="1" s="1"/>
  <c r="J285" i="1"/>
  <c r="K285" i="1" s="1"/>
  <c r="L285" i="1"/>
  <c r="M285" i="1" s="1"/>
  <c r="N285" i="1"/>
  <c r="O285" i="1" s="1"/>
  <c r="P285" i="1"/>
  <c r="Q285" i="1" s="1"/>
  <c r="R285" i="1"/>
  <c r="S285" i="1" s="1"/>
  <c r="V285" i="1"/>
  <c r="W285" i="1" s="1"/>
  <c r="T285" i="1"/>
  <c r="U285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4" i="1"/>
  <c r="W304" i="1" s="1"/>
  <c r="N263" i="1"/>
  <c r="O263" i="1" s="1"/>
  <c r="R263" i="1"/>
  <c r="S263" i="1" s="1"/>
  <c r="V263" i="1"/>
  <c r="W263" i="1" s="1"/>
  <c r="H263" i="1"/>
  <c r="I263" i="1" s="1"/>
  <c r="J263" i="1"/>
  <c r="K263" i="1" s="1"/>
  <c r="L263" i="1"/>
  <c r="M263" i="1" s="1"/>
  <c r="P263" i="1"/>
  <c r="Q263" i="1" s="1"/>
  <c r="T263" i="1"/>
  <c r="U263" i="1" s="1"/>
  <c r="H281" i="1"/>
  <c r="I281" i="1" s="1"/>
  <c r="V281" i="1"/>
  <c r="W281" i="1" s="1"/>
  <c r="J281" i="1"/>
  <c r="K281" i="1" s="1"/>
  <c r="L281" i="1"/>
  <c r="M281" i="1" s="1"/>
  <c r="N281" i="1"/>
  <c r="O281" i="1" s="1"/>
  <c r="P281" i="1"/>
  <c r="Q281" i="1" s="1"/>
  <c r="R281" i="1"/>
  <c r="S281" i="1" s="1"/>
  <c r="T281" i="1"/>
  <c r="U281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J180" i="1"/>
  <c r="K180" i="1" s="1"/>
  <c r="T180" i="1"/>
  <c r="U180" i="1" s="1"/>
  <c r="H180" i="1"/>
  <c r="I180" i="1" s="1"/>
  <c r="V180" i="1"/>
  <c r="W180" i="1" s="1"/>
  <c r="R180" i="1"/>
  <c r="S180" i="1" s="1"/>
  <c r="N180" i="1"/>
  <c r="O180" i="1" s="1"/>
  <c r="L180" i="1"/>
  <c r="M180" i="1" s="1"/>
  <c r="P180" i="1"/>
  <c r="Q180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298" i="1"/>
  <c r="W298" i="1" s="1"/>
  <c r="R234" i="1"/>
  <c r="S234" i="1" s="1"/>
  <c r="P234" i="1"/>
  <c r="Q234" i="1" s="1"/>
  <c r="N234" i="1"/>
  <c r="O234" i="1" s="1"/>
  <c r="L234" i="1"/>
  <c r="M234" i="1" s="1"/>
  <c r="J234" i="1"/>
  <c r="K234" i="1" s="1"/>
  <c r="V234" i="1"/>
  <c r="W234" i="1" s="1"/>
  <c r="T234" i="1"/>
  <c r="U234" i="1" s="1"/>
  <c r="N254" i="1"/>
  <c r="O254" i="1" s="1"/>
  <c r="R254" i="1"/>
  <c r="S254" i="1" s="1"/>
  <c r="V254" i="1"/>
  <c r="W254" i="1" s="1"/>
  <c r="H254" i="1"/>
  <c r="I254" i="1" s="1"/>
  <c r="J254" i="1"/>
  <c r="K254" i="1" s="1"/>
  <c r="P254" i="1"/>
  <c r="Q254" i="1" s="1"/>
  <c r="T254" i="1"/>
  <c r="U254" i="1" s="1"/>
  <c r="L254" i="1"/>
  <c r="M254" i="1" s="1"/>
  <c r="P332" i="1"/>
  <c r="Q332" i="1" s="1"/>
  <c r="N332" i="1"/>
  <c r="O332" i="1" s="1"/>
  <c r="L332" i="1"/>
  <c r="M332" i="1" s="1"/>
  <c r="J332" i="1"/>
  <c r="K332" i="1" s="1"/>
  <c r="H332" i="1"/>
  <c r="I332" i="1" s="1"/>
  <c r="V332" i="1"/>
  <c r="W332" i="1" s="1"/>
  <c r="R332" i="1"/>
  <c r="S332" i="1" s="1"/>
  <c r="T332" i="1"/>
  <c r="U332" i="1" s="1"/>
  <c r="U586" i="1"/>
  <c r="G289" i="1"/>
  <c r="G251" i="1"/>
  <c r="G586" i="1"/>
  <c r="G403" i="1" l="1"/>
  <c r="H591" i="1" l="1"/>
  <c r="T591" i="1"/>
  <c r="U591" i="1" s="1"/>
  <c r="L591" i="1"/>
  <c r="M591" i="1" s="1"/>
  <c r="R591" i="1"/>
  <c r="S591" i="1" s="1"/>
  <c r="K591" i="1"/>
  <c r="N591" i="1"/>
  <c r="O591" i="1" s="1"/>
  <c r="V591" i="1"/>
  <c r="W591" i="1" s="1"/>
  <c r="P591" i="1"/>
  <c r="Q591" i="1" s="1"/>
  <c r="W664" i="1"/>
  <c r="U664" i="1"/>
  <c r="S664" i="1"/>
  <c r="Q664" i="1"/>
  <c r="O664" i="1"/>
  <c r="M664" i="1"/>
  <c r="K664" i="1"/>
  <c r="N741" i="1" l="1"/>
  <c r="O741" i="1" s="1"/>
  <c r="P741" i="1"/>
  <c r="Q741" i="1" s="1"/>
  <c r="T741" i="1"/>
  <c r="U741" i="1" s="1"/>
  <c r="L741" i="1"/>
  <c r="M741" i="1" s="1"/>
  <c r="R741" i="1"/>
  <c r="S741" i="1" s="1"/>
  <c r="J741" i="1"/>
  <c r="K741" i="1" s="1"/>
  <c r="G327" i="1"/>
  <c r="W339" i="1"/>
  <c r="U339" i="1"/>
  <c r="S339" i="1"/>
  <c r="Q339" i="1"/>
  <c r="O339" i="1"/>
  <c r="M339" i="1"/>
  <c r="K339" i="1"/>
  <c r="I339" i="1"/>
  <c r="W290" i="1"/>
  <c r="U290" i="1"/>
  <c r="S290" i="1"/>
  <c r="Q290" i="1"/>
  <c r="O290" i="1"/>
  <c r="M290" i="1"/>
  <c r="K290" i="1"/>
  <c r="O230" i="1"/>
  <c r="M230" i="1"/>
  <c r="K230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W198" i="1"/>
  <c r="U198" i="1"/>
  <c r="S198" i="1"/>
  <c r="O198" i="1"/>
  <c r="M198" i="1"/>
  <c r="T335" i="1" l="1"/>
  <c r="U335" i="1" s="1"/>
  <c r="R335" i="1"/>
  <c r="S335" i="1" s="1"/>
  <c r="P335" i="1"/>
  <c r="Q335" i="1" s="1"/>
  <c r="N335" i="1"/>
  <c r="O335" i="1" s="1"/>
  <c r="L335" i="1"/>
  <c r="M335" i="1" s="1"/>
  <c r="J335" i="1"/>
  <c r="K335" i="1" s="1"/>
  <c r="H335" i="1"/>
  <c r="I335" i="1" s="1"/>
  <c r="V335" i="1"/>
  <c r="W335" i="1" s="1"/>
  <c r="G335" i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512" i="1"/>
  <c r="W512" i="1" s="1"/>
  <c r="T512" i="1"/>
  <c r="U512" i="1" s="1"/>
  <c r="P512" i="1"/>
  <c r="Q512" i="1" s="1"/>
  <c r="J512" i="1"/>
  <c r="K512" i="1" s="1"/>
  <c r="L512" i="1"/>
  <c r="M512" i="1" s="1"/>
  <c r="N512" i="1"/>
  <c r="O512" i="1" s="1"/>
  <c r="H512" i="1"/>
  <c r="I512" i="1" s="1"/>
  <c r="R512" i="1"/>
  <c r="S512" i="1" s="1"/>
  <c r="G432" i="1"/>
  <c r="F537" i="1" l="1"/>
  <c r="F536" i="1"/>
  <c r="V536" i="1" l="1"/>
  <c r="P536" i="1"/>
  <c r="T536" i="1"/>
  <c r="R536" i="1"/>
  <c r="H536" i="1"/>
  <c r="N536" i="1"/>
  <c r="J536" i="1"/>
  <c r="L536" i="1"/>
  <c r="T537" i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G602" i="1" l="1"/>
  <c r="F590" i="1"/>
  <c r="T590" i="1" l="1"/>
  <c r="U590" i="1" s="1"/>
  <c r="N590" i="1"/>
  <c r="O590" i="1" s="1"/>
  <c r="P590" i="1"/>
  <c r="Q590" i="1" s="1"/>
  <c r="V590" i="1"/>
  <c r="W590" i="1" s="1"/>
  <c r="R590" i="1"/>
  <c r="S590" i="1" s="1"/>
  <c r="G590" i="1"/>
  <c r="G589" i="1"/>
  <c r="G588" i="1"/>
  <c r="W507" i="1"/>
  <c r="U507" i="1"/>
  <c r="S507" i="1"/>
  <c r="Q507" i="1"/>
  <c r="O507" i="1"/>
  <c r="W506" i="1"/>
  <c r="U506" i="1"/>
  <c r="S506" i="1"/>
  <c r="Q506" i="1"/>
  <c r="O506" i="1"/>
  <c r="W500" i="1"/>
  <c r="U500" i="1"/>
  <c r="S500" i="1"/>
  <c r="Q500" i="1"/>
  <c r="O500" i="1"/>
  <c r="W499" i="1"/>
  <c r="U499" i="1"/>
  <c r="S499" i="1"/>
  <c r="Q499" i="1"/>
  <c r="O499" i="1"/>
  <c r="P608" i="1" l="1"/>
  <c r="Q608" i="1" s="1"/>
  <c r="H608" i="1"/>
  <c r="I608" i="1" s="1"/>
  <c r="V608" i="1"/>
  <c r="W608" i="1" s="1"/>
  <c r="N608" i="1"/>
  <c r="O608" i="1" s="1"/>
  <c r="T608" i="1"/>
  <c r="U608" i="1" s="1"/>
  <c r="R608" i="1"/>
  <c r="S608" i="1" s="1"/>
  <c r="L608" i="1"/>
  <c r="M608" i="1" s="1"/>
  <c r="K608" i="1"/>
  <c r="G608" i="1"/>
  <c r="F693" i="1" l="1"/>
  <c r="V709" i="1" l="1"/>
  <c r="N709" i="1"/>
  <c r="T709" i="1"/>
  <c r="L709" i="1"/>
  <c r="R709" i="1"/>
  <c r="J709" i="1"/>
  <c r="P709" i="1"/>
  <c r="H709" i="1"/>
  <c r="I709" i="1" s="1"/>
  <c r="J693" i="1"/>
  <c r="K693" i="1" s="1"/>
  <c r="H693" i="1"/>
  <c r="I693" i="1" s="1"/>
  <c r="F256" i="1"/>
  <c r="F283" i="1"/>
  <c r="F688" i="1"/>
  <c r="G169" i="1"/>
  <c r="P487" i="1" l="1"/>
  <c r="Q487" i="1" s="1"/>
  <c r="H487" i="1"/>
  <c r="I487" i="1" s="1"/>
  <c r="V487" i="1"/>
  <c r="W487" i="1" s="1"/>
  <c r="N487" i="1"/>
  <c r="O487" i="1" s="1"/>
  <c r="T487" i="1"/>
  <c r="U487" i="1" s="1"/>
  <c r="L487" i="1"/>
  <c r="M487" i="1" s="1"/>
  <c r="R487" i="1"/>
  <c r="S487" i="1" s="1"/>
  <c r="J487" i="1"/>
  <c r="K487" i="1" s="1"/>
  <c r="J688" i="1"/>
  <c r="K688" i="1" s="1"/>
  <c r="P688" i="1"/>
  <c r="Q688" i="1" s="1"/>
  <c r="N688" i="1"/>
  <c r="O688" i="1" s="1"/>
  <c r="L688" i="1"/>
  <c r="M688" i="1" s="1"/>
  <c r="V419" i="1"/>
  <c r="W419" i="1" s="1"/>
  <c r="T419" i="1"/>
  <c r="U419" i="1" s="1"/>
  <c r="R419" i="1"/>
  <c r="S419" i="1" s="1"/>
  <c r="N419" i="1"/>
  <c r="O419" i="1" s="1"/>
  <c r="P419" i="1"/>
  <c r="Q419" i="1" s="1"/>
  <c r="L419" i="1"/>
  <c r="M419" i="1" s="1"/>
  <c r="N283" i="1"/>
  <c r="O283" i="1" s="1"/>
  <c r="P283" i="1"/>
  <c r="Q283" i="1" s="1"/>
  <c r="R283" i="1"/>
  <c r="S283" i="1" s="1"/>
  <c r="T283" i="1"/>
  <c r="U283" i="1" s="1"/>
  <c r="H283" i="1"/>
  <c r="I283" i="1" s="1"/>
  <c r="V283" i="1"/>
  <c r="W283" i="1" s="1"/>
  <c r="J283" i="1"/>
  <c r="K283" i="1" s="1"/>
  <c r="L283" i="1"/>
  <c r="M283" i="1" s="1"/>
  <c r="R256" i="1"/>
  <c r="S256" i="1" s="1"/>
  <c r="V256" i="1"/>
  <c r="W256" i="1" s="1"/>
  <c r="H256" i="1"/>
  <c r="I256" i="1" s="1"/>
  <c r="J256" i="1"/>
  <c r="K256" i="1" s="1"/>
  <c r="L256" i="1"/>
  <c r="M256" i="1" s="1"/>
  <c r="N256" i="1"/>
  <c r="O256" i="1" s="1"/>
  <c r="P256" i="1"/>
  <c r="Q256" i="1" s="1"/>
  <c r="T256" i="1"/>
  <c r="U256" i="1" s="1"/>
  <c r="G418" i="1"/>
  <c r="G419" i="1"/>
  <c r="G256" i="1"/>
  <c r="G688" i="1"/>
  <c r="G137" i="1"/>
  <c r="K137" i="1"/>
  <c r="G322" i="1" l="1"/>
  <c r="V274" i="1" l="1"/>
  <c r="W274" i="1" s="1"/>
  <c r="H274" i="1"/>
  <c r="I274" i="1" s="1"/>
  <c r="J274" i="1"/>
  <c r="K274" i="1" s="1"/>
  <c r="L274" i="1"/>
  <c r="M274" i="1" s="1"/>
  <c r="N274" i="1"/>
  <c r="O274" i="1" s="1"/>
  <c r="R274" i="1"/>
  <c r="S274" i="1" s="1"/>
  <c r="T274" i="1"/>
  <c r="U274" i="1" s="1"/>
  <c r="P274" i="1"/>
  <c r="Q274" i="1" s="1"/>
  <c r="G274" i="1"/>
  <c r="G298" i="1"/>
  <c r="G264" i="1" l="1"/>
  <c r="J650" i="1"/>
  <c r="L650" i="1" l="1"/>
  <c r="M650" i="1" s="1"/>
  <c r="R650" i="1"/>
  <c r="S650" i="1" s="1"/>
  <c r="H650" i="1"/>
  <c r="I650" i="1" s="1"/>
  <c r="N650" i="1"/>
  <c r="O650" i="1" s="1"/>
  <c r="V650" i="1"/>
  <c r="W650" i="1" s="1"/>
  <c r="P650" i="1"/>
  <c r="Q650" i="1" s="1"/>
  <c r="K650" i="1"/>
  <c r="T650" i="1"/>
  <c r="U650" i="1" s="1"/>
  <c r="G650" i="1"/>
  <c r="R306" i="1" l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6" i="1"/>
  <c r="W306" i="1" s="1"/>
  <c r="T306" i="1"/>
  <c r="U306" i="1" s="1"/>
  <c r="G303" i="1"/>
  <c r="G283" i="1"/>
  <c r="V365" i="1" l="1"/>
  <c r="W365" i="1" s="1"/>
  <c r="L365" i="1"/>
  <c r="M365" i="1" s="1"/>
  <c r="N365" i="1"/>
  <c r="O365" i="1" s="1"/>
  <c r="P365" i="1"/>
  <c r="Q365" i="1" s="1"/>
  <c r="R365" i="1"/>
  <c r="S365" i="1" s="1"/>
  <c r="T365" i="1"/>
  <c r="U365" i="1" s="1"/>
  <c r="L366" i="1"/>
  <c r="M366" i="1" s="1"/>
  <c r="N366" i="1"/>
  <c r="O366" i="1" s="1"/>
  <c r="P366" i="1"/>
  <c r="Q366" i="1" s="1"/>
  <c r="R366" i="1"/>
  <c r="S366" i="1" s="1"/>
  <c r="T366" i="1"/>
  <c r="U366" i="1" s="1"/>
  <c r="V366" i="1"/>
  <c r="W366" i="1" s="1"/>
  <c r="G366" i="1"/>
  <c r="T546" i="1" l="1"/>
  <c r="U546" i="1" s="1"/>
  <c r="L546" i="1"/>
  <c r="M546" i="1" s="1"/>
  <c r="R546" i="1"/>
  <c r="S546" i="1" s="1"/>
  <c r="J546" i="1"/>
  <c r="K546" i="1" s="1"/>
  <c r="P546" i="1"/>
  <c r="Q546" i="1" s="1"/>
  <c r="N546" i="1"/>
  <c r="O546" i="1" s="1"/>
  <c r="V546" i="1"/>
  <c r="W546" i="1" s="1"/>
  <c r="H546" i="1"/>
  <c r="I546" i="1" s="1"/>
  <c r="T547" i="1"/>
  <c r="U547" i="1" s="1"/>
  <c r="L547" i="1"/>
  <c r="M547" i="1" s="1"/>
  <c r="R547" i="1"/>
  <c r="S547" i="1" s="1"/>
  <c r="J547" i="1"/>
  <c r="K547" i="1" s="1"/>
  <c r="P547" i="1"/>
  <c r="Q547" i="1" s="1"/>
  <c r="N547" i="1"/>
  <c r="O547" i="1" s="1"/>
  <c r="H547" i="1"/>
  <c r="I547" i="1" s="1"/>
  <c r="V547" i="1"/>
  <c r="W547" i="1" s="1"/>
  <c r="T548" i="1"/>
  <c r="U548" i="1" s="1"/>
  <c r="L548" i="1"/>
  <c r="M548" i="1" s="1"/>
  <c r="R548" i="1"/>
  <c r="S548" i="1" s="1"/>
  <c r="J548" i="1"/>
  <c r="K548" i="1" s="1"/>
  <c r="P548" i="1"/>
  <c r="Q548" i="1" s="1"/>
  <c r="N548" i="1"/>
  <c r="O548" i="1" s="1"/>
  <c r="H548" i="1"/>
  <c r="I548" i="1" s="1"/>
  <c r="V548" i="1"/>
  <c r="W548" i="1" s="1"/>
  <c r="G380" i="1"/>
  <c r="G735" i="1"/>
  <c r="G734" i="1"/>
  <c r="F689" i="1"/>
  <c r="G526" i="1"/>
  <c r="T689" i="1" l="1"/>
  <c r="U689" i="1" s="1"/>
  <c r="L689" i="1"/>
  <c r="M689" i="1" s="1"/>
  <c r="P689" i="1"/>
  <c r="Q689" i="1" s="1"/>
  <c r="R689" i="1"/>
  <c r="S689" i="1" s="1"/>
  <c r="J689" i="1"/>
  <c r="K689" i="1" s="1"/>
  <c r="H689" i="1"/>
  <c r="I689" i="1" s="1"/>
  <c r="V689" i="1"/>
  <c r="W689" i="1" s="1"/>
  <c r="N689" i="1"/>
  <c r="O689" i="1" s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V385" i="1"/>
  <c r="W385" i="1" s="1"/>
  <c r="T385" i="1"/>
  <c r="U385" i="1" s="1"/>
  <c r="R385" i="1"/>
  <c r="S385" i="1" s="1"/>
  <c r="P385" i="1"/>
  <c r="Q385" i="1" s="1"/>
  <c r="N385" i="1"/>
  <c r="O385" i="1" s="1"/>
  <c r="J336" i="1"/>
  <c r="K336" i="1" s="1"/>
  <c r="N336" i="1"/>
  <c r="O336" i="1" s="1"/>
  <c r="P336" i="1"/>
  <c r="Q336" i="1" s="1"/>
  <c r="R336" i="1"/>
  <c r="S336" i="1" s="1"/>
  <c r="T336" i="1"/>
  <c r="U336" i="1" s="1"/>
  <c r="V336" i="1"/>
  <c r="W336" i="1" s="1"/>
  <c r="L336" i="1"/>
  <c r="M336" i="1" s="1"/>
  <c r="H336" i="1"/>
  <c r="I336" i="1" s="1"/>
  <c r="N315" i="1"/>
  <c r="O315" i="1" s="1"/>
  <c r="J315" i="1"/>
  <c r="K315" i="1" s="1"/>
  <c r="H315" i="1"/>
  <c r="I315" i="1" s="1"/>
  <c r="V315" i="1"/>
  <c r="W315" i="1" s="1"/>
  <c r="T315" i="1"/>
  <c r="U315" i="1" s="1"/>
  <c r="R315" i="1"/>
  <c r="S315" i="1" s="1"/>
  <c r="L315" i="1"/>
  <c r="M315" i="1" s="1"/>
  <c r="P315" i="1"/>
  <c r="Q315" i="1" s="1"/>
  <c r="R394" i="1"/>
  <c r="S394" i="1" s="1"/>
  <c r="N394" i="1"/>
  <c r="O394" i="1" s="1"/>
  <c r="L394" i="1"/>
  <c r="M394" i="1" s="1"/>
  <c r="V394" i="1"/>
  <c r="W394" i="1" s="1"/>
  <c r="P394" i="1"/>
  <c r="Q394" i="1" s="1"/>
  <c r="T394" i="1"/>
  <c r="U394" i="1" s="1"/>
  <c r="L389" i="1"/>
  <c r="M389" i="1" s="1"/>
  <c r="V389" i="1"/>
  <c r="W389" i="1" s="1"/>
  <c r="T389" i="1"/>
  <c r="U389" i="1" s="1"/>
  <c r="R389" i="1"/>
  <c r="S389" i="1" s="1"/>
  <c r="N389" i="1"/>
  <c r="O389" i="1" s="1"/>
  <c r="P389" i="1"/>
  <c r="Q389" i="1" s="1"/>
  <c r="G133" i="1" l="1"/>
  <c r="G447" i="1" l="1"/>
  <c r="F726" i="1"/>
  <c r="F687" i="1"/>
  <c r="F549" i="1"/>
  <c r="V726" i="1" l="1"/>
  <c r="W726" i="1" s="1"/>
  <c r="R726" i="1"/>
  <c r="S726" i="1" s="1"/>
  <c r="N726" i="1"/>
  <c r="O726" i="1" s="1"/>
  <c r="T726" i="1"/>
  <c r="U726" i="1" s="1"/>
  <c r="P726" i="1"/>
  <c r="Q726" i="1" s="1"/>
  <c r="L726" i="1"/>
  <c r="M726" i="1" s="1"/>
  <c r="H625" i="1"/>
  <c r="I625" i="1" s="1"/>
  <c r="L625" i="1"/>
  <c r="M625" i="1" s="1"/>
  <c r="P625" i="1"/>
  <c r="Q625" i="1" s="1"/>
  <c r="T625" i="1"/>
  <c r="U625" i="1" s="1"/>
  <c r="K625" i="1"/>
  <c r="V625" i="1"/>
  <c r="W625" i="1" s="1"/>
  <c r="R625" i="1"/>
  <c r="S625" i="1" s="1"/>
  <c r="N625" i="1"/>
  <c r="O625" i="1" s="1"/>
  <c r="T687" i="1"/>
  <c r="U687" i="1" s="1"/>
  <c r="L687" i="1"/>
  <c r="M687" i="1" s="1"/>
  <c r="P687" i="1"/>
  <c r="Q687" i="1" s="1"/>
  <c r="V687" i="1"/>
  <c r="W687" i="1" s="1"/>
  <c r="R687" i="1"/>
  <c r="S687" i="1" s="1"/>
  <c r="J687" i="1"/>
  <c r="K687" i="1" s="1"/>
  <c r="H687" i="1"/>
  <c r="I687" i="1" s="1"/>
  <c r="N687" i="1"/>
  <c r="O687" i="1" s="1"/>
  <c r="T549" i="1"/>
  <c r="U549" i="1" s="1"/>
  <c r="L549" i="1"/>
  <c r="M549" i="1" s="1"/>
  <c r="R549" i="1"/>
  <c r="S549" i="1" s="1"/>
  <c r="J549" i="1"/>
  <c r="K549" i="1" s="1"/>
  <c r="P549" i="1"/>
  <c r="Q549" i="1" s="1"/>
  <c r="N549" i="1"/>
  <c r="O549" i="1" s="1"/>
  <c r="V549" i="1"/>
  <c r="W549" i="1" s="1"/>
  <c r="H549" i="1"/>
  <c r="I549" i="1" s="1"/>
  <c r="H630" i="1"/>
  <c r="I630" i="1" s="1"/>
  <c r="N630" i="1"/>
  <c r="O630" i="1" s="1"/>
  <c r="R630" i="1"/>
  <c r="S630" i="1" s="1"/>
  <c r="L630" i="1"/>
  <c r="M630" i="1" s="1"/>
  <c r="T630" i="1"/>
  <c r="U630" i="1" s="1"/>
  <c r="V630" i="1"/>
  <c r="W630" i="1" s="1"/>
  <c r="P630" i="1"/>
  <c r="Q630" i="1" s="1"/>
  <c r="K630" i="1"/>
  <c r="P598" i="1"/>
  <c r="Q598" i="1" s="1"/>
  <c r="H598" i="1"/>
  <c r="I598" i="1" s="1"/>
  <c r="V598" i="1"/>
  <c r="W598" i="1" s="1"/>
  <c r="N598" i="1"/>
  <c r="O598" i="1" s="1"/>
  <c r="T598" i="1"/>
  <c r="U598" i="1" s="1"/>
  <c r="K598" i="1"/>
  <c r="R598" i="1"/>
  <c r="S598" i="1" s="1"/>
  <c r="L598" i="1"/>
  <c r="M598" i="1" s="1"/>
  <c r="H631" i="1"/>
  <c r="I631" i="1" s="1"/>
  <c r="N631" i="1"/>
  <c r="O631" i="1" s="1"/>
  <c r="K631" i="1"/>
  <c r="P631" i="1"/>
  <c r="Q631" i="1" s="1"/>
  <c r="R631" i="1"/>
  <c r="S631" i="1" s="1"/>
  <c r="T631" i="1"/>
  <c r="U631" i="1" s="1"/>
  <c r="V631" i="1"/>
  <c r="W631" i="1" s="1"/>
  <c r="L631" i="1"/>
  <c r="M631" i="1" s="1"/>
  <c r="P344" i="1"/>
  <c r="Q344" i="1" s="1"/>
  <c r="V344" i="1"/>
  <c r="W344" i="1" s="1"/>
  <c r="N344" i="1"/>
  <c r="O344" i="1" s="1"/>
  <c r="T344" i="1"/>
  <c r="U344" i="1" s="1"/>
  <c r="L344" i="1"/>
  <c r="M344" i="1" s="1"/>
  <c r="R344" i="1"/>
  <c r="S344" i="1" s="1"/>
  <c r="H622" i="1"/>
  <c r="I622" i="1" s="1"/>
  <c r="L622" i="1"/>
  <c r="M622" i="1" s="1"/>
  <c r="P622" i="1"/>
  <c r="Q622" i="1" s="1"/>
  <c r="T622" i="1"/>
  <c r="U622" i="1" s="1"/>
  <c r="N622" i="1"/>
  <c r="O622" i="1" s="1"/>
  <c r="V622" i="1"/>
  <c r="W622" i="1" s="1"/>
  <c r="K622" i="1"/>
  <c r="R622" i="1"/>
  <c r="S622" i="1" s="1"/>
  <c r="H632" i="1"/>
  <c r="I632" i="1" s="1"/>
  <c r="N632" i="1"/>
  <c r="O632" i="1" s="1"/>
  <c r="V632" i="1"/>
  <c r="W632" i="1" s="1"/>
  <c r="K632" i="1"/>
  <c r="P632" i="1"/>
  <c r="Q632" i="1" s="1"/>
  <c r="R632" i="1"/>
  <c r="S632" i="1" s="1"/>
  <c r="L632" i="1"/>
  <c r="M632" i="1" s="1"/>
  <c r="T632" i="1"/>
  <c r="U632" i="1" s="1"/>
  <c r="I100" i="1"/>
  <c r="F579" i="1"/>
  <c r="F578" i="1"/>
  <c r="F455" i="1"/>
  <c r="F372" i="1"/>
  <c r="F342" i="1"/>
  <c r="F220" i="1"/>
  <c r="V220" i="1" l="1"/>
  <c r="W220" i="1" s="1"/>
  <c r="T220" i="1"/>
  <c r="U220" i="1" s="1"/>
  <c r="P220" i="1"/>
  <c r="Q220" i="1" s="1"/>
  <c r="N220" i="1"/>
  <c r="O220" i="1" s="1"/>
  <c r="R220" i="1"/>
  <c r="S220" i="1" s="1"/>
  <c r="J220" i="1"/>
  <c r="L220" i="1"/>
  <c r="H220" i="1"/>
  <c r="V372" i="1"/>
  <c r="W372" i="1" s="1"/>
  <c r="P372" i="1"/>
  <c r="Q372" i="1" s="1"/>
  <c r="J372" i="1"/>
  <c r="K372" i="1" s="1"/>
  <c r="N372" i="1"/>
  <c r="O372" i="1" s="1"/>
  <c r="R372" i="1"/>
  <c r="S372" i="1" s="1"/>
  <c r="L372" i="1"/>
  <c r="M372" i="1" s="1"/>
  <c r="T372" i="1"/>
  <c r="U372" i="1" s="1"/>
  <c r="H372" i="1"/>
  <c r="I372" i="1" s="1"/>
  <c r="R455" i="1"/>
  <c r="S455" i="1" s="1"/>
  <c r="L455" i="1"/>
  <c r="M455" i="1" s="1"/>
  <c r="N455" i="1"/>
  <c r="O455" i="1" s="1"/>
  <c r="V455" i="1"/>
  <c r="W455" i="1" s="1"/>
  <c r="J455" i="1"/>
  <c r="K455" i="1" s="1"/>
  <c r="T455" i="1"/>
  <c r="U455" i="1" s="1"/>
  <c r="P455" i="1"/>
  <c r="Q455" i="1" s="1"/>
  <c r="H455" i="1"/>
  <c r="I455" i="1" s="1"/>
  <c r="H408" i="1"/>
  <c r="I408" i="1" s="1"/>
  <c r="J408" i="1"/>
  <c r="K408" i="1" s="1"/>
  <c r="L408" i="1"/>
  <c r="M408" i="1" s="1"/>
  <c r="R449" i="1"/>
  <c r="S449" i="1" s="1"/>
  <c r="L449" i="1"/>
  <c r="M449" i="1" s="1"/>
  <c r="P449" i="1"/>
  <c r="Q449" i="1" s="1"/>
  <c r="V449" i="1"/>
  <c r="W449" i="1" s="1"/>
  <c r="J449" i="1"/>
  <c r="K449" i="1" s="1"/>
  <c r="T449" i="1"/>
  <c r="U449" i="1" s="1"/>
  <c r="N449" i="1"/>
  <c r="O449" i="1" s="1"/>
  <c r="V578" i="1"/>
  <c r="W578" i="1" s="1"/>
  <c r="P578" i="1"/>
  <c r="Q578" i="1" s="1"/>
  <c r="T578" i="1"/>
  <c r="U578" i="1" s="1"/>
  <c r="J578" i="1"/>
  <c r="K578" i="1" s="1"/>
  <c r="H578" i="1"/>
  <c r="I578" i="1" s="1"/>
  <c r="R578" i="1"/>
  <c r="S578" i="1" s="1"/>
  <c r="N578" i="1"/>
  <c r="O578" i="1" s="1"/>
  <c r="L578" i="1"/>
  <c r="M578" i="1" s="1"/>
  <c r="R342" i="1"/>
  <c r="S342" i="1" s="1"/>
  <c r="T342" i="1"/>
  <c r="U342" i="1" s="1"/>
  <c r="J342" i="1"/>
  <c r="K342" i="1" s="1"/>
  <c r="P342" i="1"/>
  <c r="Q342" i="1" s="1"/>
  <c r="H342" i="1"/>
  <c r="I342" i="1" s="1"/>
  <c r="V342" i="1"/>
  <c r="W342" i="1" s="1"/>
  <c r="N342" i="1"/>
  <c r="O342" i="1" s="1"/>
  <c r="L342" i="1"/>
  <c r="M342" i="1" s="1"/>
  <c r="N435" i="1"/>
  <c r="O435" i="1" s="1"/>
  <c r="P435" i="1"/>
  <c r="Q435" i="1" s="1"/>
  <c r="R435" i="1"/>
  <c r="S435" i="1" s="1"/>
  <c r="L435" i="1"/>
  <c r="M435" i="1" s="1"/>
  <c r="V435" i="1"/>
  <c r="W435" i="1" s="1"/>
  <c r="J435" i="1"/>
  <c r="K435" i="1" s="1"/>
  <c r="T435" i="1"/>
  <c r="U435" i="1" s="1"/>
  <c r="H435" i="1"/>
  <c r="I435" i="1" s="1"/>
  <c r="L579" i="1"/>
  <c r="M579" i="1" s="1"/>
  <c r="J579" i="1"/>
  <c r="K579" i="1" s="1"/>
  <c r="H579" i="1"/>
  <c r="I579" i="1" s="1"/>
  <c r="N579" i="1"/>
  <c r="O579" i="1" s="1"/>
  <c r="V378" i="1"/>
  <c r="W378" i="1" s="1"/>
  <c r="R378" i="1"/>
  <c r="S378" i="1" s="1"/>
  <c r="T378" i="1"/>
  <c r="U378" i="1" s="1"/>
  <c r="P378" i="1"/>
  <c r="Q378" i="1" s="1"/>
  <c r="L378" i="1"/>
  <c r="M378" i="1" s="1"/>
  <c r="N378" i="1"/>
  <c r="O378" i="1" s="1"/>
  <c r="N421" i="1"/>
  <c r="O421" i="1" s="1"/>
  <c r="P421" i="1"/>
  <c r="Q421" i="1" s="1"/>
  <c r="R421" i="1"/>
  <c r="S421" i="1" s="1"/>
  <c r="V421" i="1"/>
  <c r="W421" i="1" s="1"/>
  <c r="T421" i="1"/>
  <c r="U421" i="1" s="1"/>
  <c r="L421" i="1"/>
  <c r="M421" i="1" s="1"/>
  <c r="R422" i="1"/>
  <c r="S422" i="1" s="1"/>
  <c r="T422" i="1"/>
  <c r="U422" i="1" s="1"/>
  <c r="V422" i="1"/>
  <c r="W422" i="1" s="1"/>
  <c r="L422" i="1"/>
  <c r="M422" i="1" s="1"/>
  <c r="P422" i="1"/>
  <c r="Q422" i="1" s="1"/>
  <c r="N422" i="1"/>
  <c r="O422" i="1" s="1"/>
  <c r="R413" i="1"/>
  <c r="S413" i="1" s="1"/>
  <c r="V413" i="1"/>
  <c r="W413" i="1" s="1"/>
  <c r="T413" i="1"/>
  <c r="U413" i="1" s="1"/>
  <c r="P413" i="1"/>
  <c r="Q413" i="1" s="1"/>
  <c r="N413" i="1"/>
  <c r="O413" i="1" s="1"/>
  <c r="L413" i="1"/>
  <c r="M413" i="1" s="1"/>
  <c r="T429" i="1"/>
  <c r="U429" i="1" s="1"/>
  <c r="L429" i="1"/>
  <c r="M429" i="1" s="1"/>
  <c r="V429" i="1"/>
  <c r="W429" i="1" s="1"/>
  <c r="N429" i="1"/>
  <c r="O429" i="1" s="1"/>
  <c r="P429" i="1"/>
  <c r="Q429" i="1" s="1"/>
  <c r="R429" i="1"/>
  <c r="S429" i="1" s="1"/>
  <c r="P351" i="1"/>
  <c r="Q351" i="1" s="1"/>
  <c r="L351" i="1"/>
  <c r="M351" i="1" s="1"/>
  <c r="V351" i="1"/>
  <c r="W351" i="1" s="1"/>
  <c r="T351" i="1"/>
  <c r="U351" i="1" s="1"/>
  <c r="R351" i="1"/>
  <c r="S351" i="1" s="1"/>
  <c r="N351" i="1"/>
  <c r="O351" i="1" s="1"/>
  <c r="N369" i="1"/>
  <c r="O369" i="1" s="1"/>
  <c r="R369" i="1"/>
  <c r="S369" i="1" s="1"/>
  <c r="T369" i="1"/>
  <c r="U369" i="1" s="1"/>
  <c r="V369" i="1"/>
  <c r="W369" i="1" s="1"/>
  <c r="L369" i="1"/>
  <c r="M369" i="1" s="1"/>
  <c r="P369" i="1"/>
  <c r="Q369" i="1" s="1"/>
  <c r="V350" i="1"/>
  <c r="W350" i="1" s="1"/>
  <c r="R350" i="1"/>
  <c r="S350" i="1" s="1"/>
  <c r="P350" i="1"/>
  <c r="Q350" i="1" s="1"/>
  <c r="N350" i="1"/>
  <c r="O350" i="1" s="1"/>
  <c r="L350" i="1"/>
  <c r="M350" i="1" s="1"/>
  <c r="T350" i="1"/>
  <c r="U350" i="1" s="1"/>
  <c r="N349" i="1"/>
  <c r="O349" i="1" s="1"/>
  <c r="V349" i="1"/>
  <c r="T349" i="1"/>
  <c r="U349" i="1" s="1"/>
  <c r="R349" i="1"/>
  <c r="S349" i="1" s="1"/>
  <c r="P349" i="1"/>
  <c r="Q349" i="1" s="1"/>
  <c r="L349" i="1"/>
  <c r="M349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R381" i="1"/>
  <c r="S381" i="1" s="1"/>
  <c r="N381" i="1"/>
  <c r="O381" i="1" s="1"/>
  <c r="L381" i="1"/>
  <c r="M381" i="1" s="1"/>
  <c r="V381" i="1"/>
  <c r="W381" i="1" s="1"/>
  <c r="P381" i="1"/>
  <c r="Q381" i="1" s="1"/>
  <c r="T381" i="1"/>
  <c r="U381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71" i="1"/>
  <c r="W371" i="1" s="1"/>
  <c r="L371" i="1"/>
  <c r="M371" i="1" s="1"/>
  <c r="N371" i="1"/>
  <c r="O371" i="1" s="1"/>
  <c r="P371" i="1"/>
  <c r="Q371" i="1" s="1"/>
  <c r="T371" i="1"/>
  <c r="U371" i="1" s="1"/>
  <c r="R371" i="1"/>
  <c r="S371" i="1" s="1"/>
  <c r="N360" i="1"/>
  <c r="O360" i="1" s="1"/>
  <c r="V360" i="1"/>
  <c r="W360" i="1" s="1"/>
  <c r="T360" i="1"/>
  <c r="U360" i="1" s="1"/>
  <c r="R360" i="1"/>
  <c r="S360" i="1" s="1"/>
  <c r="P360" i="1"/>
  <c r="Q360" i="1" s="1"/>
  <c r="L360" i="1"/>
  <c r="M360" i="1" s="1"/>
  <c r="P375" i="1"/>
  <c r="Q375" i="1" s="1"/>
  <c r="N375" i="1"/>
  <c r="O375" i="1" s="1"/>
  <c r="L375" i="1"/>
  <c r="M375" i="1" s="1"/>
  <c r="V375" i="1"/>
  <c r="W375" i="1" s="1"/>
  <c r="T375" i="1"/>
  <c r="U375" i="1" s="1"/>
  <c r="R375" i="1"/>
  <c r="S375" i="1" s="1"/>
  <c r="T370" i="1"/>
  <c r="U370" i="1" s="1"/>
  <c r="V370" i="1"/>
  <c r="W370" i="1" s="1"/>
  <c r="L370" i="1"/>
  <c r="M370" i="1" s="1"/>
  <c r="N370" i="1"/>
  <c r="O370" i="1" s="1"/>
  <c r="R370" i="1"/>
  <c r="S370" i="1" s="1"/>
  <c r="P370" i="1"/>
  <c r="Q370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M220" i="1"/>
  <c r="K220" i="1"/>
  <c r="P355" i="1"/>
  <c r="Q355" i="1" s="1"/>
  <c r="L355" i="1"/>
  <c r="M355" i="1" s="1"/>
  <c r="V355" i="1"/>
  <c r="W355" i="1" s="1"/>
  <c r="T355" i="1"/>
  <c r="U355" i="1" s="1"/>
  <c r="N355" i="1"/>
  <c r="O355" i="1" s="1"/>
  <c r="R355" i="1"/>
  <c r="S355" i="1" s="1"/>
  <c r="L367" i="1"/>
  <c r="M367" i="1" s="1"/>
  <c r="N367" i="1"/>
  <c r="O367" i="1" s="1"/>
  <c r="P367" i="1"/>
  <c r="Q367" i="1" s="1"/>
  <c r="R367" i="1"/>
  <c r="S367" i="1" s="1"/>
  <c r="T367" i="1"/>
  <c r="U367" i="1" s="1"/>
  <c r="V367" i="1"/>
  <c r="W367" i="1" s="1"/>
  <c r="T364" i="1"/>
  <c r="U364" i="1" s="1"/>
  <c r="V364" i="1"/>
  <c r="W364" i="1" s="1"/>
  <c r="L364" i="1"/>
  <c r="M364" i="1" s="1"/>
  <c r="N364" i="1"/>
  <c r="O364" i="1" s="1"/>
  <c r="R364" i="1"/>
  <c r="S364" i="1" s="1"/>
  <c r="P364" i="1"/>
  <c r="Q364" i="1" s="1"/>
  <c r="L405" i="1"/>
  <c r="M405" i="1" s="1"/>
  <c r="V405" i="1"/>
  <c r="W405" i="1" s="1"/>
  <c r="T405" i="1"/>
  <c r="U405" i="1" s="1"/>
  <c r="R405" i="1"/>
  <c r="S405" i="1" s="1"/>
  <c r="P405" i="1"/>
  <c r="Q405" i="1" s="1"/>
  <c r="N405" i="1"/>
  <c r="O405" i="1" s="1"/>
  <c r="T406" i="1"/>
  <c r="U406" i="1" s="1"/>
  <c r="R406" i="1"/>
  <c r="S406" i="1" s="1"/>
  <c r="P406" i="1"/>
  <c r="Q406" i="1" s="1"/>
  <c r="N406" i="1"/>
  <c r="O406" i="1" s="1"/>
  <c r="L406" i="1"/>
  <c r="M406" i="1" s="1"/>
  <c r="V406" i="1"/>
  <c r="W406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I220" i="1"/>
  <c r="W349" i="1"/>
  <c r="V307" i="1" l="1"/>
  <c r="W307" i="1" s="1"/>
  <c r="R307" i="1"/>
  <c r="S307" i="1" s="1"/>
  <c r="P307" i="1"/>
  <c r="Q307" i="1" s="1"/>
  <c r="N307" i="1"/>
  <c r="O307" i="1" s="1"/>
  <c r="L307" i="1"/>
  <c r="M307" i="1" s="1"/>
  <c r="J307" i="1"/>
  <c r="K307" i="1" s="1"/>
  <c r="T307" i="1"/>
  <c r="U307" i="1" s="1"/>
  <c r="H307" i="1"/>
  <c r="I307" i="1" s="1"/>
  <c r="G300" i="1"/>
  <c r="J250" i="1" l="1"/>
  <c r="K250" i="1" s="1"/>
  <c r="N250" i="1"/>
  <c r="O250" i="1" s="1"/>
  <c r="P250" i="1"/>
  <c r="Q250" i="1" s="1"/>
  <c r="R250" i="1"/>
  <c r="S250" i="1" s="1"/>
  <c r="T250" i="1"/>
  <c r="U250" i="1" s="1"/>
  <c r="H250" i="1"/>
  <c r="I250" i="1" s="1"/>
  <c r="V250" i="1"/>
  <c r="W250" i="1" s="1"/>
  <c r="L250" i="1"/>
  <c r="M250" i="1" s="1"/>
  <c r="V257" i="1"/>
  <c r="W257" i="1" s="1"/>
  <c r="J257" i="1"/>
  <c r="K257" i="1" s="1"/>
  <c r="L257" i="1"/>
  <c r="M257" i="1" s="1"/>
  <c r="N257" i="1"/>
  <c r="O257" i="1" s="1"/>
  <c r="P257" i="1"/>
  <c r="Q257" i="1" s="1"/>
  <c r="R257" i="1"/>
  <c r="S257" i="1" s="1"/>
  <c r="H257" i="1"/>
  <c r="I257" i="1" s="1"/>
  <c r="T257" i="1"/>
  <c r="U257" i="1" s="1"/>
  <c r="F288" i="1"/>
  <c r="F271" i="1"/>
  <c r="F278" i="1"/>
  <c r="F450" i="1"/>
  <c r="F280" i="1"/>
  <c r="P450" i="1" l="1"/>
  <c r="Q450" i="1" s="1"/>
  <c r="H450" i="1"/>
  <c r="I450" i="1" s="1"/>
  <c r="L450" i="1"/>
  <c r="M450" i="1" s="1"/>
  <c r="R450" i="1"/>
  <c r="S450" i="1" s="1"/>
  <c r="V450" i="1"/>
  <c r="W450" i="1" s="1"/>
  <c r="N450" i="1"/>
  <c r="O450" i="1" s="1"/>
  <c r="T450" i="1"/>
  <c r="U450" i="1" s="1"/>
  <c r="J450" i="1"/>
  <c r="K450" i="1" s="1"/>
  <c r="V424" i="1"/>
  <c r="W424" i="1" s="1"/>
  <c r="N424" i="1"/>
  <c r="O424" i="1" s="1"/>
  <c r="L424" i="1"/>
  <c r="M424" i="1" s="1"/>
  <c r="P424" i="1"/>
  <c r="Q424" i="1" s="1"/>
  <c r="T424" i="1"/>
  <c r="U424" i="1" s="1"/>
  <c r="R424" i="1"/>
  <c r="S424" i="1" s="1"/>
  <c r="P407" i="1"/>
  <c r="Q407" i="1" s="1"/>
  <c r="N407" i="1"/>
  <c r="O407" i="1" s="1"/>
  <c r="L407" i="1"/>
  <c r="M407" i="1" s="1"/>
  <c r="V407" i="1"/>
  <c r="W407" i="1" s="1"/>
  <c r="T407" i="1"/>
  <c r="U407" i="1" s="1"/>
  <c r="R407" i="1"/>
  <c r="S407" i="1" s="1"/>
  <c r="V430" i="1"/>
  <c r="W430" i="1" s="1"/>
  <c r="N430" i="1"/>
  <c r="O430" i="1" s="1"/>
  <c r="L430" i="1"/>
  <c r="M430" i="1" s="1"/>
  <c r="P430" i="1"/>
  <c r="Q430" i="1" s="1"/>
  <c r="R430" i="1"/>
  <c r="S430" i="1" s="1"/>
  <c r="T430" i="1"/>
  <c r="U430" i="1" s="1"/>
  <c r="L420" i="1"/>
  <c r="M420" i="1" s="1"/>
  <c r="N420" i="1"/>
  <c r="O420" i="1" s="1"/>
  <c r="P420" i="1"/>
  <c r="Q420" i="1" s="1"/>
  <c r="R420" i="1"/>
  <c r="S420" i="1" s="1"/>
  <c r="T420" i="1"/>
  <c r="U420" i="1" s="1"/>
  <c r="V420" i="1"/>
  <c r="W420" i="1" s="1"/>
  <c r="T423" i="1"/>
  <c r="U423" i="1" s="1"/>
  <c r="V423" i="1"/>
  <c r="W423" i="1" s="1"/>
  <c r="L423" i="1"/>
  <c r="M423" i="1" s="1"/>
  <c r="N423" i="1"/>
  <c r="O423" i="1" s="1"/>
  <c r="R423" i="1"/>
  <c r="S423" i="1" s="1"/>
  <c r="P423" i="1"/>
  <c r="Q423" i="1" s="1"/>
  <c r="N271" i="1"/>
  <c r="O271" i="1" s="1"/>
  <c r="P271" i="1"/>
  <c r="Q271" i="1" s="1"/>
  <c r="R271" i="1"/>
  <c r="S271" i="1" s="1"/>
  <c r="T271" i="1"/>
  <c r="U271" i="1" s="1"/>
  <c r="V271" i="1"/>
  <c r="W271" i="1" s="1"/>
  <c r="H271" i="1"/>
  <c r="I271" i="1" s="1"/>
  <c r="J271" i="1"/>
  <c r="K271" i="1" s="1"/>
  <c r="L271" i="1"/>
  <c r="M271" i="1" s="1"/>
  <c r="N278" i="1"/>
  <c r="O278" i="1" s="1"/>
  <c r="J278" i="1"/>
  <c r="K278" i="1" s="1"/>
  <c r="H278" i="1"/>
  <c r="I278" i="1" s="1"/>
  <c r="V278" i="1"/>
  <c r="W278" i="1" s="1"/>
  <c r="T278" i="1"/>
  <c r="U278" i="1" s="1"/>
  <c r="R278" i="1"/>
  <c r="S278" i="1" s="1"/>
  <c r="P278" i="1"/>
  <c r="Q278" i="1" s="1"/>
  <c r="L278" i="1"/>
  <c r="M278" i="1" s="1"/>
  <c r="R288" i="1"/>
  <c r="S288" i="1" s="1"/>
  <c r="T288" i="1"/>
  <c r="U288" i="1" s="1"/>
  <c r="H288" i="1"/>
  <c r="I288" i="1" s="1"/>
  <c r="V288" i="1"/>
  <c r="W288" i="1" s="1"/>
  <c r="J288" i="1"/>
  <c r="K288" i="1" s="1"/>
  <c r="L288" i="1"/>
  <c r="M288" i="1" s="1"/>
  <c r="P288" i="1"/>
  <c r="Q288" i="1" s="1"/>
  <c r="N288" i="1"/>
  <c r="O288" i="1" s="1"/>
  <c r="P287" i="1"/>
  <c r="Q287" i="1" s="1"/>
  <c r="R287" i="1"/>
  <c r="S287" i="1" s="1"/>
  <c r="T287" i="1"/>
  <c r="U287" i="1" s="1"/>
  <c r="H287" i="1"/>
  <c r="I287" i="1" s="1"/>
  <c r="V287" i="1"/>
  <c r="W287" i="1" s="1"/>
  <c r="J287" i="1"/>
  <c r="K287" i="1" s="1"/>
  <c r="L287" i="1"/>
  <c r="M287" i="1" s="1"/>
  <c r="N287" i="1"/>
  <c r="O287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H280" i="1"/>
  <c r="I280" i="1" s="1"/>
  <c r="V280" i="1"/>
  <c r="W280" i="1" s="1"/>
  <c r="G204" i="1"/>
  <c r="G288" i="1"/>
  <c r="G636" i="1"/>
  <c r="O222" i="1" l="1"/>
  <c r="R711" i="1" l="1"/>
  <c r="S711" i="1" s="1"/>
  <c r="L711" i="1"/>
  <c r="M711" i="1" s="1"/>
  <c r="V711" i="1"/>
  <c r="W711" i="1" s="1"/>
  <c r="P711" i="1"/>
  <c r="Q711" i="1" s="1"/>
  <c r="T711" i="1"/>
  <c r="U711" i="1" s="1"/>
  <c r="J711" i="1"/>
  <c r="K711" i="1" s="1"/>
  <c r="N711" i="1"/>
  <c r="O711" i="1" s="1"/>
  <c r="H711" i="1"/>
  <c r="I711" i="1" s="1"/>
  <c r="F574" i="1"/>
  <c r="F573" i="1"/>
  <c r="F572" i="1"/>
  <c r="F555" i="1"/>
  <c r="F554" i="1"/>
  <c r="T555" i="1" l="1"/>
  <c r="U555" i="1" s="1"/>
  <c r="L555" i="1"/>
  <c r="M555" i="1" s="1"/>
  <c r="R555" i="1"/>
  <c r="S555" i="1" s="1"/>
  <c r="J555" i="1"/>
  <c r="K555" i="1" s="1"/>
  <c r="P555" i="1"/>
  <c r="Q555" i="1" s="1"/>
  <c r="N555" i="1"/>
  <c r="O555" i="1" s="1"/>
  <c r="H555" i="1"/>
  <c r="I555" i="1" s="1"/>
  <c r="V555" i="1"/>
  <c r="W555" i="1" s="1"/>
  <c r="H621" i="1"/>
  <c r="I621" i="1" s="1"/>
  <c r="L621" i="1"/>
  <c r="M621" i="1" s="1"/>
  <c r="P621" i="1"/>
  <c r="Q621" i="1" s="1"/>
  <c r="T621" i="1"/>
  <c r="U621" i="1" s="1"/>
  <c r="N621" i="1"/>
  <c r="O621" i="1" s="1"/>
  <c r="V621" i="1"/>
  <c r="W621" i="1" s="1"/>
  <c r="R621" i="1"/>
  <c r="S621" i="1" s="1"/>
  <c r="K621" i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H572" i="1"/>
  <c r="I572" i="1" s="1"/>
  <c r="V572" i="1"/>
  <c r="W572" i="1" s="1"/>
  <c r="H619" i="1"/>
  <c r="I619" i="1" s="1"/>
  <c r="L619" i="1"/>
  <c r="M619" i="1" s="1"/>
  <c r="P619" i="1"/>
  <c r="Q619" i="1" s="1"/>
  <c r="T619" i="1"/>
  <c r="U619" i="1" s="1"/>
  <c r="N619" i="1"/>
  <c r="O619" i="1" s="1"/>
  <c r="V619" i="1"/>
  <c r="W619" i="1" s="1"/>
  <c r="R619" i="1"/>
  <c r="S619" i="1" s="1"/>
  <c r="K619" i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T554" i="1"/>
  <c r="U554" i="1" s="1"/>
  <c r="L554" i="1"/>
  <c r="M554" i="1" s="1"/>
  <c r="R554" i="1"/>
  <c r="S554" i="1" s="1"/>
  <c r="J554" i="1"/>
  <c r="K554" i="1" s="1"/>
  <c r="H554" i="1"/>
  <c r="I554" i="1" s="1"/>
  <c r="V554" i="1"/>
  <c r="W554" i="1" s="1"/>
  <c r="P554" i="1"/>
  <c r="Q554" i="1" s="1"/>
  <c r="N554" i="1"/>
  <c r="O554" i="1" s="1"/>
  <c r="V574" i="1"/>
  <c r="W574" i="1" s="1"/>
  <c r="P574" i="1"/>
  <c r="Q574" i="1" s="1"/>
  <c r="T574" i="1"/>
  <c r="U574" i="1" s="1"/>
  <c r="J574" i="1"/>
  <c r="K574" i="1" s="1"/>
  <c r="N574" i="1"/>
  <c r="O574" i="1" s="1"/>
  <c r="L574" i="1"/>
  <c r="M574" i="1" s="1"/>
  <c r="R574" i="1"/>
  <c r="S574" i="1" s="1"/>
  <c r="H574" i="1"/>
  <c r="I574" i="1" s="1"/>
  <c r="G619" i="1"/>
  <c r="G259" i="1" l="1"/>
  <c r="G254" i="1"/>
  <c r="G435" i="1"/>
  <c r="W245" i="1" l="1"/>
  <c r="U245" i="1"/>
  <c r="S245" i="1"/>
  <c r="Q245" i="1"/>
  <c r="O245" i="1"/>
  <c r="M245" i="1"/>
  <c r="K245" i="1"/>
  <c r="I245" i="1"/>
  <c r="W202" i="1" l="1"/>
  <c r="U202" i="1"/>
  <c r="S202" i="1"/>
  <c r="Q202" i="1"/>
  <c r="O202" i="1"/>
  <c r="M202" i="1"/>
  <c r="K391" i="1" l="1"/>
  <c r="G391" i="1"/>
  <c r="W473" i="1"/>
  <c r="U473" i="1"/>
  <c r="S473" i="1"/>
  <c r="Q473" i="1"/>
  <c r="O473" i="1"/>
  <c r="M473" i="1"/>
  <c r="K473" i="1"/>
  <c r="G473" i="1"/>
  <c r="G474" i="1"/>
  <c r="G472" i="1"/>
  <c r="G455" i="1" l="1"/>
  <c r="G389" i="1" l="1"/>
  <c r="G386" i="1"/>
  <c r="G342" i="1"/>
  <c r="W508" i="1" l="1"/>
  <c r="U508" i="1"/>
  <c r="S508" i="1"/>
  <c r="Q508" i="1"/>
  <c r="O508" i="1"/>
  <c r="V379" i="1" l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K138" i="1"/>
  <c r="G379" i="1"/>
  <c r="G273" i="1"/>
  <c r="G138" i="1"/>
  <c r="G513" i="1"/>
  <c r="G385" i="1" l="1"/>
  <c r="G211" i="1"/>
  <c r="G315" i="1" l="1"/>
  <c r="U131" i="1" l="1"/>
  <c r="S131" i="1"/>
  <c r="Q131" i="1"/>
  <c r="O131" i="1"/>
  <c r="M131" i="1"/>
  <c r="W126" i="1"/>
  <c r="U126" i="1"/>
  <c r="S126" i="1"/>
  <c r="Q126" i="1"/>
  <c r="O126" i="1"/>
  <c r="M126" i="1"/>
  <c r="R321" i="1" l="1"/>
  <c r="S321" i="1" s="1"/>
  <c r="N321" i="1"/>
  <c r="O321" i="1" s="1"/>
  <c r="L321" i="1"/>
  <c r="M321" i="1" s="1"/>
  <c r="J321" i="1"/>
  <c r="K321" i="1" s="1"/>
  <c r="H321" i="1"/>
  <c r="I321" i="1" s="1"/>
  <c r="V321" i="1"/>
  <c r="W321" i="1" s="1"/>
  <c r="T321" i="1"/>
  <c r="U321" i="1" s="1"/>
  <c r="P321" i="1"/>
  <c r="Q321" i="1" s="1"/>
  <c r="G321" i="1"/>
  <c r="G269" i="1"/>
  <c r="U28" i="1" l="1"/>
  <c r="S28" i="1"/>
  <c r="Q28" i="1"/>
  <c r="O28" i="1"/>
  <c r="M28" i="1"/>
  <c r="G280" i="1" l="1"/>
  <c r="G276" i="1"/>
  <c r="F614" i="1" l="1"/>
  <c r="J614" i="1" s="1"/>
  <c r="K614" i="1" l="1"/>
  <c r="T614" i="1"/>
  <c r="U614" i="1" s="1"/>
  <c r="P614" i="1"/>
  <c r="Q614" i="1" s="1"/>
  <c r="V614" i="1"/>
  <c r="W614" i="1" s="1"/>
  <c r="R614" i="1"/>
  <c r="S614" i="1" s="1"/>
  <c r="H614" i="1"/>
  <c r="I614" i="1" s="1"/>
  <c r="L614" i="1"/>
  <c r="M614" i="1" s="1"/>
  <c r="N614" i="1"/>
  <c r="O614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1" i="1" l="1"/>
  <c r="G310" i="1"/>
  <c r="G61" i="1" l="1"/>
  <c r="G618" i="1" l="1"/>
  <c r="G565" i="1" l="1"/>
  <c r="G564" i="1"/>
  <c r="G448" i="1" l="1"/>
  <c r="I738" i="1" l="1"/>
  <c r="I739" i="1"/>
  <c r="K739" i="1" l="1"/>
  <c r="G739" i="1"/>
  <c r="G594" i="1" l="1"/>
  <c r="F684" i="1" l="1"/>
  <c r="P684" i="1" l="1"/>
  <c r="Q684" i="1" s="1"/>
  <c r="H684" i="1"/>
  <c r="T684" i="1"/>
  <c r="U684" i="1" s="1"/>
  <c r="R684" i="1"/>
  <c r="S684" i="1" s="1"/>
  <c r="J684" i="1"/>
  <c r="V684" i="1"/>
  <c r="W684" i="1" s="1"/>
  <c r="N684" i="1"/>
  <c r="O684" i="1" s="1"/>
  <c r="L684" i="1"/>
  <c r="M684" i="1" s="1"/>
  <c r="K684" i="1"/>
  <c r="G684" i="1" l="1"/>
  <c r="I684" i="1"/>
  <c r="U545" i="1" l="1"/>
  <c r="W544" i="1"/>
  <c r="O544" i="1" l="1"/>
  <c r="I544" i="1"/>
  <c r="K544" i="1"/>
  <c r="M544" i="1"/>
  <c r="Q544" i="1"/>
  <c r="S544" i="1"/>
  <c r="U544" i="1"/>
  <c r="W545" i="1"/>
  <c r="M545" i="1"/>
  <c r="O545" i="1"/>
  <c r="K545" i="1"/>
  <c r="Q545" i="1"/>
  <c r="S545" i="1"/>
  <c r="G545" i="1"/>
  <c r="I545" i="1"/>
  <c r="G544" i="1"/>
  <c r="G606" i="1" l="1"/>
  <c r="G635" i="1" l="1"/>
  <c r="G634" i="1"/>
  <c r="F638" i="1" l="1"/>
  <c r="J638" i="1" s="1"/>
  <c r="H638" i="1" l="1"/>
  <c r="I638" i="1" s="1"/>
  <c r="N638" i="1"/>
  <c r="O638" i="1" s="1"/>
  <c r="R638" i="1"/>
  <c r="S638" i="1" s="1"/>
  <c r="L638" i="1"/>
  <c r="M638" i="1" s="1"/>
  <c r="T638" i="1"/>
  <c r="U638" i="1" s="1"/>
  <c r="P638" i="1"/>
  <c r="Q638" i="1" s="1"/>
  <c r="K638" i="1"/>
  <c r="V638" i="1"/>
  <c r="W638" i="1" s="1"/>
  <c r="G638" i="1"/>
  <c r="G633" i="1"/>
  <c r="G693" i="1" l="1"/>
  <c r="G711" i="1"/>
  <c r="W709" i="1" l="1"/>
  <c r="S709" i="1"/>
  <c r="O709" i="1"/>
  <c r="K709" i="1"/>
  <c r="G709" i="1"/>
  <c r="M709" i="1" l="1"/>
  <c r="Q709" i="1"/>
  <c r="U709" i="1"/>
  <c r="G689" i="1" l="1"/>
  <c r="G687" i="1"/>
  <c r="F562" i="1"/>
  <c r="T562" i="1" l="1"/>
  <c r="U562" i="1" s="1"/>
  <c r="L562" i="1"/>
  <c r="M562" i="1" s="1"/>
  <c r="R562" i="1"/>
  <c r="S562" i="1" s="1"/>
  <c r="J562" i="1"/>
  <c r="K562" i="1" s="1"/>
  <c r="H562" i="1"/>
  <c r="I562" i="1" s="1"/>
  <c r="V562" i="1"/>
  <c r="W562" i="1" s="1"/>
  <c r="P562" i="1"/>
  <c r="Q562" i="1" s="1"/>
  <c r="N562" i="1"/>
  <c r="O562" i="1" s="1"/>
  <c r="F258" i="1"/>
  <c r="N210" i="1" l="1"/>
  <c r="O210" i="1" s="1"/>
  <c r="L210" i="1"/>
  <c r="M210" i="1" s="1"/>
  <c r="J210" i="1"/>
  <c r="K210" i="1" s="1"/>
  <c r="V258" i="1"/>
  <c r="W258" i="1" s="1"/>
  <c r="H258" i="1"/>
  <c r="I258" i="1" s="1"/>
  <c r="J258" i="1"/>
  <c r="K258" i="1" s="1"/>
  <c r="L258" i="1"/>
  <c r="M258" i="1" s="1"/>
  <c r="N258" i="1"/>
  <c r="O258" i="1" s="1"/>
  <c r="P258" i="1"/>
  <c r="Q258" i="1" s="1"/>
  <c r="R258" i="1"/>
  <c r="S258" i="1" s="1"/>
  <c r="T258" i="1"/>
  <c r="U258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G14" i="1"/>
  <c r="U14" i="1" l="1"/>
  <c r="S14" i="1"/>
  <c r="Q14" i="1"/>
  <c r="O14" i="1"/>
  <c r="M14" i="1"/>
  <c r="K14" i="1"/>
  <c r="I14" i="1"/>
  <c r="G30" i="1" l="1"/>
  <c r="F615" i="1"/>
  <c r="J615" i="1" s="1"/>
  <c r="F568" i="1"/>
  <c r="F551" i="1"/>
  <c r="F550" i="1"/>
  <c r="T551" i="1" l="1"/>
  <c r="U551" i="1" s="1"/>
  <c r="L551" i="1"/>
  <c r="M551" i="1" s="1"/>
  <c r="R551" i="1"/>
  <c r="S551" i="1" s="1"/>
  <c r="J551" i="1"/>
  <c r="K551" i="1" s="1"/>
  <c r="P551" i="1"/>
  <c r="Q551" i="1" s="1"/>
  <c r="N551" i="1"/>
  <c r="O551" i="1" s="1"/>
  <c r="H551" i="1"/>
  <c r="I551" i="1" s="1"/>
  <c r="V551" i="1"/>
  <c r="W551" i="1" s="1"/>
  <c r="T568" i="1"/>
  <c r="U568" i="1" s="1"/>
  <c r="L568" i="1"/>
  <c r="M568" i="1" s="1"/>
  <c r="R568" i="1"/>
  <c r="S568" i="1" s="1"/>
  <c r="J568" i="1"/>
  <c r="K568" i="1" s="1"/>
  <c r="H568" i="1"/>
  <c r="I568" i="1" s="1"/>
  <c r="V568" i="1"/>
  <c r="W568" i="1" s="1"/>
  <c r="P568" i="1"/>
  <c r="Q568" i="1" s="1"/>
  <c r="N568" i="1"/>
  <c r="O568" i="1" s="1"/>
  <c r="K615" i="1"/>
  <c r="P615" i="1"/>
  <c r="Q615" i="1" s="1"/>
  <c r="T615" i="1"/>
  <c r="U615" i="1" s="1"/>
  <c r="L615" i="1"/>
  <c r="M615" i="1" s="1"/>
  <c r="N615" i="1"/>
  <c r="O615" i="1" s="1"/>
  <c r="V615" i="1"/>
  <c r="W615" i="1" s="1"/>
  <c r="H615" i="1"/>
  <c r="I615" i="1" s="1"/>
  <c r="R615" i="1"/>
  <c r="S615" i="1" s="1"/>
  <c r="V550" i="1"/>
  <c r="W550" i="1" s="1"/>
  <c r="P550" i="1"/>
  <c r="Q550" i="1" s="1"/>
  <c r="T550" i="1"/>
  <c r="U550" i="1" s="1"/>
  <c r="J550" i="1"/>
  <c r="K550" i="1" s="1"/>
  <c r="N550" i="1"/>
  <c r="O550" i="1" s="1"/>
  <c r="L550" i="1"/>
  <c r="M550" i="1" s="1"/>
  <c r="R550" i="1"/>
  <c r="S550" i="1" s="1"/>
  <c r="H550" i="1"/>
  <c r="I550" i="1" s="1"/>
  <c r="G546" i="1"/>
  <c r="F501" i="1"/>
  <c r="F436" i="1"/>
  <c r="V501" i="1" l="1"/>
  <c r="W501" i="1" s="1"/>
  <c r="N501" i="1"/>
  <c r="O501" i="1" s="1"/>
  <c r="T501" i="1"/>
  <c r="U501" i="1" s="1"/>
  <c r="L501" i="1"/>
  <c r="M501" i="1" s="1"/>
  <c r="R501" i="1"/>
  <c r="S501" i="1" s="1"/>
  <c r="J501" i="1"/>
  <c r="K501" i="1" s="1"/>
  <c r="P501" i="1"/>
  <c r="Q501" i="1" s="1"/>
  <c r="N436" i="1"/>
  <c r="O436" i="1" s="1"/>
  <c r="T436" i="1"/>
  <c r="U436" i="1" s="1"/>
  <c r="H436" i="1"/>
  <c r="I436" i="1" s="1"/>
  <c r="R436" i="1"/>
  <c r="S436" i="1" s="1"/>
  <c r="L436" i="1"/>
  <c r="M436" i="1" s="1"/>
  <c r="V436" i="1"/>
  <c r="W436" i="1" s="1"/>
  <c r="J436" i="1"/>
  <c r="K436" i="1" s="1"/>
  <c r="P436" i="1"/>
  <c r="Q436" i="1" s="1"/>
  <c r="F286" i="1"/>
  <c r="H286" i="1" s="1"/>
  <c r="I286" i="1" s="1"/>
  <c r="F284" i="1"/>
  <c r="F282" i="1"/>
  <c r="F233" i="1"/>
  <c r="F232" i="1"/>
  <c r="F96" i="1"/>
  <c r="T416" i="1" l="1"/>
  <c r="U416" i="1" s="1"/>
  <c r="R416" i="1"/>
  <c r="S416" i="1" s="1"/>
  <c r="P416" i="1"/>
  <c r="Q416" i="1" s="1"/>
  <c r="N416" i="1"/>
  <c r="O416" i="1" s="1"/>
  <c r="L416" i="1"/>
  <c r="M416" i="1" s="1"/>
  <c r="V416" i="1"/>
  <c r="W416" i="1" s="1"/>
  <c r="N356" i="1"/>
  <c r="O356" i="1" s="1"/>
  <c r="L356" i="1"/>
  <c r="M356" i="1" s="1"/>
  <c r="N284" i="1"/>
  <c r="O284" i="1" s="1"/>
  <c r="P284" i="1"/>
  <c r="Q284" i="1" s="1"/>
  <c r="R284" i="1"/>
  <c r="S284" i="1" s="1"/>
  <c r="T284" i="1"/>
  <c r="U284" i="1" s="1"/>
  <c r="H284" i="1"/>
  <c r="I284" i="1" s="1"/>
  <c r="V284" i="1"/>
  <c r="W284" i="1" s="1"/>
  <c r="L284" i="1"/>
  <c r="M284" i="1" s="1"/>
  <c r="J284" i="1"/>
  <c r="K284" i="1" s="1"/>
  <c r="P358" i="1"/>
  <c r="Q358" i="1" s="1"/>
  <c r="L358" i="1"/>
  <c r="M358" i="1" s="1"/>
  <c r="V358" i="1"/>
  <c r="W358" i="1" s="1"/>
  <c r="T358" i="1"/>
  <c r="U358" i="1" s="1"/>
  <c r="R358" i="1"/>
  <c r="S358" i="1" s="1"/>
  <c r="N358" i="1"/>
  <c r="O358" i="1" s="1"/>
  <c r="V361" i="1"/>
  <c r="W361" i="1" s="1"/>
  <c r="R361" i="1"/>
  <c r="S361" i="1" s="1"/>
  <c r="P361" i="1"/>
  <c r="Q361" i="1" s="1"/>
  <c r="N361" i="1"/>
  <c r="O361" i="1" s="1"/>
  <c r="L361" i="1"/>
  <c r="M361" i="1" s="1"/>
  <c r="T361" i="1"/>
  <c r="U361" i="1" s="1"/>
  <c r="P362" i="1"/>
  <c r="Q362" i="1" s="1"/>
  <c r="N362" i="1"/>
  <c r="O362" i="1" s="1"/>
  <c r="L362" i="1"/>
  <c r="M362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232" i="1"/>
  <c r="W232" i="1" s="1"/>
  <c r="T232" i="1"/>
  <c r="U232" i="1" s="1"/>
  <c r="R232" i="1"/>
  <c r="S232" i="1" s="1"/>
  <c r="P232" i="1"/>
  <c r="Q232" i="1" s="1"/>
  <c r="L232" i="1"/>
  <c r="M232" i="1" s="1"/>
  <c r="N232" i="1"/>
  <c r="O232" i="1" s="1"/>
  <c r="J232" i="1"/>
  <c r="K232" i="1" s="1"/>
  <c r="P243" i="1"/>
  <c r="Q243" i="1" s="1"/>
  <c r="N243" i="1"/>
  <c r="O243" i="1" s="1"/>
  <c r="L243" i="1"/>
  <c r="M243" i="1" s="1"/>
  <c r="J243" i="1"/>
  <c r="K243" i="1" s="1"/>
  <c r="V243" i="1"/>
  <c r="W243" i="1" s="1"/>
  <c r="T243" i="1"/>
  <c r="U243" i="1" s="1"/>
  <c r="R243" i="1"/>
  <c r="S243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33" i="1"/>
  <c r="M233" i="1" s="1"/>
  <c r="J233" i="1"/>
  <c r="K233" i="1" s="1"/>
  <c r="V233" i="1"/>
  <c r="W233" i="1" s="1"/>
  <c r="T233" i="1"/>
  <c r="U233" i="1" s="1"/>
  <c r="R233" i="1"/>
  <c r="S233" i="1" s="1"/>
  <c r="P233" i="1"/>
  <c r="Q233" i="1" s="1"/>
  <c r="N233" i="1"/>
  <c r="O233" i="1" s="1"/>
  <c r="P282" i="1"/>
  <c r="Q282" i="1" s="1"/>
  <c r="T282" i="1"/>
  <c r="U282" i="1" s="1"/>
  <c r="H282" i="1"/>
  <c r="I282" i="1" s="1"/>
  <c r="V282" i="1"/>
  <c r="W282" i="1" s="1"/>
  <c r="J282" i="1"/>
  <c r="K282" i="1" s="1"/>
  <c r="L282" i="1"/>
  <c r="M282" i="1" s="1"/>
  <c r="N282" i="1"/>
  <c r="O282" i="1" s="1"/>
  <c r="R282" i="1"/>
  <c r="S282" i="1" s="1"/>
  <c r="I103" i="1"/>
  <c r="I101" i="1"/>
  <c r="I98" i="1"/>
  <c r="I99" i="1"/>
  <c r="G653" i="1" l="1"/>
  <c r="G376" i="1"/>
  <c r="G375" i="1" l="1"/>
  <c r="G445" i="1" l="1"/>
  <c r="G446" i="1"/>
  <c r="G250" i="1"/>
  <c r="J11" i="1" l="1"/>
  <c r="G11" i="1"/>
  <c r="I467" i="1" l="1"/>
  <c r="G255" i="1" l="1"/>
  <c r="G257" i="1" l="1"/>
  <c r="G374" i="1" l="1"/>
  <c r="G424" i="1"/>
  <c r="G539" i="1" l="1"/>
  <c r="U197" i="1" l="1"/>
  <c r="S197" i="1"/>
  <c r="Q197" i="1"/>
  <c r="O197" i="1"/>
  <c r="M197" i="1"/>
  <c r="J10" i="1"/>
  <c r="I70" i="1"/>
  <c r="G450" i="1" l="1"/>
  <c r="U467" i="1" l="1"/>
  <c r="S467" i="1"/>
  <c r="Q467" i="1"/>
  <c r="O467" i="1"/>
  <c r="M467" i="1"/>
  <c r="K467" i="1"/>
  <c r="G467" i="1"/>
  <c r="G548" i="1" l="1"/>
  <c r="G547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7" i="1" l="1"/>
  <c r="G567" i="1" l="1"/>
  <c r="I528" i="1" l="1"/>
  <c r="I527" i="1"/>
  <c r="G521" i="1" l="1"/>
  <c r="Q521" i="1" l="1"/>
  <c r="O521" i="1"/>
  <c r="M521" i="1"/>
  <c r="W521" i="1"/>
  <c r="K521" i="1"/>
  <c r="U521" i="1"/>
  <c r="S521" i="1"/>
  <c r="I521" i="1"/>
  <c r="G440" i="1" l="1"/>
  <c r="F18" i="1" l="1"/>
  <c r="H18" i="1" s="1"/>
  <c r="F19" i="1"/>
  <c r="H19" i="1" s="1"/>
  <c r="I171" i="1" l="1"/>
  <c r="G617" i="1"/>
  <c r="G433" i="1" l="1"/>
  <c r="G549" i="1" l="1"/>
  <c r="G406" i="1" l="1"/>
  <c r="F576" i="1" l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G576" i="1"/>
  <c r="G407" i="1" l="1"/>
  <c r="G404" i="1" l="1"/>
  <c r="G599" i="1" l="1"/>
  <c r="G637" i="1"/>
  <c r="G99" i="1"/>
  <c r="G487" i="1" l="1"/>
  <c r="G726" i="1"/>
  <c r="G405" i="1" l="1"/>
  <c r="S162" i="1" l="1"/>
  <c r="Q162" i="1"/>
  <c r="O162" i="1"/>
  <c r="M162" i="1"/>
  <c r="K162" i="1"/>
  <c r="W509" i="1"/>
  <c r="W505" i="1"/>
  <c r="W504" i="1"/>
  <c r="U509" i="1"/>
  <c r="U505" i="1"/>
  <c r="U504" i="1"/>
  <c r="S509" i="1"/>
  <c r="S505" i="1"/>
  <c r="S504" i="1"/>
  <c r="Q509" i="1"/>
  <c r="Q505" i="1"/>
  <c r="Q504" i="1"/>
  <c r="O509" i="1"/>
  <c r="O505" i="1"/>
  <c r="O504" i="1"/>
  <c r="G507" i="1"/>
  <c r="G508" i="1"/>
  <c r="G509" i="1"/>
  <c r="G506" i="1"/>
  <c r="G505" i="1"/>
  <c r="G504" i="1"/>
  <c r="G367" i="1" l="1"/>
  <c r="F538" i="1" l="1"/>
  <c r="T538" i="1" l="1"/>
  <c r="U538" i="1" s="1"/>
  <c r="L538" i="1"/>
  <c r="M538" i="1" s="1"/>
  <c r="R538" i="1"/>
  <c r="S538" i="1" s="1"/>
  <c r="J538" i="1"/>
  <c r="K538" i="1" s="1"/>
  <c r="H538" i="1"/>
  <c r="I538" i="1" s="1"/>
  <c r="P538" i="1"/>
  <c r="Q538" i="1" s="1"/>
  <c r="V538" i="1"/>
  <c r="W538" i="1" s="1"/>
  <c r="N538" i="1"/>
  <c r="O538" i="1" s="1"/>
  <c r="F577" i="1" l="1"/>
  <c r="T577" i="1" l="1"/>
  <c r="U577" i="1" s="1"/>
  <c r="L577" i="1"/>
  <c r="M577" i="1" s="1"/>
  <c r="R577" i="1"/>
  <c r="S577" i="1" s="1"/>
  <c r="J577" i="1"/>
  <c r="K577" i="1" s="1"/>
  <c r="H577" i="1"/>
  <c r="I577" i="1" s="1"/>
  <c r="V577" i="1"/>
  <c r="W577" i="1" s="1"/>
  <c r="P577" i="1"/>
  <c r="Q577" i="1" s="1"/>
  <c r="N577" i="1"/>
  <c r="O577" i="1" s="1"/>
  <c r="G299" i="1"/>
  <c r="G388" i="1" l="1"/>
  <c r="F191" i="1" l="1"/>
  <c r="F190" i="1"/>
  <c r="F189" i="1"/>
  <c r="F188" i="1"/>
  <c r="F187" i="1"/>
  <c r="F186" i="1"/>
  <c r="L377" i="1" l="1"/>
  <c r="M377" i="1" s="1"/>
  <c r="T377" i="1"/>
  <c r="U377" i="1" s="1"/>
  <c r="R377" i="1"/>
  <c r="S377" i="1" s="1"/>
  <c r="P377" i="1"/>
  <c r="Q377" i="1" s="1"/>
  <c r="N377" i="1"/>
  <c r="O377" i="1" s="1"/>
  <c r="N186" i="1"/>
  <c r="O186" i="1" s="1"/>
  <c r="L186" i="1"/>
  <c r="M186" i="1" s="1"/>
  <c r="J186" i="1"/>
  <c r="K186" i="1" s="1"/>
  <c r="H186" i="1"/>
  <c r="I186" i="1" s="1"/>
  <c r="P186" i="1"/>
  <c r="Q186" i="1" s="1"/>
  <c r="V186" i="1"/>
  <c r="W186" i="1" s="1"/>
  <c r="R186" i="1"/>
  <c r="S186" i="1" s="1"/>
  <c r="T186" i="1"/>
  <c r="U186" i="1" s="1"/>
  <c r="R188" i="1"/>
  <c r="S188" i="1" s="1"/>
  <c r="V188" i="1"/>
  <c r="W188" i="1" s="1"/>
  <c r="T188" i="1"/>
  <c r="U188" i="1" s="1"/>
  <c r="P188" i="1"/>
  <c r="Q188" i="1" s="1"/>
  <c r="L188" i="1"/>
  <c r="M188" i="1" s="1"/>
  <c r="J188" i="1"/>
  <c r="K188" i="1" s="1"/>
  <c r="N188" i="1"/>
  <c r="O188" i="1" s="1"/>
  <c r="H188" i="1"/>
  <c r="I188" i="1" s="1"/>
  <c r="P191" i="1"/>
  <c r="Q191" i="1" s="1"/>
  <c r="N191" i="1"/>
  <c r="O191" i="1" s="1"/>
  <c r="L191" i="1"/>
  <c r="M191" i="1" s="1"/>
  <c r="J191" i="1"/>
  <c r="K191" i="1" s="1"/>
  <c r="H191" i="1"/>
  <c r="I191" i="1" s="1"/>
  <c r="T191" i="1"/>
  <c r="U191" i="1" s="1"/>
  <c r="V191" i="1"/>
  <c r="W191" i="1" s="1"/>
  <c r="R191" i="1"/>
  <c r="S191" i="1" s="1"/>
  <c r="H187" i="1"/>
  <c r="I187" i="1" s="1"/>
  <c r="V187" i="1"/>
  <c r="W187" i="1" s="1"/>
  <c r="J187" i="1"/>
  <c r="K187" i="1" s="1"/>
  <c r="T187" i="1"/>
  <c r="U187" i="1" s="1"/>
  <c r="R187" i="1"/>
  <c r="S187" i="1" s="1"/>
  <c r="P187" i="1"/>
  <c r="Q187" i="1" s="1"/>
  <c r="N187" i="1"/>
  <c r="O187" i="1" s="1"/>
  <c r="L187" i="1"/>
  <c r="M187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P190" i="1"/>
  <c r="Q190" i="1" s="1"/>
  <c r="N190" i="1"/>
  <c r="O190" i="1" s="1"/>
  <c r="L190" i="1"/>
  <c r="M190" i="1" s="1"/>
  <c r="H190" i="1"/>
  <c r="I190" i="1" s="1"/>
  <c r="J190" i="1"/>
  <c r="K190" i="1" s="1"/>
  <c r="R190" i="1"/>
  <c r="S190" i="1" s="1"/>
  <c r="V190" i="1"/>
  <c r="W190" i="1" s="1"/>
  <c r="T190" i="1"/>
  <c r="U190" i="1" s="1"/>
  <c r="K139" i="1" l="1"/>
  <c r="G423" i="1"/>
  <c r="O755" i="1" l="1"/>
  <c r="G338" i="1" l="1"/>
  <c r="G743" i="1" l="1"/>
  <c r="G573" i="1" l="1"/>
  <c r="G572" i="1" l="1"/>
  <c r="G561" i="1" l="1"/>
  <c r="G551" i="1"/>
  <c r="G550" i="1" l="1"/>
  <c r="G282" i="1" l="1"/>
  <c r="G279" i="1"/>
  <c r="G263" i="1" l="1"/>
  <c r="G258" i="1"/>
  <c r="G651" i="1" l="1"/>
  <c r="G652" i="1"/>
  <c r="G537" i="1" l="1"/>
  <c r="G213" i="1" l="1"/>
  <c r="G212" i="1" l="1"/>
  <c r="G612" i="1" l="1"/>
  <c r="G611" i="1"/>
  <c r="G387" i="1" l="1"/>
  <c r="G262" i="1" l="1"/>
  <c r="G190" i="1" l="1"/>
  <c r="G191" i="1"/>
  <c r="G187" i="1" l="1"/>
  <c r="G189" i="1"/>
  <c r="G188" i="1"/>
  <c r="G186" i="1"/>
  <c r="G183" i="1"/>
  <c r="G180" i="1"/>
  <c r="G324" i="1" l="1"/>
  <c r="W659" i="1" l="1"/>
  <c r="U659" i="1"/>
  <c r="S659" i="1"/>
  <c r="Q659" i="1"/>
  <c r="O659" i="1"/>
  <c r="M659" i="1"/>
  <c r="K659" i="1"/>
  <c r="I659" i="1"/>
  <c r="W581" i="1" l="1"/>
  <c r="U581" i="1"/>
  <c r="S581" i="1"/>
  <c r="Q581" i="1"/>
  <c r="O581" i="1"/>
  <c r="M581" i="1"/>
  <c r="K581" i="1"/>
  <c r="I581" i="1"/>
  <c r="W37" i="1" l="1"/>
  <c r="U37" i="1"/>
  <c r="S37" i="1"/>
  <c r="Q37" i="1"/>
  <c r="O37" i="1"/>
  <c r="G60" i="1"/>
  <c r="U13" i="1"/>
  <c r="G449" i="1" l="1"/>
  <c r="G287" i="1"/>
  <c r="G281" i="1" l="1"/>
  <c r="G555" i="1" l="1"/>
  <c r="G554" i="1" l="1"/>
  <c r="G201" i="1"/>
  <c r="G200" i="1"/>
  <c r="G197" i="1"/>
  <c r="W192" i="1"/>
  <c r="U192" i="1"/>
  <c r="S192" i="1"/>
  <c r="Q192" i="1"/>
  <c r="O192" i="1"/>
  <c r="G199" i="1" l="1"/>
  <c r="G198" i="1"/>
  <c r="W197" i="1"/>
  <c r="G202" i="1"/>
  <c r="G621" i="1"/>
  <c r="I758" i="1" l="1"/>
  <c r="I757" i="1"/>
  <c r="I755" i="1"/>
  <c r="I756" i="1"/>
  <c r="W755" i="1"/>
  <c r="U755" i="1"/>
  <c r="S755" i="1"/>
  <c r="Q755" i="1"/>
  <c r="M755" i="1"/>
  <c r="K755" i="1"/>
  <c r="W580" i="1" l="1"/>
  <c r="U580" i="1" l="1"/>
  <c r="I580" i="1"/>
  <c r="M580" i="1"/>
  <c r="Q580" i="1"/>
  <c r="K580" i="1"/>
  <c r="O580" i="1"/>
  <c r="S580" i="1"/>
  <c r="G553" i="1" l="1"/>
  <c r="G552" i="1"/>
  <c r="K346" i="1" l="1"/>
  <c r="I536" i="1" l="1"/>
  <c r="G261" i="1" l="1"/>
  <c r="G632" i="1" l="1"/>
  <c r="G625" i="1"/>
  <c r="G631" i="1"/>
  <c r="G605" i="1" l="1"/>
  <c r="G596" i="1" l="1"/>
  <c r="G610" i="1"/>
  <c r="G598" i="1" l="1"/>
  <c r="G609" i="1"/>
  <c r="G601" i="1"/>
  <c r="I591" i="1"/>
  <c r="G630" i="1"/>
  <c r="G623" i="1"/>
  <c r="G622" i="1"/>
  <c r="G616" i="1"/>
  <c r="G615" i="1"/>
  <c r="G614" i="1"/>
  <c r="G613" i="1"/>
  <c r="G600" i="1"/>
  <c r="G591" i="1"/>
  <c r="G302" i="1" l="1"/>
  <c r="G428" i="1" l="1"/>
  <c r="G301" i="1" l="1"/>
  <c r="G339" i="1"/>
  <c r="G313" i="1"/>
  <c r="G311" i="1"/>
  <c r="G312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1" i="1" l="1"/>
  <c r="G431" i="1" l="1"/>
  <c r="G741" i="1" l="1"/>
  <c r="G736" i="1" l="1"/>
  <c r="K738" i="1"/>
  <c r="G738" i="1"/>
  <c r="G471" i="1" l="1"/>
  <c r="G470" i="1"/>
  <c r="Q57" i="1" l="1"/>
  <c r="M57" i="1"/>
  <c r="K57" i="1"/>
  <c r="W57" i="1"/>
  <c r="U57" i="1"/>
  <c r="S57" i="1"/>
  <c r="O57" i="1"/>
  <c r="G57" i="1"/>
  <c r="G368" i="1" l="1"/>
  <c r="G390" i="1" l="1"/>
  <c r="G309" i="1"/>
  <c r="G245" i="1" l="1"/>
  <c r="G249" i="1"/>
  <c r="G252" i="1" l="1"/>
  <c r="I751" i="1" l="1"/>
  <c r="K751" i="1"/>
  <c r="W751" i="1"/>
  <c r="U751" i="1"/>
  <c r="S751" i="1"/>
  <c r="Q751" i="1"/>
  <c r="O751" i="1"/>
  <c r="M751" i="1"/>
  <c r="W750" i="1"/>
  <c r="U750" i="1"/>
  <c r="S750" i="1"/>
  <c r="Q750" i="1"/>
  <c r="O750" i="1"/>
  <c r="M750" i="1"/>
  <c r="S756" i="1"/>
  <c r="U756" i="1"/>
  <c r="W756" i="1"/>
  <c r="S757" i="1"/>
  <c r="U757" i="1"/>
  <c r="W757" i="1"/>
  <c r="S758" i="1"/>
  <c r="U758" i="1"/>
  <c r="W758" i="1"/>
  <c r="Q758" i="1"/>
  <c r="O758" i="1"/>
  <c r="M758" i="1"/>
  <c r="K758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27" i="1" l="1"/>
  <c r="U727" i="1"/>
  <c r="S727" i="1"/>
  <c r="Q727" i="1"/>
  <c r="O727" i="1"/>
  <c r="M727" i="1"/>
  <c r="W536" i="1"/>
  <c r="U536" i="1"/>
  <c r="S536" i="1"/>
  <c r="Q536" i="1"/>
  <c r="O536" i="1"/>
  <c r="M536" i="1"/>
  <c r="K536" i="1"/>
  <c r="Q498" i="1"/>
  <c r="Q468" i="1"/>
  <c r="Q466" i="1"/>
  <c r="G724" i="1" l="1"/>
  <c r="G718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77" i="1" l="1"/>
  <c r="G243" i="1"/>
  <c r="G268" i="1" l="1"/>
  <c r="G225" i="1"/>
  <c r="G482" i="1" l="1"/>
  <c r="G426" i="1" l="1"/>
  <c r="G458" i="1"/>
  <c r="G306" i="1"/>
  <c r="G395" i="1"/>
  <c r="Q152" i="1"/>
  <c r="Q151" i="1"/>
  <c r="W40" i="1"/>
  <c r="G139" i="1" l="1"/>
  <c r="G285" i="1" l="1"/>
  <c r="G206" i="1"/>
  <c r="G425" i="1" l="1"/>
  <c r="O73" i="1" l="1"/>
  <c r="G219" i="1"/>
  <c r="G307" i="1" l="1"/>
  <c r="W71" i="1" l="1"/>
  <c r="U71" i="1"/>
  <c r="S71" i="1"/>
  <c r="O71" i="1"/>
  <c r="G304" i="1"/>
  <c r="G414" i="1" l="1"/>
  <c r="G742" i="1" l="1"/>
  <c r="G744" i="1"/>
  <c r="G475" i="1" l="1"/>
  <c r="G562" i="1" l="1"/>
  <c r="G41" i="1" l="1"/>
  <c r="U40" i="1"/>
  <c r="S40" i="1"/>
  <c r="O40" i="1"/>
  <c r="G40" i="1"/>
  <c r="I668" i="1" l="1"/>
  <c r="G271" i="1" l="1"/>
  <c r="G278" i="1" l="1"/>
  <c r="G272" i="1"/>
  <c r="G175" i="1" l="1"/>
  <c r="V97" i="1" l="1"/>
  <c r="T97" i="1"/>
  <c r="R97" i="1"/>
  <c r="N97" i="1"/>
  <c r="K97" i="1"/>
  <c r="G439" i="1" l="1"/>
  <c r="G570" i="1" l="1"/>
  <c r="G220" i="1" l="1"/>
  <c r="G522" i="1" l="1"/>
  <c r="G442" i="1"/>
  <c r="I782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79" i="1" l="1"/>
  <c r="G578" i="1"/>
  <c r="G566" i="1"/>
  <c r="G568" i="1"/>
  <c r="G575" i="1"/>
  <c r="G514" i="1" l="1"/>
  <c r="G305" i="1" l="1"/>
  <c r="G337" i="1"/>
  <c r="G308" i="1"/>
  <c r="G336" i="1" l="1"/>
  <c r="G235" i="1" l="1"/>
  <c r="G10" i="1"/>
  <c r="G227" i="1" l="1"/>
  <c r="G727" i="1" l="1"/>
  <c r="G228" i="1" l="1"/>
  <c r="O36" i="1"/>
  <c r="G205" i="1" l="1"/>
  <c r="G712" i="1" l="1"/>
  <c r="G714" i="1"/>
  <c r="G713" i="1"/>
  <c r="G429" i="1" l="1"/>
  <c r="G430" i="1"/>
  <c r="S42" i="1" l="1"/>
  <c r="G512" i="1" l="1"/>
  <c r="G740" i="1" l="1"/>
  <c r="G737" i="1"/>
  <c r="G290" i="1"/>
  <c r="G229" i="1"/>
  <c r="G226" i="1"/>
  <c r="G224" i="1"/>
  <c r="G217" i="1"/>
  <c r="G218" i="1"/>
  <c r="G216" i="1"/>
  <c r="G104" i="1"/>
  <c r="G66" i="1"/>
  <c r="G25" i="1"/>
  <c r="G23" i="1"/>
  <c r="G24" i="1"/>
  <c r="G422" i="1" l="1"/>
  <c r="U466" i="1" l="1"/>
  <c r="S466" i="1"/>
  <c r="M466" i="1"/>
  <c r="O466" i="1"/>
  <c r="G466" i="1"/>
  <c r="J520" i="1" l="1"/>
  <c r="J517" i="1"/>
  <c r="J516" i="1"/>
  <c r="J515" i="1"/>
  <c r="J519" i="1"/>
  <c r="J514" i="1"/>
  <c r="G22" i="1" l="1"/>
  <c r="G468" i="1"/>
  <c r="M468" i="1"/>
  <c r="O468" i="1"/>
  <c r="S468" i="1"/>
  <c r="U468" i="1"/>
  <c r="G168" i="1"/>
  <c r="G26" i="1" l="1"/>
  <c r="G569" i="1" l="1"/>
  <c r="G54" i="1" l="1"/>
  <c r="G56" i="1"/>
  <c r="O31" i="1"/>
  <c r="G58" i="1"/>
  <c r="U31" i="1" l="1"/>
  <c r="G210" i="1"/>
  <c r="G29" i="1" l="1"/>
  <c r="G343" i="1"/>
  <c r="O135" i="1"/>
  <c r="S135" i="1"/>
  <c r="U135" i="1"/>
  <c r="G332" i="1" l="1"/>
  <c r="G13" i="1" l="1"/>
  <c r="G538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6" i="1"/>
  <c r="G203" i="1"/>
  <c r="G209" i="1"/>
  <c r="G222" i="1"/>
  <c r="G231" i="1"/>
  <c r="M231" i="1"/>
  <c r="P231" i="1"/>
  <c r="G232" i="1"/>
  <c r="G233" i="1"/>
  <c r="G234" i="1"/>
  <c r="G244" i="1"/>
  <c r="G270" i="1"/>
  <c r="G284" i="1"/>
  <c r="G286" i="1"/>
  <c r="G715" i="1"/>
  <c r="G716" i="1"/>
  <c r="G344" i="1"/>
  <c r="G346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9" i="1"/>
  <c r="G370" i="1"/>
  <c r="G371" i="1"/>
  <c r="G372" i="1"/>
  <c r="G373" i="1"/>
  <c r="G377" i="1"/>
  <c r="G378" i="1"/>
  <c r="G381" i="1"/>
  <c r="G382" i="1"/>
  <c r="G392" i="1"/>
  <c r="G393" i="1"/>
  <c r="G394" i="1"/>
  <c r="G402" i="1"/>
  <c r="G408" i="1"/>
  <c r="G410" i="1"/>
  <c r="G413" i="1"/>
  <c r="G416" i="1"/>
  <c r="G417" i="1"/>
  <c r="G420" i="1"/>
  <c r="G421" i="1"/>
  <c r="G436" i="1"/>
  <c r="G441" i="1"/>
  <c r="G443" i="1"/>
  <c r="G469" i="1"/>
  <c r="G476" i="1"/>
  <c r="G498" i="1"/>
  <c r="O498" i="1"/>
  <c r="S498" i="1"/>
  <c r="U498" i="1"/>
  <c r="W498" i="1"/>
  <c r="G499" i="1"/>
  <c r="G500" i="1"/>
  <c r="G501" i="1"/>
  <c r="G502" i="1"/>
  <c r="G510" i="1"/>
  <c r="G515" i="1"/>
  <c r="G516" i="1"/>
  <c r="G517" i="1"/>
  <c r="G519" i="1"/>
  <c r="G520" i="1"/>
  <c r="G523" i="1"/>
  <c r="G524" i="1"/>
  <c r="G525" i="1"/>
  <c r="G527" i="1"/>
  <c r="G528" i="1"/>
  <c r="G531" i="1"/>
  <c r="G532" i="1"/>
  <c r="G536" i="1"/>
  <c r="G574" i="1"/>
  <c r="G732" i="1"/>
  <c r="M732" i="1"/>
  <c r="O732" i="1"/>
  <c r="Q732" i="1"/>
  <c r="S732" i="1"/>
  <c r="U732" i="1"/>
  <c r="M748" i="1"/>
  <c r="O748" i="1"/>
  <c r="S748" i="1"/>
  <c r="U748" i="1"/>
  <c r="W748" i="1"/>
  <c r="K749" i="1"/>
  <c r="M749" i="1"/>
  <c r="O749" i="1"/>
  <c r="Q749" i="1"/>
  <c r="S749" i="1"/>
  <c r="U749" i="1"/>
  <c r="W749" i="1"/>
  <c r="K756" i="1"/>
  <c r="M756" i="1"/>
  <c r="O756" i="1"/>
  <c r="Q756" i="1"/>
  <c r="K757" i="1"/>
  <c r="M757" i="1"/>
  <c r="O757" i="1"/>
  <c r="Q757" i="1"/>
  <c r="M760" i="1"/>
  <c r="Q760" i="1"/>
  <c r="I78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1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<sst xmlns="http://schemas.openxmlformats.org/spreadsheetml/2006/main" count="1299" uniqueCount="1034">
  <si>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</si>
  <si>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</si>
  <si>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</si>
  <si>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</si>
  <si>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</si>
  <si>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</si>
  <si>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</si>
  <si>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</si>
  <si>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</si>
  <si>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</si>
  <si>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</si>
  <si>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</si>
  <si>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</si>
  <si>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</si>
  <si>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</si>
  <si>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</si>
  <si>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</si>
  <si>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</si>
  <si>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</si>
  <si>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</si>
  <si>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</si>
  <si>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</si>
  <si>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</si>
  <si>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</si>
  <si>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</si>
  <si>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</si>
  <si>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</si>
  <si>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</si>
  <si>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</si>
  <si>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</si>
  <si>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</si>
  <si>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</si>
  <si>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</si>
  <si>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</si>
  <si>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</si>
  <si>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</si>
  <si>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</si>
  <si>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</si>
  <si>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</si>
  <si>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</si>
  <si>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</si>
  <si>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</si>
  <si>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</si>
  <si>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</si>
  <si>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</si>
  <si>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</si>
  <si>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</si>
  <si>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</si>
  <si>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</si>
  <si>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</si>
  <si>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</si>
  <si>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</si>
  <si>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</si>
  <si>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</si>
  <si>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</si>
  <si>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</si>
  <si>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</si>
  <si>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</si>
  <si>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</si>
  <si>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</si>
  <si>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</si>
  <si>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</si>
  <si>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</si>
  <si>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</si>
  <si>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</si>
  <si>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</si>
  <si>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</si>
  <si>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</si>
  <si>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</si>
  <si>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</si>
  <si>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</si>
  <si>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</si>
  <si>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</si>
  <si>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</si>
  <si>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</si>
  <si>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</si>
  <si>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</si>
  <si>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</si>
  <si>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</si>
  <si>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</si>
  <si>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</si>
  <si>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</si>
  <si>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</si>
  <si>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</si>
  <si>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</si>
  <si>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</si>
  <si>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</si>
  <si>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</si>
  <si>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</si>
  <si>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</si>
  <si>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</si>
  <si>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</si>
  <si>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</si>
  <si>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</si>
  <si>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</si>
  <si>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</si>
  <si>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</si>
  <si>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</si>
  <si>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</si>
  <si>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</si>
  <si>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</si>
  <si>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</si>
  <si>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</si>
  <si>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</si>
  <si>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</si>
  <si>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</si>
  <si>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</si>
  <si>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</si>
  <si>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</si>
  <si>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</si>
  <si>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</si>
  <si>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</si>
  <si>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</si>
  <si>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</si>
  <si>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</si>
  <si>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</si>
  <si>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</si>
  <si>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</si>
  <si>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</si>
  <si>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</si>
  <si>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</si>
  <si>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</si>
  <si>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</si>
  <si>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</si>
  <si>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</si>
  <si>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</si>
  <si>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</si>
  <si>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</si>
  <si>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</si>
  <si>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</si>
  <si>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</si>
  <si>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</si>
  <si>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</si>
  <si>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</si>
  <si>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</si>
  <si>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</si>
  <si>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</si>
  <si>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</si>
  <si>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</si>
  <si>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</si>
  <si>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</si>
  <si>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</si>
  <si>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</si>
  <si>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</si>
  <si>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</si>
  <si>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</si>
  <si>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</si>
  <si>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</si>
  <si>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</si>
  <si>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</si>
  <si>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</si>
  <si>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</si>
  <si>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</si>
  <si>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</si>
  <si>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</si>
  <si>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</si>
  <si>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</si>
  <si>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</si>
  <si>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</si>
  <si>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</si>
  <si>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</si>
  <si>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</si>
  <si>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</si>
  <si>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</si>
  <si>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</si>
  <si>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</si>
  <si>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</si>
  <si>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</si>
  <si>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</si>
  <si>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</si>
  <si>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</si>
  <si>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</si>
  <si>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</si>
  <si>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</si>
  <si>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</si>
  <si>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</si>
  <si>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</si>
  <si>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</si>
  <si>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</si>
  <si>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</si>
  <si>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</si>
  <si>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</si>
  <si>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</si>
  <si>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</si>
  <si>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</si>
  <si>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</si>
  <si>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</si>
  <si>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</si>
  <si>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</si>
  <si>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</si>
  <si>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</si>
  <si>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</si>
  <si>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</si>
  <si>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</si>
  <si>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</si>
  <si>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</si>
  <si>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</si>
  <si>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</si>
  <si>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</si>
  <si>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</si>
  <si>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</si>
  <si>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</si>
  <si>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</si>
  <si>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</si>
  <si>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</si>
  <si>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</si>
  <si>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</si>
  <si>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</si>
  <si>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</si>
  <si>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</si>
  <si>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</si>
  <si>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</si>
  <si>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</si>
  <si>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</si>
  <si>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</si>
  <si>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</si>
  <si>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</si>
  <si>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</si>
  <si>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</si>
  <si>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</si>
  <si>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</si>
  <si>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</si>
  <si>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</si>
  <si>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</si>
  <si>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</si>
  <si>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</si>
  <si>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</si>
  <si>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</si>
  <si>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</si>
  <si>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</si>
  <si>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</si>
  <si>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</si>
  <si>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</si>
  <si>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</si>
  <si>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</si>
  <si>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</si>
  <si>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</si>
  <si>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</si>
  <si>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</si>
  <si>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</si>
  <si>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</si>
  <si>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</si>
  <si>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</si>
  <si>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</si>
  <si>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</si>
  <si>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</si>
  <si>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</si>
  <si>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</si>
  <si>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</si>
  <si>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</si>
  <si>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</si>
  <si>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</si>
  <si>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</si>
  <si>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</si>
  <si>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</si>
  <si>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</si>
  <si>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</si>
  <si>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</si>
  <si>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</si>
  <si>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</si>
  <si>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</si>
  <si>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</si>
  <si>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</si>
  <si>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</si>
  <si>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</si>
  <si>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</si>
  <si>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</si>
  <si>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</si>
  <si>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</si>
  <si>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</si>
  <si>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</si>
  <si>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</si>
  <si>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</si>
  <si>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</si>
  <si>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</si>
  <si>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</si>
  <si>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</si>
  <si>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</si>
  <si>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</si>
  <si>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</si>
  <si>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</si>
  <si>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</si>
  <si>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</si>
  <si>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</si>
  <si>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</si>
  <si>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</si>
  <si>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</si>
  <si>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</si>
  <si>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</si>
  <si>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</si>
  <si>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</si>
  <si>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</si>
  <si>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</si>
  <si>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</si>
  <si>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</si>
  <si>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</si>
  <si>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</si>
  <si>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</si>
  <si>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</si>
  <si>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</si>
  <si>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</si>
  <si>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</si>
  <si>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</si>
  <si>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</si>
  <si>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</si>
  <si>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</si>
  <si>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</si>
  <si>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</si>
  <si>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</si>
  <si>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</si>
  <si>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</si>
  <si>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</si>
  <si>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</si>
  <si>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</si>
  <si>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</si>
  <si>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</si>
  <si>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</si>
  <si>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</si>
  <si>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</si>
  <si>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</si>
  <si>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</si>
  <si>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</si>
  <si>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</si>
  <si>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</si>
  <si>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</si>
  <si>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</si>
  <si>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</si>
  <si>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</si>
  <si>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</si>
  <si>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</si>
  <si>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</si>
  <si>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</si>
  <si>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</si>
  <si>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</si>
  <si>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</si>
  <si>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</si>
  <si>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</si>
  <si>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</si>
  <si>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</si>
  <si>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</si>
  <si>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</si>
  <si>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</si>
  <si>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</si>
  <si>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</si>
  <si>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</si>
  <si>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</si>
  <si>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</si>
  <si>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</si>
  <si>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</si>
  <si>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</si>
  <si>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</si>
  <si>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</si>
  <si>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</si>
  <si>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</si>
  <si>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</si>
  <si>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</si>
  <si>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</si>
  <si>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</si>
  <si>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</si>
  <si>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</si>
  <si>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</si>
  <si>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</si>
  <si>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</si>
  <si>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</si>
  <si>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</si>
  <si>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</si>
  <si>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</si>
  <si>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</si>
  <si>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</si>
  <si>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</si>
  <si>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</si>
  <si>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</si>
  <si>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</si>
  <si>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</si>
  <si>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</si>
  <si>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</si>
  <si>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</si>
  <si>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</si>
  <si>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</si>
  <si>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</si>
  <si>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</si>
  <si>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</si>
  <si>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</si>
  <si>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</si>
  <si>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</si>
  <si>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</si>
  <si>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</si>
  <si>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</si>
  <si>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</si>
  <si>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</si>
  <si>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</si>
  <si>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</si>
  <si>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</si>
  <si>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</si>
  <si>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</si>
  <si>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</si>
  <si>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</si>
  <si>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</si>
  <si>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</si>
  <si>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</si>
  <si>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</si>
  <si>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</si>
  <si>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</si>
  <si>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</si>
  <si>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</si>
  <si>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</si>
  <si>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</si>
  <si>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</si>
  <si>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</si>
  <si>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</si>
  <si>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</si>
  <si>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</si>
  <si>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</si>
  <si>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</si>
  <si>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</si>
  <si>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</si>
  <si>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</si>
  <si>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</si>
  <si>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</si>
  <si>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</si>
  <si>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</si>
  <si>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</si>
  <si>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</si>
  <si>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</si>
  <si>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</si>
  <si>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</si>
  <si>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</si>
  <si>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</si>
  <si>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</si>
  <si>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</si>
  <si>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</si>
  <si>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</si>
  <si>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</si>
  <si>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</si>
  <si>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</si>
  <si>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</si>
  <si>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</si>
  <si>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</si>
  <si>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</si>
  <si>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</si>
  <si>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</si>
  <si>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</si>
  <si>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</si>
  <si>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</si>
  <si>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</si>
  <si>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</si>
  <si>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</si>
  <si>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</si>
  <si>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</si>
  <si>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</si>
  <si>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</si>
  <si>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</si>
  <si>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</si>
  <si>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</si>
  <si>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</si>
  <si>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</si>
  <si>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</si>
  <si>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</si>
  <si>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</si>
  <si>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</si>
  <si>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</si>
  <si>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</si>
  <si>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</si>
  <si>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</si>
  <si>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</si>
  <si>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</si>
  <si>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</si>
  <si>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</si>
  <si>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</si>
  <si>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</si>
  <si>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</si>
  <si>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</si>
  <si>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</si>
  <si>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</si>
  <si>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</si>
  <si>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</si>
  <si>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</si>
  <si>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</si>
  <si>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</si>
  <si>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</si>
  <si>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</si>
  <si>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</si>
  <si>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</si>
  <si>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</si>
  <si>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</si>
  <si>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</si>
  <si>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</si>
  <si>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</si>
  <si>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</si>
  <si>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</si>
  <si>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</si>
  <si>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</si>
  <si>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</si>
  <si>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</si>
  <si>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</si>
  <si>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</si>
  <si>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</si>
  <si>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</si>
  <si>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</si>
  <si>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</si>
  <si>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</si>
  <si>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</si>
  <si>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</si>
  <si>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</si>
  <si>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</si>
  <si>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</si>
  <si>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</si>
  <si>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</si>
  <si>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</si>
  <si>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</si>
  <si>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</si>
  <si>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</si>
  <si>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</si>
  <si>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</si>
  <si>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</si>
  <si>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</si>
  <si>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</si>
  <si>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</si>
  <si>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</si>
  <si>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</si>
  <si>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</si>
  <si>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</si>
  <si>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</si>
  <si>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</si>
  <si>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</si>
  <si>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</si>
  <si>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</si>
  <si>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</si>
  <si>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</si>
  <si>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</si>
  <si>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</si>
  <si>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</si>
  <si>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</si>
  <si>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</si>
  <si>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</si>
  <si>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</si>
  <si>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</si>
  <si>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</si>
  <si>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</si>
  <si>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</si>
  <si>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</si>
  <si>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</si>
  <si>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</si>
  <si>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</si>
  <si>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</si>
  <si>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</si>
  <si>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</si>
  <si>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</si>
  <si>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</si>
  <si>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</si>
  <si>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</si>
  <si>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</si>
  <si>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</si>
  <si>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</si>
  <si>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</si>
  <si>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</si>
  <si>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</si>
  <si>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</si>
  <si>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</si>
  <si>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</si>
  <si>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</si>
  <si>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</si>
  <si>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</si>
  <si>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</si>
  <si>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</si>
  <si>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</si>
  <si>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</si>
  <si>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</si>
  <si>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</si>
  <si>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</si>
  <si>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</si>
  <si>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</si>
  <si>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</si>
  <si>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</si>
  <si>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</si>
  <si>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</si>
  <si>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</si>
  <si>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</si>
  <si>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</si>
  <si>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</si>
  <si>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</si>
  <si>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</si>
  <si>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</si>
  <si>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</si>
  <si>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</si>
  <si>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</si>
  <si>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</si>
  <si>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</si>
  <si>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</si>
  <si>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</si>
  <si>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</si>
  <si>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</si>
  <si>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</si>
  <si>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</si>
  <si>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</si>
  <si>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</si>
  <si>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</si>
  <si>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</si>
  <si>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</si>
  <si>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</si>
  <si>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</si>
  <si>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</si>
  <si>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</si>
  <si>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</si>
  <si>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</si>
  <si>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</si>
  <si>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</si>
  <si>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</si>
  <si>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</si>
  <si>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</si>
  <si>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</si>
  <si>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</si>
  <si>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</si>
  <si>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</si>
  <si>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</si>
  <si>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</si>
  <si>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</si>
  <si>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</si>
  <si>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</si>
  <si>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</si>
  <si>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</si>
  <si>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</si>
  <si>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</si>
  <si>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</si>
  <si>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</si>
  <si>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</si>
  <si>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</si>
  <si>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</si>
  <si>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</si>
  <si>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</si>
  <si>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</si>
  <si>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</si>
  <si>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</si>
  <si>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</si>
  <si>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</si>
  <si>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</si>
  <si>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</si>
  <si>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</si>
  <si>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</si>
  <si>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</si>
  <si>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</si>
  <si>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</si>
  <si>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</si>
  <si>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</si>
  <si>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</si>
  <si>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</si>
  <si>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</si>
  <si>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</si>
  <si>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</si>
  <si>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</si>
  <si>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</si>
  <si>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</si>
  <si>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</si>
  <si>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</si>
  <si>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</si>
  <si>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</si>
  <si>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</si>
  <si>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</si>
  <si>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</si>
  <si>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</si>
  <si>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</si>
  <si>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</si>
  <si>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</si>
  <si>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</si>
  <si>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</si>
  <si>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</si>
  <si>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</si>
  <si>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</si>
  <si>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</si>
  <si>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</si>
  <si>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</si>
  <si>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</si>
  <si>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</si>
  <si>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</si>
  <si>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</si>
  <si>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</si>
  <si>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</si>
  <si>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</si>
  <si>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</si>
  <si>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</si>
  <si>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</si>
  <si>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</si>
  <si>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</si>
  <si>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</si>
  <si>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</si>
  <si>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</si>
  <si>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</si>
  <si>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</si>
  <si>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</si>
  <si>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</si>
  <si>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</si>
  <si>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</si>
  <si>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</si>
  <si>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</si>
  <si>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</si>
  <si>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</si>
  <si>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</si>
  <si>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</si>
  <si>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</si>
  <si>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</si>
  <si>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</si>
  <si>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</si>
  <si>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</si>
  <si>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</si>
  <si>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</si>
  <si>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</si>
  <si>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</si>
  <si>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</si>
  <si>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</si>
  <si>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</si>
  <si>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</si>
  <si>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</si>
  <si>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</si>
  <si>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</si>
  <si>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</si>
  <si>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</si>
  <si>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</si>
  <si>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</si>
  <si>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</si>
  <si>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</si>
  <si>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</si>
  <si>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</si>
  <si>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</si>
  <si>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</si>
  <si>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</si>
  <si>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</si>
  <si>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</si>
  <si>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</si>
  <si>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</si>
  <si>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</si>
  <si>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</si>
  <si>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</si>
  <si>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</si>
  <si>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</si>
  <si>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</si>
  <si>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</si>
  <si>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</si>
  <si>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</si>
  <si>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</si>
  <si>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</si>
  <si>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</si>
  <si>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</si>
  <si>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</si>
  <si>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</si>
  <si>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</si>
  <si>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</si>
  <si>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</si>
  <si>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</si>
  <si>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</si>
  <si>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</si>
  <si>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</si>
  <si>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</si>
  <si>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</si>
  <si>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</si>
  <si>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</si>
  <si>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</si>
  <si>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</si>
  <si>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</si>
  <si>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</si>
  <si>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</si>
  <si>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</si>
  <si>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</si>
  <si>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</si>
  <si>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</si>
  <si>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</si>
  <si>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</si>
  <si>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</si>
  <si>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</si>
  <si>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</si>
  <si>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</si>
  <si>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</si>
  <si>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</si>
  <si>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</si>
  <si>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</si>
  <si>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</si>
  <si>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</si>
  <si>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</si>
  <si>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</si>
  <si>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</si>
  <si>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</si>
  <si>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</si>
  <si>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</si>
  <si>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</si>
  <si>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</si>
  <si>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</si>
  <si>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</si>
  <si>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</si>
  <si>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</si>
  <si>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</si>
  <si>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</si>
  <si>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</si>
  <si>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</si>
  <si>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</si>
  <si>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</si>
  <si>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</si>
  <si>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</si>
  <si>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</si>
  <si>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</si>
  <si>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</si>
  <si>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</si>
  <si>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</si>
  <si>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</si>
  <si>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</si>
  <si>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</si>
  <si>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</si>
  <si>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</si>
  <si>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</si>
  <si>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</si>
  <si>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</si>
  <si>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</si>
  <si>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00682 - Neceser microfibra con gancho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</si>
  <si>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</si>
  <si>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</si>
  <si>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</si>
  <si>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</si>
  <si>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</si>
  <si>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</si>
  <si>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</si>
  <si>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</si>
  <si>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</si>
  <si>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</si>
  <si>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</si>
  <si>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</si>
  <si>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</si>
  <si>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</si>
  <si>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</si>
  <si>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</si>
  <si>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</si>
  <si>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</si>
  <si>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</si>
  <si>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</si>
  <si>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</si>
  <si>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</si>
  <si>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</si>
  <si>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</si>
  <si>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</si>
  <si>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</si>
  <si>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</si>
  <si>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</si>
  <si>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</si>
  <si>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</si>
  <si>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</si>
  <si>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</si>
  <si>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</si>
  <si>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</si>
  <si>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</si>
  <si>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</si>
  <si>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</si>
  <si>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</si>
  <si>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</si>
  <si>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</si>
  <si>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</si>
  <si>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</si>
  <si>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</si>
  <si>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</si>
  <si>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</si>
  <si>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</si>
  <si>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</si>
  <si>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</si>
  <si>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</si>
  <si>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</si>
  <si>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</si>
  <si>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</si>
  <si>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</si>
  <si>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</si>
  <si>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</si>
  <si>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</si>
  <si>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</si>
  <si>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</si>
  <si>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</si>
  <si>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</si>
  <si>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</si>
  <si>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</si>
  <si>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</si>
  <si>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</si>
  <si>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</si>
  <si>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</si>
  <si>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</si>
  <si>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</si>
  <si>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</si>
  <si>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</si>
  <si>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</si>
  <si>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</si>
  <si>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</si>
  <si>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</si>
  <si>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</si>
  <si>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</si>
  <si>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</si>
  <si>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</si>
  <si>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</si>
  <si>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</si>
  <si>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</si>
  <si>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</si>
  <si>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</si>
  <si>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</si>
  <si>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</si>
  <si>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</si>
  <si>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</si>
  <si>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</si>
  <si>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</si>
  <si>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</si>
  <si>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</si>
  <si>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</si>
  <si>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</si>
  <si>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</si>
  <si>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</si>
  <si>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</si>
  <si>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</si>
  <si>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</si>
  <si>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</si>
  <si>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</si>
  <si>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</si>
  <si>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</si>
  <si>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</si>
  <si>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</si>
  <si>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</si>
  <si>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</si>
  <si>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</si>
  <si>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</si>
  <si>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</si>
  <si>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</si>
  <si>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</si>
  <si>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</si>
  <si>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</si>
  <si>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</si>
  <si>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</si>
  <si>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</si>
  <si>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</si>
  <si>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</si>
  <si>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</si>
  <si>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</si>
  <si>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</si>
  <si>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</si>
  <si>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</si>
  <si>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</si>
  <si>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</si>
  <si>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</si>
  <si>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</si>
  <si>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</si>
  <si>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</si>
  <si>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</si>
  <si>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</si>
  <si>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</si>
  <si>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</si>
  <si>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</si>
  <si>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</si>
  <si>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</si>
  <si>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</si>
  <si>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</si>
  <si>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</si>
  <si>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</si>
  <si>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</si>
  <si>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</si>
  <si>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</si>
  <si>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</si>
  <si>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</si>
  <si>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</si>
  <si>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</si>
  <si>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</si>
  <si>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</si>
  <si>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</si>
  <si>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</si>
  <si>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</si>
  <si>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</si>
  <si>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</si>
  <si>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</si>
  <si>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</si>
  <si>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</si>
  <si>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</si>
  <si>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</si>
  <si>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00378 - Soporte plegable de escritorio para celular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</si>
  <si>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</si>
  <si>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</si>
  <si>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</si>
  <si>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</si>
  <si>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</si>
  <si>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</si>
  <si>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</si>
  <si>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</si>
  <si>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</si>
  <si>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</si>
  <si>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</si>
  <si>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</si>
  <si>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</si>
  <si>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</si>
  <si>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</si>
  <si>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</si>
  <si>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</si>
  <si>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</si>
  <si>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</si>
  <si>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</si>
  <si>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</si>
  <si>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</si>
  <si>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</si>
  <si>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</si>
  <si>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</si>
  <si>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</si>
  <si>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</si>
  <si>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</si>
  <si>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</si>
  <si>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</si>
  <si>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</si>
  <si>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</si>
  <si>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</si>
  <si>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</si>
  <si>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</si>
  <si>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</si>
  <si>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</si>
  <si>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</si>
  <si>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</si>
  <si>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</si>
  <si>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</si>
  <si>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</si>
  <si>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</si>
  <si>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</si>
  <si>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</si>
  <si>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</si>
  <si>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</si>
  <si>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</si>
  <si>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</si>
  <si>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</si>
  <si>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</si>
  <si>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</si>
  <si>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</si>
  <si>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</si>
  <si>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LISTA DE PRECIOS Nº 7 / 2025 (En Pesos) - NO INCLUYE I.V.A. - JULIO - 2025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</si>
  <si>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</si>
  <si>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</si>
  <si>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</si>
  <si>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</si>
  <si>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</si>
  <si>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</si>
  <si>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00037 - Bombilla chata recta de acero inoxidable 17cm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</si>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</sst>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9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1" fontId="106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4" borderId="3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66" fillId="9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70" fillId="4" borderId="0" xfId="0" applyNumberFormat="1" applyFont="1" applyFill="1" applyBorder="1" applyAlignment="1">
      <alignment horizontal="center" vertical="center"/>
    </xf>
    <xf numFmtId="166" fontId="79" fillId="2" borderId="0" xfId="2" applyNumberFormat="1" applyFont="1" applyFill="1" applyBorder="1" applyAlignment="1" applyProtection="1">
      <alignment horizontal="center"/>
    </xf>
    <xf numFmtId="1" fontId="59" fillId="0" borderId="3" xfId="0" applyNumberFormat="1" applyFont="1" applyFill="1" applyBorder="1" applyAlignment="1">
      <alignment horizontal="center" vertical="center"/>
    </xf>
    <xf numFmtId="1" fontId="116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0" fillId="7" borderId="2" xfId="0" applyFill="1" applyBorder="1" applyAlignment="1"/>
    <xf numFmtId="0" fontId="0" fillId="7" borderId="4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7" borderId="3" xfId="0" applyFont="1" applyFill="1" applyBorder="1" applyAlignment="1"/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6" borderId="11" xfId="0" applyNumberFormat="1" applyFont="1" applyFill="1" applyBorder="1" applyAlignment="1"/>
    <xf numFmtId="0" fontId="66" fillId="9" borderId="1" xfId="0" applyFont="1" applyFill="1" applyBorder="1" applyAlignment="1">
      <alignment vertical="center"/>
    </xf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" fillId="7" borderId="3" xfId="0" applyFont="1" applyFill="1" applyBorder="1" applyAlignment="1"/>
    <xf numFmtId="2" fontId="5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0" fillId="4" borderId="5" xfId="0" applyFill="1" applyBorder="1" applyAlignment="1"/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18" fillId="21" borderId="3" xfId="0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0" fillId="21" borderId="3" xfId="0" applyFill="1" applyBorder="1" applyAlignment="1"/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0" fillId="4" borderId="3" xfId="0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0" fillId="7" borderId="5" xfId="0" applyFill="1" applyBorder="1" applyAlignment="1"/>
    <xf numFmtId="0" fontId="18" fillId="4" borderId="3" xfId="0" applyFont="1" applyFill="1" applyBorder="1" applyAlignment="1"/>
    <xf numFmtId="0" fontId="1" fillId="21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1" fillId="4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5" xfId="0" applyFont="1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84" fillId="7" borderId="3" xfId="0" applyFont="1" applyFill="1" applyBorder="1" applyAlignment="1">
      <alignment horizontal="left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5" fillId="4" borderId="18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7" borderId="3" xfId="0" applyNumberFormat="1" applyFill="1" applyBorder="1" applyAlignment="1"/>
    <xf numFmtId="2" fontId="0" fillId="4" borderId="3" xfId="0" applyNumberForma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2" fontId="17" fillId="4" borderId="11" xfId="0" applyNumberFormat="1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39" fillId="4" borderId="3" xfId="0" applyFont="1" applyFill="1" applyBorder="1" applyAlignment="1"/>
    <xf numFmtId="0" fontId="1" fillId="7" borderId="3" xfId="0" applyFont="1" applyFill="1" applyBorder="1" applyAlignment="1">
      <alignment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15" fillId="19" borderId="11" xfId="2" applyFont="1" applyFill="1" applyBorder="1" applyAlignment="1" applyProtection="1">
      <alignment horizontal="center" vertical="center" wrapText="1"/>
    </xf>
    <xf numFmtId="0" fontId="115" fillId="19" borderId="2" xfId="2" applyFont="1" applyFill="1" applyBorder="1" applyAlignment="1" applyProtection="1">
      <alignment horizontal="center" vertical="center" wrapText="1"/>
    </xf>
    <xf numFmtId="0" fontId="115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21" borderId="5" xfId="0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1" fillId="7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7" borderId="4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0" fontId="1" fillId="6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2" fontId="1" fillId="7" borderId="5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6" borderId="3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84" fillId="7" borderId="11" xfId="0" applyNumberFormat="1" applyFont="1" applyFill="1" applyBorder="1" applyAlignment="1"/>
    <xf numFmtId="2" fontId="1" fillId="4" borderId="5" xfId="0" applyNumberFormat="1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785</xdr:row>
      <xdr:rowOff>28575</xdr:rowOff>
    </xdr:from>
    <xdr:to>
      <xdr:col>1</xdr:col>
      <xdr:colOff>295275</xdr:colOff>
      <xdr:row>785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783</xdr:row>
      <xdr:rowOff>19050</xdr:rowOff>
    </xdr:from>
    <xdr:to>
      <xdr:col>1</xdr:col>
      <xdr:colOff>180975</xdr:colOff>
      <xdr:row>783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773</xdr:row>
      <xdr:rowOff>76200</xdr:rowOff>
    </xdr:from>
    <xdr:to>
      <xdr:col>8</xdr:col>
      <xdr:colOff>353861</xdr:colOff>
      <xdr:row>779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787</xdr:row>
      <xdr:rowOff>38100</xdr:rowOff>
    </xdr:from>
    <xdr:to>
      <xdr:col>1</xdr:col>
      <xdr:colOff>295275</xdr:colOff>
      <xdr:row>787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786</xdr:row>
      <xdr:rowOff>38100</xdr:rowOff>
    </xdr:from>
    <xdr:to>
      <xdr:col>1</xdr:col>
      <xdr:colOff>295275</xdr:colOff>
      <xdr:row>786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689</xdr:row>
      <xdr:rowOff>19050</xdr:rowOff>
    </xdr:from>
    <xdr:to>
      <xdr:col>1</xdr:col>
      <xdr:colOff>0</xdr:colOff>
      <xdr:row>689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19050</xdr:rowOff>
    </xdr:from>
    <xdr:to>
      <xdr:col>1</xdr:col>
      <xdr:colOff>0</xdr:colOff>
      <xdr:row>690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19050</xdr:rowOff>
    </xdr:from>
    <xdr:to>
      <xdr:col>1</xdr:col>
      <xdr:colOff>0</xdr:colOff>
      <xdr:row>691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28575</xdr:rowOff>
    </xdr:from>
    <xdr:to>
      <xdr:col>1</xdr:col>
      <xdr:colOff>0</xdr:colOff>
      <xdr:row>372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28575</xdr:rowOff>
    </xdr:from>
    <xdr:to>
      <xdr:col>1</xdr:col>
      <xdr:colOff>0</xdr:colOff>
      <xdr:row>230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28575</xdr:rowOff>
    </xdr:from>
    <xdr:to>
      <xdr:col>1</xdr:col>
      <xdr:colOff>0</xdr:colOff>
      <xdr:row>475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535</xdr:row>
      <xdr:rowOff>19050</xdr:rowOff>
    </xdr:from>
    <xdr:to>
      <xdr:col>24</xdr:col>
      <xdr:colOff>47625</xdr:colOff>
      <xdr:row>535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47625</xdr:colOff>
      <xdr:row>703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285</xdr:row>
      <xdr:rowOff>19050</xdr:rowOff>
    </xdr:from>
    <xdr:to>
      <xdr:col>26</xdr:col>
      <xdr:colOff>9524</xdr:colOff>
      <xdr:row>285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195</xdr:row>
      <xdr:rowOff>19050</xdr:rowOff>
    </xdr:from>
    <xdr:to>
      <xdr:col>26</xdr:col>
      <xdr:colOff>9524</xdr:colOff>
      <xdr:row>195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586037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498</xdr:row>
      <xdr:rowOff>19050</xdr:rowOff>
    </xdr:from>
    <xdr:to>
      <xdr:col>24</xdr:col>
      <xdr:colOff>47625</xdr:colOff>
      <xdr:row>498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671</xdr:row>
      <xdr:rowOff>19050</xdr:rowOff>
    </xdr:from>
    <xdr:to>
      <xdr:col>24</xdr:col>
      <xdr:colOff>47625</xdr:colOff>
      <xdr:row>671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697</xdr:row>
      <xdr:rowOff>19050</xdr:rowOff>
    </xdr:from>
    <xdr:to>
      <xdr:col>24</xdr:col>
      <xdr:colOff>47625</xdr:colOff>
      <xdr:row>697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28575</xdr:rowOff>
    </xdr:from>
    <xdr:to>
      <xdr:col>1</xdr:col>
      <xdr:colOff>0</xdr:colOff>
      <xdr:row>376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663</xdr:row>
      <xdr:rowOff>19050</xdr:rowOff>
    </xdr:from>
    <xdr:to>
      <xdr:col>24</xdr:col>
      <xdr:colOff>47625</xdr:colOff>
      <xdr:row>663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234</xdr:row>
      <xdr:rowOff>19050</xdr:rowOff>
    </xdr:from>
    <xdr:to>
      <xdr:col>26</xdr:col>
      <xdr:colOff>9524</xdr:colOff>
      <xdr:row>234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574</xdr:row>
      <xdr:rowOff>19050</xdr:rowOff>
    </xdr:from>
    <xdr:to>
      <xdr:col>24</xdr:col>
      <xdr:colOff>48389</xdr:colOff>
      <xdr:row>574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48389</xdr:colOff>
      <xdr:row>569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691</xdr:row>
      <xdr:rowOff>19050</xdr:rowOff>
    </xdr:from>
    <xdr:to>
      <xdr:col>10</xdr:col>
      <xdr:colOff>1</xdr:colOff>
      <xdr:row>691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685</xdr:row>
      <xdr:rowOff>19050</xdr:rowOff>
    </xdr:from>
    <xdr:to>
      <xdr:col>10</xdr:col>
      <xdr:colOff>1</xdr:colOff>
      <xdr:row>685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676</xdr:row>
      <xdr:rowOff>19050</xdr:rowOff>
    </xdr:from>
    <xdr:to>
      <xdr:col>10</xdr:col>
      <xdr:colOff>1</xdr:colOff>
      <xdr:row>676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677</xdr:row>
      <xdr:rowOff>19050</xdr:rowOff>
    </xdr:from>
    <xdr:to>
      <xdr:col>10</xdr:col>
      <xdr:colOff>1</xdr:colOff>
      <xdr:row>677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678</xdr:row>
      <xdr:rowOff>19050</xdr:rowOff>
    </xdr:from>
    <xdr:to>
      <xdr:col>10</xdr:col>
      <xdr:colOff>1</xdr:colOff>
      <xdr:row>678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732</xdr:row>
      <xdr:rowOff>19050</xdr:rowOff>
    </xdr:from>
    <xdr:to>
      <xdr:col>10</xdr:col>
      <xdr:colOff>1</xdr:colOff>
      <xdr:row>732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220</xdr:row>
      <xdr:rowOff>19050</xdr:rowOff>
    </xdr:from>
    <xdr:to>
      <xdr:col>10</xdr:col>
      <xdr:colOff>1</xdr:colOff>
      <xdr:row>220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684</xdr:row>
      <xdr:rowOff>19050</xdr:rowOff>
    </xdr:from>
    <xdr:to>
      <xdr:col>10</xdr:col>
      <xdr:colOff>1</xdr:colOff>
      <xdr:row>684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331</xdr:row>
      <xdr:rowOff>19050</xdr:rowOff>
    </xdr:from>
    <xdr:to>
      <xdr:col>25</xdr:col>
      <xdr:colOff>83819</xdr:colOff>
      <xdr:row>331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717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271</xdr:row>
      <xdr:rowOff>19050</xdr:rowOff>
    </xdr:from>
    <xdr:to>
      <xdr:col>24</xdr:col>
      <xdr:colOff>47624</xdr:colOff>
      <xdr:row>271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277</xdr:row>
      <xdr:rowOff>19050</xdr:rowOff>
    </xdr:from>
    <xdr:to>
      <xdr:col>26</xdr:col>
      <xdr:colOff>9524</xdr:colOff>
      <xdr:row>277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284</xdr:row>
      <xdr:rowOff>19050</xdr:rowOff>
    </xdr:from>
    <xdr:to>
      <xdr:col>26</xdr:col>
      <xdr:colOff>9524</xdr:colOff>
      <xdr:row>284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380</xdr:row>
      <xdr:rowOff>19050</xdr:rowOff>
    </xdr:from>
    <xdr:to>
      <xdr:col>26</xdr:col>
      <xdr:colOff>9524</xdr:colOff>
      <xdr:row>380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229</xdr:row>
      <xdr:rowOff>28575</xdr:rowOff>
    </xdr:from>
    <xdr:to>
      <xdr:col>1</xdr:col>
      <xdr:colOff>0</xdr:colOff>
      <xdr:row>229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704</xdr:row>
      <xdr:rowOff>19050</xdr:rowOff>
    </xdr:from>
    <xdr:to>
      <xdr:col>10</xdr:col>
      <xdr:colOff>1</xdr:colOff>
      <xdr:row>704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705</xdr:row>
      <xdr:rowOff>19050</xdr:rowOff>
    </xdr:from>
    <xdr:to>
      <xdr:col>10</xdr:col>
      <xdr:colOff>1</xdr:colOff>
      <xdr:row>705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706</xdr:row>
      <xdr:rowOff>19050</xdr:rowOff>
    </xdr:from>
    <xdr:to>
      <xdr:col>10</xdr:col>
      <xdr:colOff>1</xdr:colOff>
      <xdr:row>706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25</xdr:col>
      <xdr:colOff>74294</xdr:colOff>
      <xdr:row>338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599</xdr:row>
      <xdr:rowOff>19050</xdr:rowOff>
    </xdr:from>
    <xdr:to>
      <xdr:col>24</xdr:col>
      <xdr:colOff>75821</xdr:colOff>
      <xdr:row>599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522</xdr:row>
      <xdr:rowOff>19050</xdr:rowOff>
    </xdr:from>
    <xdr:to>
      <xdr:col>24</xdr:col>
      <xdr:colOff>75821</xdr:colOff>
      <xdr:row>522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201</xdr:row>
      <xdr:rowOff>19050</xdr:rowOff>
    </xdr:from>
    <xdr:to>
      <xdr:col>26</xdr:col>
      <xdr:colOff>9524</xdr:colOff>
      <xdr:row>201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286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19050</xdr:rowOff>
    </xdr:from>
    <xdr:to>
      <xdr:col>24</xdr:col>
      <xdr:colOff>47625</xdr:colOff>
      <xdr:row>573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323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513</xdr:row>
      <xdr:rowOff>19050</xdr:rowOff>
    </xdr:from>
    <xdr:to>
      <xdr:col>11</xdr:col>
      <xdr:colOff>9525</xdr:colOff>
      <xdr:row>513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514</xdr:row>
      <xdr:rowOff>19050</xdr:rowOff>
    </xdr:from>
    <xdr:to>
      <xdr:col>11</xdr:col>
      <xdr:colOff>9525</xdr:colOff>
      <xdr:row>514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515</xdr:row>
      <xdr:rowOff>19050</xdr:rowOff>
    </xdr:from>
    <xdr:to>
      <xdr:col>11</xdr:col>
      <xdr:colOff>9525</xdr:colOff>
      <xdr:row>515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516</xdr:row>
      <xdr:rowOff>19050</xdr:rowOff>
    </xdr:from>
    <xdr:to>
      <xdr:col>11</xdr:col>
      <xdr:colOff>9525</xdr:colOff>
      <xdr:row>516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519</xdr:row>
      <xdr:rowOff>19050</xdr:rowOff>
    </xdr:from>
    <xdr:to>
      <xdr:col>11</xdr:col>
      <xdr:colOff>9525</xdr:colOff>
      <xdr:row>519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281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560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571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572</xdr:row>
      <xdr:rowOff>19050</xdr:rowOff>
    </xdr:from>
    <xdr:to>
      <xdr:col>24</xdr:col>
      <xdr:colOff>48389</xdr:colOff>
      <xdr:row>572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422</xdr:row>
      <xdr:rowOff>16566</xdr:rowOff>
    </xdr:from>
    <xdr:to>
      <xdr:col>24</xdr:col>
      <xdr:colOff>46383</xdr:colOff>
      <xdr:row>422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387</xdr:row>
      <xdr:rowOff>16566</xdr:rowOff>
    </xdr:from>
    <xdr:to>
      <xdr:col>24</xdr:col>
      <xdr:colOff>46383</xdr:colOff>
      <xdr:row>387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298</xdr:row>
      <xdr:rowOff>16566</xdr:rowOff>
    </xdr:from>
    <xdr:to>
      <xdr:col>25</xdr:col>
      <xdr:colOff>82577</xdr:colOff>
      <xdr:row>298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762</xdr:row>
      <xdr:rowOff>19050</xdr:rowOff>
    </xdr:from>
    <xdr:to>
      <xdr:col>13</xdr:col>
      <xdr:colOff>1</xdr:colOff>
      <xdr:row>762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763</xdr:row>
      <xdr:rowOff>19050</xdr:rowOff>
    </xdr:from>
    <xdr:to>
      <xdr:col>13</xdr:col>
      <xdr:colOff>1</xdr:colOff>
      <xdr:row>763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764</xdr:row>
      <xdr:rowOff>19050</xdr:rowOff>
    </xdr:from>
    <xdr:to>
      <xdr:col>13</xdr:col>
      <xdr:colOff>1</xdr:colOff>
      <xdr:row>764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429</xdr:row>
      <xdr:rowOff>28575</xdr:rowOff>
    </xdr:from>
    <xdr:to>
      <xdr:col>1</xdr:col>
      <xdr:colOff>0</xdr:colOff>
      <xdr:row>429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47624</xdr:colOff>
      <xdr:row>331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426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49180</xdr:colOff>
      <xdr:row>691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49180</xdr:colOff>
      <xdr:row>690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49180</xdr:colOff>
      <xdr:row>689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49180</xdr:colOff>
      <xdr:row>732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735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725</xdr:row>
      <xdr:rowOff>19050</xdr:rowOff>
    </xdr:from>
    <xdr:to>
      <xdr:col>24</xdr:col>
      <xdr:colOff>49180</xdr:colOff>
      <xdr:row>725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637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634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716</xdr:row>
      <xdr:rowOff>19050</xdr:rowOff>
    </xdr:from>
    <xdr:to>
      <xdr:col>18</xdr:col>
      <xdr:colOff>9526</xdr:colOff>
      <xdr:row>716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226</xdr:row>
      <xdr:rowOff>19050</xdr:rowOff>
    </xdr:from>
    <xdr:to>
      <xdr:col>24</xdr:col>
      <xdr:colOff>47624</xdr:colOff>
      <xdr:row>226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314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341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388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390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47624</xdr:colOff>
      <xdr:row>501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47624</xdr:colOff>
      <xdr:row>500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28575</xdr:rowOff>
    </xdr:from>
    <xdr:to>
      <xdr:col>1</xdr:col>
      <xdr:colOff>0</xdr:colOff>
      <xdr:row>401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402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628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731</xdr:row>
      <xdr:rowOff>19050</xdr:rowOff>
    </xdr:from>
    <xdr:to>
      <xdr:col>24</xdr:col>
      <xdr:colOff>47624</xdr:colOff>
      <xdr:row>731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383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490</xdr:row>
      <xdr:rowOff>19050</xdr:rowOff>
    </xdr:from>
    <xdr:to>
      <xdr:col>24</xdr:col>
      <xdr:colOff>47624</xdr:colOff>
      <xdr:row>490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450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433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736</xdr:row>
      <xdr:rowOff>19050</xdr:rowOff>
    </xdr:from>
    <xdr:to>
      <xdr:col>24</xdr:col>
      <xdr:colOff>47625</xdr:colOff>
      <xdr:row>736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686</xdr:row>
      <xdr:rowOff>19050</xdr:rowOff>
    </xdr:from>
    <xdr:to>
      <xdr:col>26</xdr:col>
      <xdr:colOff>0</xdr:colOff>
      <xdr:row>686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47625</xdr:colOff>
      <xdr:row>733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688</xdr:row>
      <xdr:rowOff>19050</xdr:rowOff>
    </xdr:from>
    <xdr:to>
      <xdr:col>26</xdr:col>
      <xdr:colOff>0</xdr:colOff>
      <xdr:row>688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709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709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276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264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246</xdr:row>
      <xdr:rowOff>19050</xdr:rowOff>
    </xdr:from>
    <xdr:to>
      <xdr:col>26</xdr:col>
      <xdr:colOff>0</xdr:colOff>
      <xdr:row>246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248</xdr:row>
      <xdr:rowOff>28575</xdr:rowOff>
    </xdr:from>
    <xdr:to>
      <xdr:col>26</xdr:col>
      <xdr:colOff>0</xdr:colOff>
      <xdr:row>249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728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724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452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183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654</xdr:row>
      <xdr:rowOff>19050</xdr:rowOff>
    </xdr:from>
    <xdr:to>
      <xdr:col>24</xdr:col>
      <xdr:colOff>47624</xdr:colOff>
      <xdr:row>654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28575</xdr:rowOff>
    </xdr:from>
    <xdr:to>
      <xdr:col>1</xdr:col>
      <xdr:colOff>0</xdr:colOff>
      <xdr:row>386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382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491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247</xdr:row>
      <xdr:rowOff>28575</xdr:rowOff>
    </xdr:from>
    <xdr:to>
      <xdr:col>26</xdr:col>
      <xdr:colOff>0</xdr:colOff>
      <xdr:row>248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0</xdr:rowOff>
    </xdr:from>
    <xdr:to>
      <xdr:col>24</xdr:col>
      <xdr:colOff>48389</xdr:colOff>
      <xdr:row>574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28575</xdr:rowOff>
    </xdr:from>
    <xdr:to>
      <xdr:col>1</xdr:col>
      <xdr:colOff>0</xdr:colOff>
      <xdr:row>595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28575</xdr:rowOff>
    </xdr:from>
    <xdr:to>
      <xdr:col>1</xdr:col>
      <xdr:colOff>0</xdr:colOff>
      <xdr:row>604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321</xdr:row>
      <xdr:rowOff>28575</xdr:rowOff>
    </xdr:from>
    <xdr:to>
      <xdr:col>1</xdr:col>
      <xdr:colOff>0</xdr:colOff>
      <xdr:row>321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28575</xdr:rowOff>
    </xdr:from>
    <xdr:to>
      <xdr:col>1</xdr:col>
      <xdr:colOff>0</xdr:colOff>
      <xdr:row>314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28575</xdr:rowOff>
    </xdr:from>
    <xdr:to>
      <xdr:col>1</xdr:col>
      <xdr:colOff>0</xdr:colOff>
      <xdr:row>256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425</xdr:row>
      <xdr:rowOff>28575</xdr:rowOff>
    </xdr:from>
    <xdr:to>
      <xdr:col>1</xdr:col>
      <xdr:colOff>0</xdr:colOff>
      <xdr:row>425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28575</xdr:rowOff>
    </xdr:from>
    <xdr:to>
      <xdr:col>1</xdr:col>
      <xdr:colOff>0</xdr:colOff>
      <xdr:row>409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502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625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313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313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664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414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602</xdr:row>
      <xdr:rowOff>28575</xdr:rowOff>
    </xdr:from>
    <xdr:to>
      <xdr:col>1</xdr:col>
      <xdr:colOff>0</xdr:colOff>
      <xdr:row>602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28575</xdr:rowOff>
    </xdr:from>
    <xdr:to>
      <xdr:col>1</xdr:col>
      <xdr:colOff>0</xdr:colOff>
      <xdr:row>590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28575</xdr:rowOff>
    </xdr:from>
    <xdr:to>
      <xdr:col>1</xdr:col>
      <xdr:colOff>0</xdr:colOff>
      <xdr:row>627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58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675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675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484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6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293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483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730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727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727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28575</xdr:rowOff>
    </xdr:from>
    <xdr:to>
      <xdr:col>1</xdr:col>
      <xdr:colOff>0</xdr:colOff>
      <xdr:row>309</xdr:row>
      <xdr:rowOff>133350</xdr:rowOff>
    </xdr:to>
    <xdr:pic>
      <xdr:nvPicPr>
        <xdr:cNvPr id="162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655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328</xdr:row>
      <xdr:rowOff>28575</xdr:rowOff>
    </xdr:from>
    <xdr:to>
      <xdr:col>1</xdr:col>
      <xdr:colOff>0</xdr:colOff>
      <xdr:row>328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418</xdr:row>
      <xdr:rowOff>28575</xdr:rowOff>
    </xdr:from>
    <xdr:to>
      <xdr:col>1</xdr:col>
      <xdr:colOff>0</xdr:colOff>
      <xdr:row>418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28575</xdr:rowOff>
    </xdr:from>
    <xdr:to>
      <xdr:col>1</xdr:col>
      <xdr:colOff>0</xdr:colOff>
      <xdr:row>443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361</xdr:row>
      <xdr:rowOff>28575</xdr:rowOff>
    </xdr:from>
    <xdr:to>
      <xdr:col>1</xdr:col>
      <xdr:colOff>0</xdr:colOff>
      <xdr:row>361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645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591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458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28575</xdr:rowOff>
    </xdr:from>
    <xdr:to>
      <xdr:col>1</xdr:col>
      <xdr:colOff>0</xdr:colOff>
      <xdr:row>269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31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7" TargetMode="External"/><Relationship Id="rId531" Type="http://schemas.openxmlformats.org/officeDocument/2006/relationships/hyperlink" Target="https://www.jivi.com.ar/ficha.php?id=2007" TargetMode="External"/><Relationship Id="rId629" Type="http://schemas.openxmlformats.org/officeDocument/2006/relationships/hyperlink" Target="https://www.jivi.com.ar/ficha.php?id=2266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335" TargetMode="External"/><Relationship Id="rId475" Type="http://schemas.openxmlformats.org/officeDocument/2006/relationships/hyperlink" Target="https://www.jivi.com.ar/ficha.php?id=130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58" TargetMode="External"/><Relationship Id="rId542" Type="http://schemas.openxmlformats.org/officeDocument/2006/relationships/hyperlink" Target="https://www.jivi.com.ar/ficha.php?id=2026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35" TargetMode="External"/><Relationship Id="rId279" Type="http://schemas.openxmlformats.org/officeDocument/2006/relationships/hyperlink" Target="https://www.jivi.com.ar/ficha.php?id=1471" TargetMode="External"/><Relationship Id="rId486" Type="http://schemas.openxmlformats.org/officeDocument/2006/relationships/hyperlink" Target="https://www.jivi.com.ar/ficha.php?id=1070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08" TargetMode="External"/><Relationship Id="rId553" Type="http://schemas.openxmlformats.org/officeDocument/2006/relationships/hyperlink" Target="https://www.jivi.com.ar/ficha.php?id=1390" TargetMode="External"/><Relationship Id="rId192" Type="http://schemas.openxmlformats.org/officeDocument/2006/relationships/hyperlink" Target="https://www.jivi.com.ar/ficha.php?id=1268" TargetMode="External"/><Relationship Id="rId206" Type="http://schemas.openxmlformats.org/officeDocument/2006/relationships/hyperlink" Target="https://www.jivi.com.ar/ficha.php?id=1333" TargetMode="External"/><Relationship Id="rId413" Type="http://schemas.openxmlformats.org/officeDocument/2006/relationships/hyperlink" Target="https://www.jivi.com.ar/ficha.php?id=1667" TargetMode="External"/><Relationship Id="rId497" Type="http://schemas.openxmlformats.org/officeDocument/2006/relationships/hyperlink" Target="https://www.jivi.com.ar/ficha.php?id=149" TargetMode="External"/><Relationship Id="rId620" Type="http://schemas.openxmlformats.org/officeDocument/2006/relationships/hyperlink" Target="https://www.jivi.com.ar/ficha.php?id=2212" TargetMode="External"/><Relationship Id="rId357" Type="http://schemas.openxmlformats.org/officeDocument/2006/relationships/hyperlink" Target="https://www.jivi.com.ar/ficha.php?id=1294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78" TargetMode="External"/><Relationship Id="rId564" Type="http://schemas.openxmlformats.org/officeDocument/2006/relationships/hyperlink" Target="https://www.jivi.com.ar/ficha.php?id=2058" TargetMode="External"/><Relationship Id="rId424" Type="http://schemas.openxmlformats.org/officeDocument/2006/relationships/hyperlink" Target="https://www.jivi.com.ar/ficha.php?id=1699" TargetMode="External"/><Relationship Id="rId631" Type="http://schemas.openxmlformats.org/officeDocument/2006/relationships/hyperlink" Target="http://www.jivi.com.ar/ficha.php?id=1522" TargetMode="External"/><Relationship Id="rId270" Type="http://schemas.openxmlformats.org/officeDocument/2006/relationships/hyperlink" Target="https://www.jivi.com.ar/ficha.php?id=1354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6" TargetMode="External"/><Relationship Id="rId575" Type="http://schemas.openxmlformats.org/officeDocument/2006/relationships/hyperlink" Target="https://www.jivi.com.ar/ficha.php?id=1295" TargetMode="External"/><Relationship Id="rId228" Type="http://schemas.openxmlformats.org/officeDocument/2006/relationships/hyperlink" Target="https://www.jivi.com.ar/ficha.php?id=1394" TargetMode="External"/><Relationship Id="rId435" Type="http://schemas.openxmlformats.org/officeDocument/2006/relationships/hyperlink" Target="https://www.jivi.com.ar/ficha.php?id=1722" TargetMode="External"/><Relationship Id="rId642" Type="http://schemas.openxmlformats.org/officeDocument/2006/relationships/hyperlink" Target="https://www.jivi.com.ar/ficha.php?id=2275" TargetMode="External"/><Relationship Id="rId281" Type="http://schemas.openxmlformats.org/officeDocument/2006/relationships/hyperlink" Target="htthttps://www.jivi.com.ar/ficha.php?id=1476" TargetMode="External"/><Relationship Id="rId502" Type="http://schemas.openxmlformats.org/officeDocument/2006/relationships/hyperlink" Target="https://www.jivi.com.ar/ficha.php?id=666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599" TargetMode="External"/><Relationship Id="rId586" Type="http://schemas.openxmlformats.org/officeDocument/2006/relationships/hyperlink" Target="https://www.jivi.com.ar/ficha.php?id=1299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376" TargetMode="External"/><Relationship Id="rId446" Type="http://schemas.openxmlformats.org/officeDocument/2006/relationships/hyperlink" Target="https://www.jivi.com.ar/ficha.php?id=1740" TargetMode="External"/><Relationship Id="rId653" Type="http://schemas.openxmlformats.org/officeDocument/2006/relationships/hyperlink" Target="https://www.jivi.com.ar/ficha.php?id=2291" TargetMode="External"/><Relationship Id="rId292" Type="http://schemas.openxmlformats.org/officeDocument/2006/relationships/hyperlink" Target="https://www.jivi.com.ar/ficha.php?id=1492" TargetMode="External"/><Relationship Id="rId306" Type="http://schemas.openxmlformats.org/officeDocument/2006/relationships/hyperlink" Target="https://www.jivi.com.ar/ficha.php?id=1508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380" TargetMode="External"/><Relationship Id="rId597" Type="http://schemas.openxmlformats.org/officeDocument/2006/relationships/hyperlink" Target="https://www.jivi.com.ar/ficha.php?id=2171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750" TargetMode="External"/><Relationship Id="rId664" Type="http://schemas.openxmlformats.org/officeDocument/2006/relationships/hyperlink" Target="https://www.jivi.com.ar/ficha.php?id=2302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5" TargetMode="External"/><Relationship Id="rId524" Type="http://schemas.openxmlformats.org/officeDocument/2006/relationships/hyperlink" Target="https://www.jivi.com.ar/ficha.php?id=1998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88" TargetMode="External"/><Relationship Id="rId230" Type="http://schemas.openxmlformats.org/officeDocument/2006/relationships/hyperlink" Target="https://www.jivi.com.ar/ficha.php?id=1399" TargetMode="External"/><Relationship Id="rId468" Type="http://schemas.openxmlformats.org/officeDocument/2006/relationships/hyperlink" Target="https://www.jivi.com.ar/ficha.php?id=1736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1" TargetMode="External"/><Relationship Id="rId535" Type="http://schemas.openxmlformats.org/officeDocument/2006/relationships/hyperlink" Target="https://www.jivi.com.ar/ficha.php?id=2010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3" TargetMode="External"/><Relationship Id="rId602" Type="http://schemas.openxmlformats.org/officeDocument/2006/relationships/hyperlink" Target="https://www.jivi.com.ar/ficha.php?id=1454" TargetMode="External"/><Relationship Id="rId241" Type="http://schemas.openxmlformats.org/officeDocument/2006/relationships/hyperlink" Target="https://www.jivi.com.ar/ficha.php?id=1393" TargetMode="External"/><Relationship Id="rId479" Type="http://schemas.openxmlformats.org/officeDocument/2006/relationships/hyperlink" Target="https://www.jivi.com.ar/ficha.php?id=144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066" TargetMode="External"/><Relationship Id="rId546" Type="http://schemas.openxmlformats.org/officeDocument/2006/relationships/hyperlink" Target="https://www.jivi.com.ar/ficha.php?id=2035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44" TargetMode="External"/><Relationship Id="rId392" Type="http://schemas.openxmlformats.org/officeDocument/2006/relationships/hyperlink" Target="https://www.jivi.com.ar/ficha.php?id=1612" TargetMode="External"/><Relationship Id="rId613" Type="http://schemas.openxmlformats.org/officeDocument/2006/relationships/hyperlink" Target="https://www.jivi.com.ar/ficha.php?id=2205" TargetMode="External"/><Relationship Id="rId252" Type="http://schemas.openxmlformats.org/officeDocument/2006/relationships/hyperlink" Target="https://www.jivi.com.ar/ficha.php?id=1421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1410" TargetMode="External"/><Relationship Id="rId196" Type="http://schemas.openxmlformats.org/officeDocument/2006/relationships/hyperlink" Target="https://www.jivi.com.ar/ficha.php?id=1607" TargetMode="External"/><Relationship Id="rId417" Type="http://schemas.openxmlformats.org/officeDocument/2006/relationships/hyperlink" Target="https://www.jivi.com.ar/ficha.php?id=1672" TargetMode="External"/><Relationship Id="rId624" Type="http://schemas.openxmlformats.org/officeDocument/2006/relationships/hyperlink" Target="https://www.jivi.com.ar/ficha.php?id=2216" TargetMode="External"/><Relationship Id="rId263" Type="http://schemas.openxmlformats.org/officeDocument/2006/relationships/hyperlink" Target="https://www.jivi.com.ar/ficha.php?id=1442" TargetMode="External"/><Relationship Id="rId470" Type="http://schemas.openxmlformats.org/officeDocument/2006/relationships/hyperlink" Target="https://www.jivi.com.ar/ficha.php?id=178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311" TargetMode="External"/><Relationship Id="rId568" Type="http://schemas.openxmlformats.org/officeDocument/2006/relationships/hyperlink" Target="https://www.jivi.com.ar/ficha.php?id=2061" TargetMode="External"/><Relationship Id="rId428" Type="http://schemas.openxmlformats.org/officeDocument/2006/relationships/hyperlink" Target="https://www.jivi.com.ar/ficha.php?id=1528" TargetMode="External"/><Relationship Id="rId635" Type="http://schemas.openxmlformats.org/officeDocument/2006/relationships/hyperlink" Target="https://www.jivi.com.ar/ficha.php?id=914" TargetMode="External"/><Relationship Id="rId274" Type="http://schemas.openxmlformats.org/officeDocument/2006/relationships/hyperlink" Target="https://www.jivi.com.ar/ficha.php?id=1323" TargetMode="External"/><Relationship Id="rId481" Type="http://schemas.openxmlformats.org/officeDocument/2006/relationships/hyperlink" Target="https://www.jivi.com.ar/ficha.php?id=1128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1266" TargetMode="External"/><Relationship Id="rId341" Type="http://schemas.openxmlformats.org/officeDocument/2006/relationships/hyperlink" Target="https://www.jivi.com.ar/ficha.php?id=1563" TargetMode="External"/><Relationship Id="rId439" Type="http://schemas.openxmlformats.org/officeDocument/2006/relationships/hyperlink" Target="https://www.jivi.com.ar/ficha.php?id=1728" TargetMode="External"/><Relationship Id="rId646" Type="http://schemas.openxmlformats.org/officeDocument/2006/relationships/hyperlink" Target="https://www.jivi.com.ar/ficha.php?id=2281" TargetMode="External"/><Relationship Id="rId201" Type="http://schemas.openxmlformats.org/officeDocument/2006/relationships/hyperlink" Target="https://www.jivi.com.ar/ficha.php?id=1287" TargetMode="External"/><Relationship Id="rId285" Type="http://schemas.openxmlformats.org/officeDocument/2006/relationships/hyperlink" Target="https://www.jivi.com.ar/ficha.php?id=1478" TargetMode="External"/><Relationship Id="rId506" Type="http://schemas.openxmlformats.org/officeDocument/2006/relationships/hyperlink" Target="https://www.jivi.com.ar/ficha.php?id=1520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16" TargetMode="External"/><Relationship Id="rId492" Type="http://schemas.openxmlformats.org/officeDocument/2006/relationships/hyperlink" Target="https://www.jivi.com.ar/ficha.php?id=1544" TargetMode="External"/><Relationship Id="rId548" Type="http://schemas.openxmlformats.org/officeDocument/2006/relationships/hyperlink" Target="https://www.jivi.com.ar/ficha.php?id=1662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1094" TargetMode="External"/><Relationship Id="rId187" Type="http://schemas.openxmlformats.org/officeDocument/2006/relationships/hyperlink" Target="https://www.jivi.com.ar/ficha.php?id=1248" TargetMode="External"/><Relationship Id="rId352" Type="http://schemas.openxmlformats.org/officeDocument/2006/relationships/hyperlink" Target="https://www.jivi.com.ar/ficha.php?id=1570" TargetMode="External"/><Relationship Id="rId394" Type="http://schemas.openxmlformats.org/officeDocument/2006/relationships/hyperlink" Target="https://www.jivi.com.ar/ficha.php?id=1452" TargetMode="External"/><Relationship Id="rId408" Type="http://schemas.openxmlformats.org/officeDocument/2006/relationships/hyperlink" Target="https://www.jivi.com.ar/ficha.php?id=1640" TargetMode="External"/><Relationship Id="rId615" Type="http://schemas.openxmlformats.org/officeDocument/2006/relationships/hyperlink" Target="https://www.jivi.com.ar/ficha.php?id=2207" TargetMode="External"/><Relationship Id="rId212" Type="http://schemas.openxmlformats.org/officeDocument/2006/relationships/hyperlink" Target="https://www.jivi.com.ar/ficha.php?id=1365" TargetMode="External"/><Relationship Id="rId254" Type="http://schemas.openxmlformats.org/officeDocument/2006/relationships/hyperlink" Target="https://www.jivi.com.ar/ficha.php?id=1423" TargetMode="External"/><Relationship Id="rId657" Type="http://schemas.openxmlformats.org/officeDocument/2006/relationships/hyperlink" Target="https://www.jivi.com.ar/ficha.php?id=2295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496" TargetMode="External"/><Relationship Id="rId461" Type="http://schemas.openxmlformats.org/officeDocument/2006/relationships/hyperlink" Target="https://www.jivi.com.ar/ficha.php?id=1310" TargetMode="External"/><Relationship Id="rId517" Type="http://schemas.openxmlformats.org/officeDocument/2006/relationships/hyperlink" Target="https://www.jivi.com.ar/ficha.php?id=1579" TargetMode="External"/><Relationship Id="rId559" Type="http://schemas.openxmlformats.org/officeDocument/2006/relationships/hyperlink" Target="https://www.jivi.com.ar/ficha.php?id=1433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3" TargetMode="External"/><Relationship Id="rId321" Type="http://schemas.openxmlformats.org/officeDocument/2006/relationships/hyperlink" Target="https://www.jivi.com.ar/ficha.php?id=1541" TargetMode="External"/><Relationship Id="rId363" Type="http://schemas.openxmlformats.org/officeDocument/2006/relationships/hyperlink" Target="https://www.jivi.com.ar/ficha.php?id=1576" TargetMode="External"/><Relationship Id="rId419" Type="http://schemas.openxmlformats.org/officeDocument/2006/relationships/hyperlink" Target="https://www.jivi.com.ar/ficha.php?id=1691" TargetMode="External"/><Relationship Id="rId570" Type="http://schemas.openxmlformats.org/officeDocument/2006/relationships/hyperlink" Target="https://www.jivi.com.ar/ficha.php?id=1369" TargetMode="External"/><Relationship Id="rId626" Type="http://schemas.openxmlformats.org/officeDocument/2006/relationships/hyperlink" Target="https://www.jivi.com.ar/ficha.php?id=2234" TargetMode="External"/><Relationship Id="rId223" Type="http://schemas.openxmlformats.org/officeDocument/2006/relationships/hyperlink" Target="https://www.jivi.com.ar/ficha.php?id=1387" TargetMode="External"/><Relationship Id="rId430" Type="http://schemas.openxmlformats.org/officeDocument/2006/relationships/hyperlink" Target="https://www.jivi.com.ar/ficha.php?id=977" TargetMode="External"/><Relationship Id="rId668" Type="http://schemas.openxmlformats.org/officeDocument/2006/relationships/hyperlink" Target="https://www.jivi.com.ar/ficha.php?id=2308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216" TargetMode="External"/><Relationship Id="rId472" Type="http://schemas.openxmlformats.org/officeDocument/2006/relationships/hyperlink" Target="https://www.jivi.com.ar/ficha.php?id=1340" TargetMode="External"/><Relationship Id="rId528" Type="http://schemas.openxmlformats.org/officeDocument/2006/relationships/hyperlink" Target="https://www.jivi.com.ar/ficha.php?id=1577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4" TargetMode="External"/><Relationship Id="rId374" Type="http://schemas.openxmlformats.org/officeDocument/2006/relationships/hyperlink" Target="https://www.jivi.com.ar/ficha.php?id=1592" TargetMode="External"/><Relationship Id="rId581" Type="http://schemas.openxmlformats.org/officeDocument/2006/relationships/hyperlink" Target="https://www.jivi.com.ar/ficha.php?id=2085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392" TargetMode="External"/><Relationship Id="rId637" Type="http://schemas.openxmlformats.org/officeDocument/2006/relationships/hyperlink" Target="https://www.jivi.com.ar/ficha.php?id=227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3" TargetMode="External"/><Relationship Id="rId441" Type="http://schemas.openxmlformats.org/officeDocument/2006/relationships/hyperlink" Target="https://www.jivi.com.ar/ficha.php?id=1730" TargetMode="External"/><Relationship Id="rId483" Type="http://schemas.openxmlformats.org/officeDocument/2006/relationships/hyperlink" Target="https://www.jivi.com.ar/ficha.php?id=1804" TargetMode="External"/><Relationship Id="rId539" Type="http://schemas.openxmlformats.org/officeDocument/2006/relationships/hyperlink" Target="https://www.jivi.com.ar/ficha.php?id=2017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2" TargetMode="External"/><Relationship Id="rId343" Type="http://schemas.openxmlformats.org/officeDocument/2006/relationships/hyperlink" Target="https://www.jivi.com.ar/ficha.php?id=790" TargetMode="External"/><Relationship Id="rId550" Type="http://schemas.openxmlformats.org/officeDocument/2006/relationships/hyperlink" Target="https://www.jivi.com.ar/ficha.php?id=248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14" TargetMode="External"/><Relationship Id="rId385" Type="http://schemas.openxmlformats.org/officeDocument/2006/relationships/hyperlink" Target="https://www.jivi.com.ar/ficha.php?id=1424" TargetMode="External"/><Relationship Id="rId592" Type="http://schemas.openxmlformats.org/officeDocument/2006/relationships/hyperlink" Target="https://www.jivi.com.ar/ficha.php?id=2147" TargetMode="External"/><Relationship Id="rId606" Type="http://schemas.openxmlformats.org/officeDocument/2006/relationships/hyperlink" Target="https://www.jivi.com.ar/ficha.php?id=2227" TargetMode="External"/><Relationship Id="rId648" Type="http://schemas.openxmlformats.org/officeDocument/2006/relationships/hyperlink" Target="https://www.jivi.com.ar/ficha.php?id=2286" TargetMode="External"/><Relationship Id="rId245" Type="http://schemas.openxmlformats.org/officeDocument/2006/relationships/hyperlink" Target="https://www.jivi.com.ar/ficha.php?id=1356" TargetMode="External"/><Relationship Id="rId287" Type="http://schemas.openxmlformats.org/officeDocument/2006/relationships/hyperlink" Target="https://www.jivi.com.ar/ficha.php?id=1480" TargetMode="External"/><Relationship Id="rId410" Type="http://schemas.openxmlformats.org/officeDocument/2006/relationships/hyperlink" Target="https://www.jivi.com.ar/ficha.php?id=1660" TargetMode="External"/><Relationship Id="rId452" Type="http://schemas.openxmlformats.org/officeDocument/2006/relationships/hyperlink" Target="https://www.jivi.com.ar/ficha.php?id=1746" TargetMode="External"/><Relationship Id="rId494" Type="http://schemas.openxmlformats.org/officeDocument/2006/relationships/hyperlink" Target="https://www.jivi.com.ar/ficha.php?id=1556" TargetMode="External"/><Relationship Id="rId508" Type="http://schemas.openxmlformats.org/officeDocument/2006/relationships/hyperlink" Target="https://www.jivi.com.ar/ficha.php?id=1443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23" TargetMode="External"/><Relationship Id="rId354" Type="http://schemas.openxmlformats.org/officeDocument/2006/relationships/hyperlink" Target="https://www.jivi.com.ar/ficha.php?id=1518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618" TargetMode="External"/><Relationship Id="rId561" Type="http://schemas.openxmlformats.org/officeDocument/2006/relationships/hyperlink" Target="https://www.jivi.com.ar/ficha.php?id=2051" TargetMode="External"/><Relationship Id="rId617" Type="http://schemas.openxmlformats.org/officeDocument/2006/relationships/hyperlink" Target="https://www.jivi.com.ar/ficha.php?id=2209" TargetMode="External"/><Relationship Id="rId659" Type="http://schemas.openxmlformats.org/officeDocument/2006/relationships/hyperlink" Target="https://www.jivi.com.ar/ficha.php?id=2297" TargetMode="External"/><Relationship Id="rId214" Type="http://schemas.openxmlformats.org/officeDocument/2006/relationships/hyperlink" Target="https://www.jivi.com.ar/registro.php" TargetMode="External"/><Relationship Id="rId256" Type="http://schemas.openxmlformats.org/officeDocument/2006/relationships/hyperlink" Target="https://www.jivi.com.ar/ficha.php?id=1426" TargetMode="External"/><Relationship Id="rId298" Type="http://schemas.openxmlformats.org/officeDocument/2006/relationships/hyperlink" Target="httphttps://www.jivi.com.ar/ficha.php?id=1498" TargetMode="External"/><Relationship Id="rId421" Type="http://schemas.openxmlformats.org/officeDocument/2006/relationships/hyperlink" Target="https://www.jivi.com.ar/ficha.php?id=36" TargetMode="External"/><Relationship Id="rId463" Type="http://schemas.openxmlformats.org/officeDocument/2006/relationships/hyperlink" Target="https://www.jivi.com.ar/ficha.php?id=76" TargetMode="External"/><Relationship Id="rId519" Type="http://schemas.openxmlformats.org/officeDocument/2006/relationships/hyperlink" Target="https://www.jivi.com.ar/ficha.php?id=1911" TargetMode="External"/><Relationship Id="rId670" Type="http://schemas.openxmlformats.org/officeDocument/2006/relationships/hyperlink" Target="https://www.jivi.com.ar/ficha.php?id=2312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1545" TargetMode="External"/><Relationship Id="rId530" Type="http://schemas.openxmlformats.org/officeDocument/2006/relationships/hyperlink" Target="https://www.jivi.com.ar/ficha.php?id=2003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1" TargetMode="External"/><Relationship Id="rId572" Type="http://schemas.openxmlformats.org/officeDocument/2006/relationships/hyperlink" Target="https://www.jivi.com.ar/ficha.php?id=2066" TargetMode="External"/><Relationship Id="rId628" Type="http://schemas.openxmlformats.org/officeDocument/2006/relationships/hyperlink" Target="https://www.jivi.com.ar/ficha.php?id=2262" TargetMode="External"/><Relationship Id="rId225" Type="http://schemas.openxmlformats.org/officeDocument/2006/relationships/hyperlink" Target="https://www.jivi.com.ar/ficha.php?id=363" TargetMode="External"/><Relationship Id="rId267" Type="http://schemas.openxmlformats.org/officeDocument/2006/relationships/hyperlink" Target="https://www.jivi.com.ar/ficha.php?id=1334" TargetMode="External"/><Relationship Id="rId432" Type="http://schemas.openxmlformats.org/officeDocument/2006/relationships/hyperlink" Target="https://www.jivi.com.ar/ficha.php?id=1456" TargetMode="External"/><Relationship Id="rId474" Type="http://schemas.openxmlformats.org/officeDocument/2006/relationships/hyperlink" Target="https://www.jivi.com.ar/ficha.php?id=1487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1557" TargetMode="External"/><Relationship Id="rId376" Type="http://schemas.openxmlformats.org/officeDocument/2006/relationships/hyperlink" Target="https://www.jivi.com.ar/ficha.php?id=1595" TargetMode="External"/><Relationship Id="rId541" Type="http://schemas.openxmlformats.org/officeDocument/2006/relationships/hyperlink" Target="https://www.jivi.com.ar/ficha.php?id=1339" TargetMode="External"/><Relationship Id="rId583" Type="http://schemas.openxmlformats.org/officeDocument/2006/relationships/hyperlink" Target="https://www.jivi.com.ar/ficha.php?id=333" TargetMode="External"/><Relationship Id="rId639" Type="http://schemas.openxmlformats.org/officeDocument/2006/relationships/hyperlink" Target="https://www.jivi.com.ar/ficha.php?id=1656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1110" TargetMode="External"/><Relationship Id="rId278" Type="http://schemas.openxmlformats.org/officeDocument/2006/relationships/hyperlink" Target="https://www.jivi.com.ar/ficha.php?id=1467" TargetMode="External"/><Relationship Id="rId401" Type="http://schemas.openxmlformats.org/officeDocument/2006/relationships/hyperlink" Target="https://www.jivi.com.ar/ficha.php?id=1634" TargetMode="External"/><Relationship Id="rId443" Type="http://schemas.openxmlformats.org/officeDocument/2006/relationships/hyperlink" Target="https://www.jivi.com.ar/ficha.php?id=1732" TargetMode="External"/><Relationship Id="rId650" Type="http://schemas.openxmlformats.org/officeDocument/2006/relationships/hyperlink" Target="https://www.jivi.com.ar/ficha.php?id=2288" TargetMode="External"/><Relationship Id="rId303" Type="http://schemas.openxmlformats.org/officeDocument/2006/relationships/hyperlink" Target="https://www.jivi.com.ar/ficha.php?id=1505" TargetMode="External"/><Relationship Id="rId485" Type="http://schemas.openxmlformats.org/officeDocument/2006/relationships/hyperlink" Target="https://www.jivi.com.ar/ficha.php?id=1342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409" TargetMode="External"/><Relationship Id="rId387" Type="http://schemas.openxmlformats.org/officeDocument/2006/relationships/hyperlink" Target="https://www.jivi.com.ar/ficha.php?id=1459" TargetMode="External"/><Relationship Id="rId510" Type="http://schemas.openxmlformats.org/officeDocument/2006/relationships/hyperlink" Target="https://www.jivi.com.ar/ficha.php?id=1733" TargetMode="External"/><Relationship Id="rId552" Type="http://schemas.openxmlformats.org/officeDocument/2006/relationships/hyperlink" Target="https://www.jivi.com.ar/ficha.php?id=2043" TargetMode="External"/><Relationship Id="rId594" Type="http://schemas.openxmlformats.org/officeDocument/2006/relationships/hyperlink" Target="https://www.jivi.com.ar/ficha.php?id=1403" TargetMode="External"/><Relationship Id="rId608" Type="http://schemas.openxmlformats.org/officeDocument/2006/relationships/hyperlink" Target="https://www.jivi.com.ar/ficha.php?id=1778" TargetMode="External"/><Relationship Id="rId191" Type="http://schemas.openxmlformats.org/officeDocument/2006/relationships/hyperlink" Target="https://www.jivi.com.ar/ficha.php?id=1267" TargetMode="External"/><Relationship Id="rId205" Type="http://schemas.openxmlformats.org/officeDocument/2006/relationships/hyperlink" Target="https://www.jivi.com.ar/ficha.php?id=1344" TargetMode="External"/><Relationship Id="rId247" Type="http://schemas.openxmlformats.org/officeDocument/2006/relationships/hyperlink" Target="https://www.jivi.com.ar/ficha.php?id=1353" TargetMode="External"/><Relationship Id="rId412" Type="http://schemas.openxmlformats.org/officeDocument/2006/relationships/hyperlink" Target="https://www.jivi.com.ar/ficha.php?id=1666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3" TargetMode="External"/><Relationship Id="rId454" Type="http://schemas.openxmlformats.org/officeDocument/2006/relationships/hyperlink" Target="https://www.jivi.com.ar/ficha.php?id=1748" TargetMode="External"/><Relationship Id="rId496" Type="http://schemas.openxmlformats.org/officeDocument/2006/relationships/hyperlink" Target="https://www.jivi.com.ar/ficha.php?id=1491" TargetMode="External"/><Relationship Id="rId661" Type="http://schemas.openxmlformats.org/officeDocument/2006/relationships/hyperlink" Target="https://www.jivi.com.ar/ficha.php?id=2299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27" TargetMode="External"/><Relationship Id="rId356" Type="http://schemas.openxmlformats.org/officeDocument/2006/relationships/hyperlink" Target="https://www.jivi.com.ar/ficha.php?id=1573" TargetMode="External"/><Relationship Id="rId398" Type="http://schemas.openxmlformats.org/officeDocument/2006/relationships/hyperlink" Target="https://www.jivi.com.ar/ficha.php?id=1620" TargetMode="External"/><Relationship Id="rId521" Type="http://schemas.openxmlformats.org/officeDocument/2006/relationships/hyperlink" Target="https://www.jivi.com.ar/ficha.php?id=1912" TargetMode="External"/><Relationship Id="rId563" Type="http://schemas.openxmlformats.org/officeDocument/2006/relationships/hyperlink" Target="https://www.jivi.com.ar/ficha.php?id=2053" TargetMode="External"/><Relationship Id="rId619" Type="http://schemas.openxmlformats.org/officeDocument/2006/relationships/hyperlink" Target="https://www.jivi.com.ar/ficha.php?id=2211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72" TargetMode="External"/><Relationship Id="rId423" Type="http://schemas.openxmlformats.org/officeDocument/2006/relationships/hyperlink" Target="https://www.jivi.com.ar/ficha.php?id=1698" TargetMode="External"/><Relationship Id="rId258" Type="http://schemas.openxmlformats.org/officeDocument/2006/relationships/hyperlink" Target="https://www.jivi.com.ar/ficha.php?id=1432" TargetMode="External"/><Relationship Id="rId465" Type="http://schemas.openxmlformats.org/officeDocument/2006/relationships/hyperlink" Target="https://www.jivi.com.ar/ficha.php?id=2202" TargetMode="External"/><Relationship Id="rId630" Type="http://schemas.openxmlformats.org/officeDocument/2006/relationships/hyperlink" Target="https://www.jivi.com.ar/ficha.php?id=2268" TargetMode="External"/><Relationship Id="rId672" Type="http://schemas.openxmlformats.org/officeDocument/2006/relationships/hyperlink" Target="https://www.jivi.com.ar/ficha.php?id=2313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981" TargetMode="External"/><Relationship Id="rId367" Type="http://schemas.openxmlformats.org/officeDocument/2006/relationships/hyperlink" Target="https://www.jivi.com.ar/ficha.php?id=1584" TargetMode="External"/><Relationship Id="rId532" Type="http://schemas.openxmlformats.org/officeDocument/2006/relationships/hyperlink" Target="https://www.jivi.com.ar/ficha.php?id=1258" TargetMode="External"/><Relationship Id="rId574" Type="http://schemas.openxmlformats.org/officeDocument/2006/relationships/hyperlink" Target="https://www.jivi.com.ar/ficha.php?id=2068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1343" TargetMode="External"/><Relationship Id="rId269" Type="http://schemas.openxmlformats.org/officeDocument/2006/relationships/hyperlink" Target="https://www.jivi.com.ar/ficha.php?id=1446" TargetMode="External"/><Relationship Id="rId434" Type="http://schemas.openxmlformats.org/officeDocument/2006/relationships/hyperlink" Target="https://www.jivi.com.ar/ficha.php?id=1708" TargetMode="External"/><Relationship Id="rId476" Type="http://schemas.openxmlformats.org/officeDocument/2006/relationships/hyperlink" Target="https://www.jivi.com.ar/ficha.php?id=1186" TargetMode="External"/><Relationship Id="rId641" Type="http://schemas.openxmlformats.org/officeDocument/2006/relationships/hyperlink" Target="https://www.jivi.com.ar/ficha.php?id=2276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1472" TargetMode="External"/><Relationship Id="rId336" Type="http://schemas.openxmlformats.org/officeDocument/2006/relationships/hyperlink" Target="https://www.jivi.com.ar/ficha.php?id=518" TargetMode="External"/><Relationship Id="rId501" Type="http://schemas.openxmlformats.org/officeDocument/2006/relationships/hyperlink" Target="https://www.jivi.com.ar/ficha.php?id=1152" TargetMode="External"/><Relationship Id="rId543" Type="http://schemas.openxmlformats.org/officeDocument/2006/relationships/hyperlink" Target="https://www.jivi.com.ar/ficha.php?id=335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598" TargetMode="External"/><Relationship Id="rId403" Type="http://schemas.openxmlformats.org/officeDocument/2006/relationships/hyperlink" Target="https://www.jivi.com.ar/ficha.php?id=968" TargetMode="External"/><Relationship Id="rId585" Type="http://schemas.openxmlformats.org/officeDocument/2006/relationships/hyperlink" Target="https://www.jivi.com.ar/ficha.php?id=178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477" TargetMode="External"/><Relationship Id="rId445" Type="http://schemas.openxmlformats.org/officeDocument/2006/relationships/hyperlink" Target="https://www.jivi.com.ar/ficha.php?id=1738" TargetMode="External"/><Relationship Id="rId487" Type="http://schemas.openxmlformats.org/officeDocument/2006/relationships/hyperlink" Target="https://www.jivi.com.ar/ficha.php?id=1377" TargetMode="External"/><Relationship Id="rId610" Type="http://schemas.openxmlformats.org/officeDocument/2006/relationships/hyperlink" Target="https://www.jivi.com.ar/ficha.php?id=2222" TargetMode="External"/><Relationship Id="rId652" Type="http://schemas.openxmlformats.org/officeDocument/2006/relationships/hyperlink" Target="https://www.jivi.com.ar/ficha.php?id=2290" TargetMode="External"/><Relationship Id="rId291" Type="http://schemas.openxmlformats.org/officeDocument/2006/relationships/hyperlink" Target="https://www.jivi.com.ar/ficha.php?id=1488" TargetMode="External"/><Relationship Id="rId305" Type="http://schemas.openxmlformats.org/officeDocument/2006/relationships/hyperlink" Target="https://www.jivi.com.ar/ficha.php?id=1507" TargetMode="External"/><Relationship Id="rId347" Type="http://schemas.openxmlformats.org/officeDocument/2006/relationships/hyperlink" Target="https://www.jivi.com.ar/ficha.php?id=1564" TargetMode="External"/><Relationship Id="rId512" Type="http://schemas.openxmlformats.org/officeDocument/2006/relationships/hyperlink" Target="https://www.jivi.com.ar/ficha.php?id=1379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09" TargetMode="External"/><Relationship Id="rId554" Type="http://schemas.openxmlformats.org/officeDocument/2006/relationships/hyperlink" Target="https://www.jivi.com.ar/ficha.php?id=1280" TargetMode="External"/><Relationship Id="rId596" Type="http://schemas.openxmlformats.org/officeDocument/2006/relationships/hyperlink" Target="https://www.jivi.com.ar/ficha.php?id=2170" TargetMode="External"/><Relationship Id="rId193" Type="http://schemas.openxmlformats.org/officeDocument/2006/relationships/hyperlink" Target="https://www.jivi.com.ar/ficha.php?id=1277" TargetMode="External"/><Relationship Id="rId207" Type="http://schemas.openxmlformats.org/officeDocument/2006/relationships/hyperlink" Target="https://www.jivi.com.ar/ficha.php?id=1346" TargetMode="External"/><Relationship Id="rId249" Type="http://schemas.openxmlformats.org/officeDocument/2006/relationships/hyperlink" Target="https://www.jivi.com.ar/ficha.php?id=1418" TargetMode="External"/><Relationship Id="rId414" Type="http://schemas.openxmlformats.org/officeDocument/2006/relationships/hyperlink" Target="https://www.jivi.com.ar/ficha.php?id=1684" TargetMode="External"/><Relationship Id="rId456" Type="http://schemas.openxmlformats.org/officeDocument/2006/relationships/hyperlink" Target="https://www.jivi.com.ar/ficha.php?id=1787" TargetMode="External"/><Relationship Id="rId498" Type="http://schemas.openxmlformats.org/officeDocument/2006/relationships/hyperlink" Target="https://www.jivi.com.ar/ficha.php?id=1594" TargetMode="External"/><Relationship Id="rId621" Type="http://schemas.openxmlformats.org/officeDocument/2006/relationships/hyperlink" Target="https://www.jivi.com.ar/ficha.php?id=2213" TargetMode="External"/><Relationship Id="rId663" Type="http://schemas.openxmlformats.org/officeDocument/2006/relationships/hyperlink" Target="https://www.jivi.com.ar/ficha.php?id=2301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7" TargetMode="External"/><Relationship Id="rId316" Type="http://schemas.openxmlformats.org/officeDocument/2006/relationships/hyperlink" Target="https://www.jivi.com.ar/ficha.php?id=1534" TargetMode="External"/><Relationship Id="rId523" Type="http://schemas.openxmlformats.org/officeDocument/2006/relationships/hyperlink" Target="https://www.jivi.com.ar/ficha.php?id=1566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271" TargetMode="External"/><Relationship Id="rId565" Type="http://schemas.openxmlformats.org/officeDocument/2006/relationships/hyperlink" Target="https://www.jivi.com.ar/ficha.php?id=971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2" TargetMode="External"/><Relationship Id="rId425" Type="http://schemas.openxmlformats.org/officeDocument/2006/relationships/hyperlink" Target="https://www.jivi.com.ar/ficha.php?id=1510" TargetMode="External"/><Relationship Id="rId467" Type="http://schemas.openxmlformats.org/officeDocument/2006/relationships/hyperlink" Target="https://www.jivi.com.ar/ficha.php?id=1710" TargetMode="External"/><Relationship Id="rId632" Type="http://schemas.openxmlformats.org/officeDocument/2006/relationships/hyperlink" Target="https://www.jivi.com.ar/ficha.php?id=2270" TargetMode="External"/><Relationship Id="rId271" Type="http://schemas.openxmlformats.org/officeDocument/2006/relationships/hyperlink" Target="https://www.jivi.com.ar/ficha.php?id=1448" TargetMode="External"/><Relationship Id="rId674" Type="http://schemas.openxmlformats.org/officeDocument/2006/relationships/hyperlink" Target="https://jivi.com.ar/ficha.php?id=648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49" TargetMode="External"/><Relationship Id="rId369" Type="http://schemas.openxmlformats.org/officeDocument/2006/relationships/hyperlink" Target="https://www.jivi.com.ar/ficha.php?id=1221" TargetMode="External"/><Relationship Id="rId534" Type="http://schemas.openxmlformats.org/officeDocument/2006/relationships/hyperlink" Target="https://www.jivi.com.ar/ficha.php?id=1720" TargetMode="External"/><Relationship Id="rId576" Type="http://schemas.openxmlformats.org/officeDocument/2006/relationships/hyperlink" Target="https://www.jivi.com.ar/ficha.php?id=2069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872" TargetMode="External"/><Relationship Id="rId380" Type="http://schemas.openxmlformats.org/officeDocument/2006/relationships/hyperlink" Target="https://www.jivi.com.ar/ficha.php?id=1602" TargetMode="External"/><Relationship Id="rId436" Type="http://schemas.openxmlformats.org/officeDocument/2006/relationships/hyperlink" Target="https://www.jivi.com.ar/ficha.php?id=1723" TargetMode="External"/><Relationship Id="rId601" Type="http://schemas.openxmlformats.org/officeDocument/2006/relationships/hyperlink" Target="https://www.jivi.com.ar/ficha.php?id=1279" TargetMode="External"/><Relationship Id="rId643" Type="http://schemas.openxmlformats.org/officeDocument/2006/relationships/hyperlink" Target="https://www.jivi.com.ar/ficha.php?id=2277" TargetMode="External"/><Relationship Id="rId240" Type="http://schemas.openxmlformats.org/officeDocument/2006/relationships/hyperlink" Target="https://www.jivi.com.ar/ficha.php?id=1402" TargetMode="External"/><Relationship Id="rId478" Type="http://schemas.openxmlformats.org/officeDocument/2006/relationships/hyperlink" Target="https://www.jivi.com.ar/ficha.php?id=1791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995" TargetMode="External"/><Relationship Id="rId338" Type="http://schemas.openxmlformats.org/officeDocument/2006/relationships/hyperlink" Target="https://www.jivi.com.ar/ficha.php?id=26" TargetMode="External"/><Relationship Id="rId503" Type="http://schemas.openxmlformats.org/officeDocument/2006/relationships/hyperlink" Target="https://www.jivi.com.ar/ficha.php?id=1077" TargetMode="External"/><Relationship Id="rId545" Type="http://schemas.openxmlformats.org/officeDocument/2006/relationships/hyperlink" Target="https://www.jivi.com.ar/ficha.php?id=2034" TargetMode="External"/><Relationship Id="rId587" Type="http://schemas.openxmlformats.org/officeDocument/2006/relationships/hyperlink" Target="https://www.jivi.com.ar/ficha.php?id=2097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611" TargetMode="External"/><Relationship Id="rId405" Type="http://schemas.openxmlformats.org/officeDocument/2006/relationships/hyperlink" Target="https://www.jivi.com.ar/ficha.php?id=1642" TargetMode="External"/><Relationship Id="rId447" Type="http://schemas.openxmlformats.org/officeDocument/2006/relationships/hyperlink" Target="https://www.jivi.com.ar/ficha.php?id=1742" TargetMode="External"/><Relationship Id="rId612" Type="http://schemas.openxmlformats.org/officeDocument/2006/relationships/hyperlink" Target="https://www.jivi.com.ar/ficha.php?id=2220" TargetMode="External"/><Relationship Id="rId251" Type="http://schemas.openxmlformats.org/officeDocument/2006/relationships/hyperlink" Target="https://www.jivi.com.ar/ficha.php?id=1420" TargetMode="External"/><Relationship Id="rId489" Type="http://schemas.openxmlformats.org/officeDocument/2006/relationships/hyperlink" Target="https://www.jivi.com.ar/ficha.php?id=1131" TargetMode="External"/><Relationship Id="rId654" Type="http://schemas.openxmlformats.org/officeDocument/2006/relationships/hyperlink" Target="https://www.jivi.com.ar/ficha.php?id=2055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3" TargetMode="External"/><Relationship Id="rId307" Type="http://schemas.openxmlformats.org/officeDocument/2006/relationships/hyperlink" Target="https://www.jivi.com.ar/ficha.php?id=1509" TargetMode="External"/><Relationship Id="rId349" Type="http://schemas.openxmlformats.org/officeDocument/2006/relationships/hyperlink" Target="https://www.jivi.com.ar/ficha.php?id=1567" TargetMode="External"/><Relationship Id="rId514" Type="http://schemas.openxmlformats.org/officeDocument/2006/relationships/hyperlink" Target="https://www.jivi.com.ar/ficha.php?id=1840" TargetMode="External"/><Relationship Id="rId556" Type="http://schemas.openxmlformats.org/officeDocument/2006/relationships/hyperlink" Target="https://www.jivi.com.ar/ficha.php?id=1256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378" TargetMode="External"/><Relationship Id="rId209" Type="http://schemas.openxmlformats.org/officeDocument/2006/relationships/hyperlink" Target="https://www.jivi.com.ar/ficha.php?id=1348" TargetMode="External"/><Relationship Id="rId360" Type="http://schemas.openxmlformats.org/officeDocument/2006/relationships/hyperlink" Target="https://www.jivi.com.ar/ficha.php?id=1139" TargetMode="External"/><Relationship Id="rId416" Type="http://schemas.openxmlformats.org/officeDocument/2006/relationships/hyperlink" Target="https://www.jivi.com.ar/ficha.php?id=1687" TargetMode="External"/><Relationship Id="rId598" Type="http://schemas.openxmlformats.org/officeDocument/2006/relationships/hyperlink" Target="https://www.jivi.com.ar/ficha.php?id=2178" TargetMode="External"/><Relationship Id="rId220" Type="http://schemas.openxmlformats.org/officeDocument/2006/relationships/hyperlink" Target="https://www.jivi.com.ar/ficha.php?id=1384" TargetMode="External"/><Relationship Id="rId458" Type="http://schemas.openxmlformats.org/officeDocument/2006/relationships/hyperlink" Target="https://www.jivi.com.ar/ficha.php?id=1751" TargetMode="External"/><Relationship Id="rId623" Type="http://schemas.openxmlformats.org/officeDocument/2006/relationships/hyperlink" Target="https://www.jivi.com.ar/ficha.php?id=2215" TargetMode="External"/><Relationship Id="rId665" Type="http://schemas.openxmlformats.org/officeDocument/2006/relationships/hyperlink" Target="https://www.jivi.com.ar/ficha.php?id=1319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39" TargetMode="External"/><Relationship Id="rId318" Type="http://schemas.openxmlformats.org/officeDocument/2006/relationships/hyperlink" Target="https://www.jivi.com.ar/ficha.php?id=1536" TargetMode="External"/><Relationship Id="rId525" Type="http://schemas.openxmlformats.org/officeDocument/2006/relationships/hyperlink" Target="https://www.jivi.com.ar/ficha.php?id=1411" TargetMode="External"/><Relationship Id="rId567" Type="http://schemas.openxmlformats.org/officeDocument/2006/relationships/hyperlink" Target="https://www.jivi.com.ar/ficha.php?id=2060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89" TargetMode="External"/><Relationship Id="rId427" Type="http://schemas.openxmlformats.org/officeDocument/2006/relationships/hyperlink" Target="https://www.jivi.com.ar/ficha.php?id=1531" TargetMode="External"/><Relationship Id="rId469" Type="http://schemas.openxmlformats.org/officeDocument/2006/relationships/hyperlink" Target="https://www.jivi.com.ar/ficha.php?id=1737" TargetMode="External"/><Relationship Id="rId634" Type="http://schemas.openxmlformats.org/officeDocument/2006/relationships/hyperlink" Target="https://www.jivi.com.ar/ficha.php?id=2272" TargetMode="External"/><Relationship Id="rId676" Type="http://schemas.openxmlformats.org/officeDocument/2006/relationships/drawing" Target="../drawings/drawing1.xm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62" TargetMode="External"/><Relationship Id="rId273" Type="http://schemas.openxmlformats.org/officeDocument/2006/relationships/hyperlink" Target="https://www.jivi.com.ar/ficha.php?id=1560" TargetMode="External"/><Relationship Id="rId329" Type="http://schemas.openxmlformats.org/officeDocument/2006/relationships/hyperlink" Target="https://www.jivi.com.ar/ficha.php?id=1552" TargetMode="External"/><Relationship Id="rId480" Type="http://schemas.openxmlformats.org/officeDocument/2006/relationships/hyperlink" Target="https://www.jivi.com.ar/ficha.php?id=1087" TargetMode="External"/><Relationship Id="rId536" Type="http://schemas.openxmlformats.org/officeDocument/2006/relationships/hyperlink" Target="https://www.jivi.com.ar/ficha.php?id=2011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562" TargetMode="External"/><Relationship Id="rId578" Type="http://schemas.openxmlformats.org/officeDocument/2006/relationships/hyperlink" Target="https://www.jivi.com.ar/ficha.php?id=2083" TargetMode="External"/><Relationship Id="rId200" Type="http://schemas.openxmlformats.org/officeDocument/2006/relationships/hyperlink" Target="https://www.jivi.com.ar/ficha.php?id=1306" TargetMode="External"/><Relationship Id="rId382" Type="http://schemas.openxmlformats.org/officeDocument/2006/relationships/hyperlink" Target="https://www.jivi.com.ar/ficha.php?id=1701" TargetMode="External"/><Relationship Id="rId438" Type="http://schemas.openxmlformats.org/officeDocument/2006/relationships/hyperlink" Target="https://www.jivi.com.ar/ficha.php?id=1727" TargetMode="External"/><Relationship Id="rId603" Type="http://schemas.openxmlformats.org/officeDocument/2006/relationships/hyperlink" Target="https://www.jivi.com.ar/ficha.php?id=2231" TargetMode="External"/><Relationship Id="rId645" Type="http://schemas.openxmlformats.org/officeDocument/2006/relationships/hyperlink" Target="https://www.jivi.com.ar/ficha.php?id=2279" TargetMode="External"/><Relationship Id="rId242" Type="http://schemas.openxmlformats.org/officeDocument/2006/relationships/hyperlink" Target="https://www.jivi.com.ar/ficha.php?id=1405" TargetMode="External"/><Relationship Id="rId284" Type="http://schemas.openxmlformats.org/officeDocument/2006/relationships/hyperlink" Target="https://www.jivi.com.ar/ficha.php?id=835" TargetMode="External"/><Relationship Id="rId491" Type="http://schemas.openxmlformats.org/officeDocument/2006/relationships/hyperlink" Target="https://www.jivi.com.ar/ficha.php?id=1820" TargetMode="External"/><Relationship Id="rId505" Type="http://schemas.openxmlformats.org/officeDocument/2006/relationships/hyperlink" Target="https://www.jivi.com.ar/ficha.php?id=1616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2040" TargetMode="External"/><Relationship Id="rId589" Type="http://schemas.openxmlformats.org/officeDocument/2006/relationships/hyperlink" Target="https://www.jivi.com.ar/ficha.php?id=1513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69" TargetMode="External"/><Relationship Id="rId393" Type="http://schemas.openxmlformats.org/officeDocument/2006/relationships/hyperlink" Target="https://www.jivi.com.ar/ficha.php?id=1614" TargetMode="External"/><Relationship Id="rId407" Type="http://schemas.openxmlformats.org/officeDocument/2006/relationships/hyperlink" Target="https://www.jivi.com.ar/ficha.php?id=1641" TargetMode="External"/><Relationship Id="rId449" Type="http://schemas.openxmlformats.org/officeDocument/2006/relationships/hyperlink" Target="https://www.jivi.com.ar/ficha.php?id=1743" TargetMode="External"/><Relationship Id="rId614" Type="http://schemas.openxmlformats.org/officeDocument/2006/relationships/hyperlink" Target="https://www.jivi.com.ar/ficha.php?id=2206" TargetMode="External"/><Relationship Id="rId656" Type="http://schemas.openxmlformats.org/officeDocument/2006/relationships/hyperlink" Target="https://www.jivi.com.ar/ficha.php?id=2294" TargetMode="External"/><Relationship Id="rId211" Type="http://schemas.openxmlformats.org/officeDocument/2006/relationships/hyperlink" Target="https://www.jivi.com.ar/ficha.php?id=1360" TargetMode="External"/><Relationship Id="rId253" Type="http://schemas.openxmlformats.org/officeDocument/2006/relationships/hyperlink" Target="https://www.jivi.com.ar/ficha.php?id=1422" TargetMode="External"/><Relationship Id="rId295" Type="http://schemas.openxmlformats.org/officeDocument/2006/relationships/hyperlink" Target="https://www.jivi.com.ar/ficha.php?id=1495" TargetMode="External"/><Relationship Id="rId309" Type="http://schemas.openxmlformats.org/officeDocument/2006/relationships/hyperlink" Target="https://www.jivi.com.ar/ficha.php?id=1515" TargetMode="External"/><Relationship Id="rId460" Type="http://schemas.openxmlformats.org/officeDocument/2006/relationships/hyperlink" Target="https://www.jivi.com.ar/ficha.php?id=1776" TargetMode="External"/><Relationship Id="rId516" Type="http://schemas.openxmlformats.org/officeDocument/2006/relationships/hyperlink" Target="https://www.jivi.com.ar/ficha.php?id=1886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0" TargetMode="External"/><Relationship Id="rId558" Type="http://schemas.openxmlformats.org/officeDocument/2006/relationships/hyperlink" Target="https://www.jivi.com.ar/articulos.php?search=1066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2" TargetMode="External"/><Relationship Id="rId362" Type="http://schemas.openxmlformats.org/officeDocument/2006/relationships/hyperlink" Target="https://www.jivi.com.ar/ficha.php?id=1574" TargetMode="External"/><Relationship Id="rId418" Type="http://schemas.openxmlformats.org/officeDocument/2006/relationships/hyperlink" Target="https://www.jivi.com.ar/ficha.php?id=1690" TargetMode="External"/><Relationship Id="rId625" Type="http://schemas.openxmlformats.org/officeDocument/2006/relationships/hyperlink" Target="https://www.jivi.com.ar/ficha.php?id=2233" TargetMode="External"/><Relationship Id="rId222" Type="http://schemas.openxmlformats.org/officeDocument/2006/relationships/hyperlink" Target="https://www.jivi.com.ar/ficha.php?id=1385" TargetMode="External"/><Relationship Id="rId264" Type="http://schemas.openxmlformats.org/officeDocument/2006/relationships/hyperlink" Target="https://www.jivi.com.ar/ficha.php?id=1427" TargetMode="External"/><Relationship Id="rId471" Type="http://schemas.openxmlformats.org/officeDocument/2006/relationships/hyperlink" Target="https://www.jivi.com.ar/ficha.php?id=1293" TargetMode="External"/><Relationship Id="rId667" Type="http://schemas.openxmlformats.org/officeDocument/2006/relationships/hyperlink" Target="https://www.jivi.com.ar/ficha.php?id=2307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1601" TargetMode="External"/><Relationship Id="rId569" Type="http://schemas.openxmlformats.org/officeDocument/2006/relationships/hyperlink" Target="https://www.jivi.com.ar/ficha.php?id=2062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3" TargetMode="External"/><Relationship Id="rId373" Type="http://schemas.openxmlformats.org/officeDocument/2006/relationships/hyperlink" Target="https://www.jivi.com.ar/ficha.php?id=1591" TargetMode="External"/><Relationship Id="rId429" Type="http://schemas.openxmlformats.org/officeDocument/2006/relationships/hyperlink" Target="https://www.jivi.com.ar/ficha.php?id=1704" TargetMode="External"/><Relationship Id="rId580" Type="http://schemas.openxmlformats.org/officeDocument/2006/relationships/hyperlink" Target="https://www.jivi.com.ar/ficha.php?id=2084" TargetMode="External"/><Relationship Id="rId636" Type="http://schemas.openxmlformats.org/officeDocument/2006/relationships/hyperlink" Target="https://www.jivi.com.ar/ficha.php?id=2273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401" TargetMode="External"/><Relationship Id="rId440" Type="http://schemas.openxmlformats.org/officeDocument/2006/relationships/hyperlink" Target="https://www.jivi.com.ar/ficha.php?id=1729" TargetMode="External"/><Relationship Id="rId678" Type="http://schemas.openxmlformats.org/officeDocument/2006/relationships/comments" Target="../comments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969" TargetMode="External"/><Relationship Id="rId300" Type="http://schemas.openxmlformats.org/officeDocument/2006/relationships/hyperlink" Target="https://www.jivi.com.ar/ficha.php?id=1500" TargetMode="External"/><Relationship Id="rId482" Type="http://schemas.openxmlformats.org/officeDocument/2006/relationships/hyperlink" Target="https://www.jivi.com.ar/ficha.php?id=1451" TargetMode="External"/><Relationship Id="rId538" Type="http://schemas.openxmlformats.org/officeDocument/2006/relationships/hyperlink" Target="https://www.jivi.com.ar/ficha.php?id=2014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1414" TargetMode="External"/><Relationship Id="rId384" Type="http://schemas.openxmlformats.org/officeDocument/2006/relationships/hyperlink" Target="https://www.jivi.com.ar/ficha.php?id=1606" TargetMode="External"/><Relationship Id="rId591" Type="http://schemas.openxmlformats.org/officeDocument/2006/relationships/hyperlink" Target="https://www.jivi.com.ar/ficha.php?id=2142" TargetMode="External"/><Relationship Id="rId605" Type="http://schemas.openxmlformats.org/officeDocument/2006/relationships/hyperlink" Target="https://www.jivi.com.ar/ficha.php?id=1435" TargetMode="External"/><Relationship Id="rId202" Type="http://schemas.openxmlformats.org/officeDocument/2006/relationships/hyperlink" Target="https://www.jivi.com.ar/ficha.php?id=1290" TargetMode="External"/><Relationship Id="rId244" Type="http://schemas.openxmlformats.org/officeDocument/2006/relationships/hyperlink" Target="https://www.jivi.com.ar/ficha.php?id=1415" TargetMode="External"/><Relationship Id="rId647" Type="http://schemas.openxmlformats.org/officeDocument/2006/relationships/hyperlink" Target="https://www.jivi.com.ar/ficha.php?id=1445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79" TargetMode="External"/><Relationship Id="rId451" Type="http://schemas.openxmlformats.org/officeDocument/2006/relationships/hyperlink" Target="https://www.jivi.com.ar/ficha.php?id=1745" TargetMode="External"/><Relationship Id="rId493" Type="http://schemas.openxmlformats.org/officeDocument/2006/relationships/hyperlink" Target="https://www.jivi.com.ar/ficha.php?id=1533" TargetMode="External"/><Relationship Id="rId507" Type="http://schemas.openxmlformats.org/officeDocument/2006/relationships/hyperlink" Target="https://www.jivi.com.ar/ficha.php?id=1864" TargetMode="External"/><Relationship Id="rId549" Type="http://schemas.openxmlformats.org/officeDocument/2006/relationships/hyperlink" Target="https://www.jivi.com.ar/ficha.php?id=2042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17" TargetMode="External"/><Relationship Id="rId353" Type="http://schemas.openxmlformats.org/officeDocument/2006/relationships/hyperlink" Target="https://www.jivi.com.ar/ficha.php?id=1571" TargetMode="External"/><Relationship Id="rId395" Type="http://schemas.openxmlformats.org/officeDocument/2006/relationships/hyperlink" Target="https://www.jivi.com.ar/ficha.php?id=1617" TargetMode="External"/><Relationship Id="rId409" Type="http://schemas.openxmlformats.org/officeDocument/2006/relationships/hyperlink" Target="https://www.jivi.com.ar/ficha.php?id=1657" TargetMode="External"/><Relationship Id="rId560" Type="http://schemas.openxmlformats.org/officeDocument/2006/relationships/hyperlink" Target="https://www.jivi.com.ar/ficha.php?id=1416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66" TargetMode="External"/><Relationship Id="rId420" Type="http://schemas.openxmlformats.org/officeDocument/2006/relationships/hyperlink" Target="https://www.jivi.com.ar/ficha.php?id=1438" TargetMode="External"/><Relationship Id="rId616" Type="http://schemas.openxmlformats.org/officeDocument/2006/relationships/hyperlink" Target="https://www.jivi.com.ar/ficha.php?id=2208" TargetMode="External"/><Relationship Id="rId658" Type="http://schemas.openxmlformats.org/officeDocument/2006/relationships/hyperlink" Target="https://www.jivi.com.ar/ficha.php?id=2296" TargetMode="External"/><Relationship Id="rId255" Type="http://schemas.openxmlformats.org/officeDocument/2006/relationships/hyperlink" Target="https://www.jivi.com.ar/ficha.php?id=1425" TargetMode="External"/><Relationship Id="rId297" Type="http://schemas.openxmlformats.org/officeDocument/2006/relationships/hyperlink" Target="https://www.jivi.com.ar/ficha.php?id=1497" TargetMode="External"/><Relationship Id="rId462" Type="http://schemas.openxmlformats.org/officeDocument/2006/relationships/hyperlink" Target="https://www.jivi.com.ar/ficha.php?id=1304" TargetMode="External"/><Relationship Id="rId518" Type="http://schemas.openxmlformats.org/officeDocument/2006/relationships/hyperlink" Target="https://www.jivi.com.ar/ficha.php?id=1138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2" TargetMode="External"/><Relationship Id="rId364" Type="http://schemas.openxmlformats.org/officeDocument/2006/relationships/hyperlink" Target="https://www.jivi.com.ar/ficha.php?id=1580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5" TargetMode="External"/><Relationship Id="rId571" Type="http://schemas.openxmlformats.org/officeDocument/2006/relationships/hyperlink" Target="https://www.jivi.com.ar/ficha.php?id=1391" TargetMode="External"/><Relationship Id="rId627" Type="http://schemas.openxmlformats.org/officeDocument/2006/relationships/hyperlink" Target="https://www.jivi.com.ar/ficha.php?id=1251" TargetMode="External"/><Relationship Id="rId669" Type="http://schemas.openxmlformats.org/officeDocument/2006/relationships/hyperlink" Target="https://www.jivi.com.ar/ficha.php?id=2309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89" TargetMode="External"/><Relationship Id="rId266" Type="http://schemas.openxmlformats.org/officeDocument/2006/relationships/hyperlink" Target="https://www.jivi.com.ar/ficha.php?id=1056" TargetMode="External"/><Relationship Id="rId431" Type="http://schemas.openxmlformats.org/officeDocument/2006/relationships/hyperlink" Target="https://www.jivi.com.ar/ficha.php?id=1457" TargetMode="External"/><Relationship Id="rId473" Type="http://schemas.openxmlformats.org/officeDocument/2006/relationships/hyperlink" Target="https://www.jivi.com.ar/ficha.php?id=1265" TargetMode="External"/><Relationship Id="rId529" Type="http://schemas.openxmlformats.org/officeDocument/2006/relationships/hyperlink" Target="https://www.jivi.com.ar/ficha.php?id=1245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5" TargetMode="External"/><Relationship Id="rId540" Type="http://schemas.openxmlformats.org/officeDocument/2006/relationships/hyperlink" Target="https://www.jivi.com.ar/ficha.php?id=2018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3" TargetMode="External"/><Relationship Id="rId582" Type="http://schemas.openxmlformats.org/officeDocument/2006/relationships/hyperlink" Target="https://www.jivi.com.ar/ficha.php?id=1001" TargetMode="External"/><Relationship Id="rId638" Type="http://schemas.openxmlformats.org/officeDocument/2006/relationships/hyperlink" Target="https://www.jivi.com.ar/ficha.php?id=1140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230" TargetMode="External"/><Relationship Id="rId277" Type="http://schemas.openxmlformats.org/officeDocument/2006/relationships/hyperlink" Target="https://www.jivi.com.ar/ficha.php?id=1464" TargetMode="External"/><Relationship Id="rId400" Type="http://schemas.openxmlformats.org/officeDocument/2006/relationships/hyperlink" Target="https://www.jivi.com.ar/ficha.php?id=1621" TargetMode="External"/><Relationship Id="rId442" Type="http://schemas.openxmlformats.org/officeDocument/2006/relationships/hyperlink" Target="https://www.jivi.com.ar/ficha.php?id=1731" TargetMode="External"/><Relationship Id="rId484" Type="http://schemas.openxmlformats.org/officeDocument/2006/relationships/hyperlink" Target="https://www.jivi.com.ar/ficha.php?id=1805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4" TargetMode="External"/><Relationship Id="rId344" Type="http://schemas.openxmlformats.org/officeDocument/2006/relationships/hyperlink" Target="https://www.jivi.com.ar/ficha.php?id=1407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270" TargetMode="External"/><Relationship Id="rId551" Type="http://schemas.openxmlformats.org/officeDocument/2006/relationships/hyperlink" Target="https://www.jivi.com.ar/ficha.php?id=249" TargetMode="External"/><Relationship Id="rId593" Type="http://schemas.openxmlformats.org/officeDocument/2006/relationships/hyperlink" Target="https://www.jivi.com.ar/ficha.php?id=2146" TargetMode="External"/><Relationship Id="rId607" Type="http://schemas.openxmlformats.org/officeDocument/2006/relationships/hyperlink" Target="https://www.jivi.com.ar/ficha.php?id=2225" TargetMode="External"/><Relationship Id="rId649" Type="http://schemas.openxmlformats.org/officeDocument/2006/relationships/hyperlink" Target="https://www.jivi.com.ar/ficha.php?id=2287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36" TargetMode="External"/><Relationship Id="rId246" Type="http://schemas.openxmlformats.org/officeDocument/2006/relationships/hyperlink" Target="https://www.jivi.com.ar/ficha.php?id=1084" TargetMode="External"/><Relationship Id="rId288" Type="http://schemas.openxmlformats.org/officeDocument/2006/relationships/hyperlink" Target="https://www.jivi.com.ar/ficha.php?id=1481" TargetMode="External"/><Relationship Id="rId411" Type="http://schemas.openxmlformats.org/officeDocument/2006/relationships/hyperlink" Target="https://www.jivi.com.ar/ficha.php?id=440" TargetMode="External"/><Relationship Id="rId453" Type="http://schemas.openxmlformats.org/officeDocument/2006/relationships/hyperlink" Target="https://www.jivi.com.ar/ficha.php?id=1747" TargetMode="External"/><Relationship Id="rId509" Type="http://schemas.openxmlformats.org/officeDocument/2006/relationships/hyperlink" Target="https://www.jivi.com.ar/ficha.php?id=1055" TargetMode="External"/><Relationship Id="rId660" Type="http://schemas.openxmlformats.org/officeDocument/2006/relationships/hyperlink" Target="https://www.jivi.com.ar/ficha.php?id=2298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59" TargetMode="External"/><Relationship Id="rId495" Type="http://schemas.openxmlformats.org/officeDocument/2006/relationships/hyperlink" Target="https://www.jivi.com.ar/ficha.php?id=1825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572" TargetMode="External"/><Relationship Id="rId397" Type="http://schemas.openxmlformats.org/officeDocument/2006/relationships/hyperlink" Target="https://www.jivi.com.ar/ficha.php?id=1619" TargetMode="External"/><Relationship Id="rId520" Type="http://schemas.openxmlformats.org/officeDocument/2006/relationships/hyperlink" Target="https://www.jivi.com.ar/ficha.php?id=1916" TargetMode="External"/><Relationship Id="rId562" Type="http://schemas.openxmlformats.org/officeDocument/2006/relationships/hyperlink" Target="https://www.jivi.com.ar/ficha.php?id=2052" TargetMode="External"/><Relationship Id="rId618" Type="http://schemas.openxmlformats.org/officeDocument/2006/relationships/hyperlink" Target="https://www.jivi.com.ar/ficha.php?id=2210" TargetMode="External"/><Relationship Id="rId215" Type="http://schemas.openxmlformats.org/officeDocument/2006/relationships/hyperlink" Target="https://www.jivi.com.ar/ficha.php?id=864" TargetMode="External"/><Relationship Id="rId257" Type="http://schemas.openxmlformats.org/officeDocument/2006/relationships/hyperlink" Target="https://www.jivi.com.ar/ficha.php?id=1429" TargetMode="External"/><Relationship Id="rId422" Type="http://schemas.openxmlformats.org/officeDocument/2006/relationships/hyperlink" Target="https://www.jivi.com.ar/ficha.php?id=1697" TargetMode="External"/><Relationship Id="rId464" Type="http://schemas.openxmlformats.org/officeDocument/2006/relationships/hyperlink" Target="https://www.jivi.com.ar/ficha.php?id=1777" TargetMode="External"/><Relationship Id="rId299" Type="http://schemas.openxmlformats.org/officeDocument/2006/relationships/hyperlink" Target="https://www.jivi.com.ar/ficha.php?id=1499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3" TargetMode="External"/><Relationship Id="rId573" Type="http://schemas.openxmlformats.org/officeDocument/2006/relationships/hyperlink" Target="https://www.jivi.com.ar/ficha.php?id=2067" TargetMode="External"/><Relationship Id="rId226" Type="http://schemas.openxmlformats.org/officeDocument/2006/relationships/hyperlink" Target="https://www.jivi.com.ar/ficha.php?id=236" TargetMode="External"/><Relationship Id="rId433" Type="http://schemas.openxmlformats.org/officeDocument/2006/relationships/hyperlink" Target="https://www.jivi.com.ar/ficha.php?id=1707" TargetMode="External"/><Relationship Id="rId640" Type="http://schemas.openxmlformats.org/officeDocument/2006/relationships/hyperlink" Target="https://www.jivi.com.ar/ficha.php?id=1655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596" TargetMode="External"/><Relationship Id="rId500" Type="http://schemas.openxmlformats.org/officeDocument/2006/relationships/hyperlink" Target="https://www.jivi.com.ar/ficha.php?id=1799" TargetMode="External"/><Relationship Id="rId584" Type="http://schemas.openxmlformats.org/officeDocument/2006/relationships/hyperlink" Target="https://www.jivi.com.ar/ficha.php?id=151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111" TargetMode="External"/><Relationship Id="rId444" Type="http://schemas.openxmlformats.org/officeDocument/2006/relationships/hyperlink" Target="https://www.jivi.com.ar/ficha.php?id=1734" TargetMode="External"/><Relationship Id="rId651" Type="http://schemas.openxmlformats.org/officeDocument/2006/relationships/hyperlink" Target="https://www.jivi.com.ar/ficha.php?id=2289" TargetMode="External"/><Relationship Id="rId290" Type="http://schemas.openxmlformats.org/officeDocument/2006/relationships/hyperlink" Target="https://www.jivi.com.ar/ficha.php?id=1486" TargetMode="External"/><Relationship Id="rId304" Type="http://schemas.openxmlformats.org/officeDocument/2006/relationships/hyperlink" Target="https://www.jivi.com.ar/ficha.php?id=1506" TargetMode="External"/><Relationship Id="rId388" Type="http://schemas.openxmlformats.org/officeDocument/2006/relationships/hyperlink" Target="https://www.jivi.com.ar/ficha.php?id=1608" TargetMode="External"/><Relationship Id="rId511" Type="http://schemas.openxmlformats.org/officeDocument/2006/relationships/hyperlink" Target="https://www.jivi.com.ar/ficha.php?id=1530" TargetMode="External"/><Relationship Id="rId609" Type="http://schemas.openxmlformats.org/officeDocument/2006/relationships/hyperlink" Target="https://www.jivi.com.ar/ficha.php?id=2229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2169" TargetMode="External"/><Relationship Id="rId248" Type="http://schemas.openxmlformats.org/officeDocument/2006/relationships/hyperlink" Target="https://www.jivi.com.ar/ficha.php?id=1419" TargetMode="External"/><Relationship Id="rId455" Type="http://schemas.openxmlformats.org/officeDocument/2006/relationships/hyperlink" Target="https://www.jivi.com.ar/ficha.php?id=1749" TargetMode="External"/><Relationship Id="rId662" Type="http://schemas.openxmlformats.org/officeDocument/2006/relationships/hyperlink" Target="https://www.jivi.com.ar/ficha.php?id=2300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2" TargetMode="External"/><Relationship Id="rId522" Type="http://schemas.openxmlformats.org/officeDocument/2006/relationships/hyperlink" Target="https://www.jivi.com.ar/ficha.php?id=1386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204" TargetMode="External"/><Relationship Id="rId259" Type="http://schemas.openxmlformats.org/officeDocument/2006/relationships/hyperlink" Target="https://www.jivi.com.ar/ficha.php?id=1436" TargetMode="External"/><Relationship Id="rId466" Type="http://schemas.openxmlformats.org/officeDocument/2006/relationships/hyperlink" Target="https://www.jivi.com.ar/ficha.php?id=1709" TargetMode="External"/><Relationship Id="rId673" Type="http://schemas.openxmlformats.org/officeDocument/2006/relationships/hyperlink" Target="https://www.jivi.com.ar/ficha.php?id=2325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48" TargetMode="External"/><Relationship Id="rId533" Type="http://schemas.openxmlformats.org/officeDocument/2006/relationships/hyperlink" Target="https://www.jivi.com.ar/ficha.php?id=2008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790" TargetMode="External"/><Relationship Id="rId600" Type="http://schemas.openxmlformats.org/officeDocument/2006/relationships/hyperlink" Target="https://www.jivi.com.ar/ficha.php?id=2224" TargetMode="External"/><Relationship Id="rId337" Type="http://schemas.openxmlformats.org/officeDocument/2006/relationships/hyperlink" Target="https://www.jivi.com.ar/ficha.php?id=1561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444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274" TargetMode="External"/><Relationship Id="rId404" Type="http://schemas.openxmlformats.org/officeDocument/2006/relationships/hyperlink" Target="https://www.jivi.com.ar/ficha.php?id=1643" TargetMode="External"/><Relationship Id="rId611" Type="http://schemas.openxmlformats.org/officeDocument/2006/relationships/hyperlink" Target="https://www.jivi.com.ar/ficha.php?id=2226" TargetMode="External"/><Relationship Id="rId250" Type="http://schemas.openxmlformats.org/officeDocument/2006/relationships/hyperlink" Target="https://www.jivi.com.ar/ficha.php?id=1281" TargetMode="External"/><Relationship Id="rId488" Type="http://schemas.openxmlformats.org/officeDocument/2006/relationships/hyperlink" Target="https://www.jivi.com.ar/ficha.php?id=1597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434" TargetMode="External"/><Relationship Id="rId555" Type="http://schemas.openxmlformats.org/officeDocument/2006/relationships/hyperlink" Target="https://www.jivi.com.ar/ficha.php?id=1278" TargetMode="External"/><Relationship Id="rId194" Type="http://schemas.openxmlformats.org/officeDocument/2006/relationships/hyperlink" Target="https://www.jivi.com.ar/ficha.php?id=991" TargetMode="External"/><Relationship Id="rId208" Type="http://schemas.openxmlformats.org/officeDocument/2006/relationships/hyperlink" Target="https://www.jivi.com.ar/ficha.php?id=1347" TargetMode="External"/><Relationship Id="rId415" Type="http://schemas.openxmlformats.org/officeDocument/2006/relationships/hyperlink" Target="https://www.jivi.com.ar/ficha.php?id=1272" TargetMode="External"/><Relationship Id="rId622" Type="http://schemas.openxmlformats.org/officeDocument/2006/relationships/hyperlink" Target="https://www.jivi.com.ar/ficha.php?id=2214" TargetMode="External"/><Relationship Id="rId261" Type="http://schemas.openxmlformats.org/officeDocument/2006/relationships/hyperlink" Target="https://www.jivi.com.ar/ficha.php?id=1702" TargetMode="External"/><Relationship Id="rId499" Type="http://schemas.openxmlformats.org/officeDocument/2006/relationships/hyperlink" Target="https://www.jivi.com.ar/ficha.php?id=1835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96" TargetMode="External"/><Relationship Id="rId566" Type="http://schemas.openxmlformats.org/officeDocument/2006/relationships/hyperlink" Target="https://www.jivi.com.ar/ficha.php?id=2059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3" TargetMode="External"/><Relationship Id="rId426" Type="http://schemas.openxmlformats.org/officeDocument/2006/relationships/hyperlink" Target="https://www.jivi.com.ar/ficha.php?id=1462" TargetMode="External"/><Relationship Id="rId633" Type="http://schemas.openxmlformats.org/officeDocument/2006/relationships/hyperlink" Target="https://www.jivi.com.ar/ficha.php?id=2271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50" TargetMode="External"/><Relationship Id="rId577" Type="http://schemas.openxmlformats.org/officeDocument/2006/relationships/hyperlink" Target="https://www.jivi.com.ar/ficha.php?id=2070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5" TargetMode="External"/><Relationship Id="rId644" Type="http://schemas.openxmlformats.org/officeDocument/2006/relationships/hyperlink" Target="https://www.jivi.com.ar/ficha.php?id=2278" TargetMode="External"/><Relationship Id="rId283" Type="http://schemas.openxmlformats.org/officeDocument/2006/relationships/hyperlink" Target="https://www.jivi.com.ar/ficha.php?id=996" TargetMode="External"/><Relationship Id="rId490" Type="http://schemas.openxmlformats.org/officeDocument/2006/relationships/hyperlink" Target="https://www.jivi.com.ar/ficha.php?id=1774" TargetMode="External"/><Relationship Id="rId504" Type="http://schemas.openxmlformats.org/officeDocument/2006/relationships/hyperlink" Target="https://www.jivi.com.ar/ficha.php?id=1847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68" TargetMode="External"/><Relationship Id="rId588" Type="http://schemas.openxmlformats.org/officeDocument/2006/relationships/hyperlink" Target="https://www.jivi.com.ar/ficha.php?id=2101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59" TargetMode="External"/><Relationship Id="rId448" Type="http://schemas.openxmlformats.org/officeDocument/2006/relationships/hyperlink" Target="https://www.jivi.com.ar/ficha.php?id=1575" TargetMode="External"/><Relationship Id="rId655" Type="http://schemas.openxmlformats.org/officeDocument/2006/relationships/hyperlink" Target="https://www.jivi.com.ar/ficha.php?id=2292" TargetMode="External"/><Relationship Id="rId294" Type="http://schemas.openxmlformats.org/officeDocument/2006/relationships/hyperlink" Target="https://www.jivi.com.ar/ficha.php?id=1494" TargetMode="External"/><Relationship Id="rId308" Type="http://schemas.openxmlformats.org/officeDocument/2006/relationships/hyperlink" Target="https://www.jivi.com.ar/ficha.php?id=1511" TargetMode="External"/><Relationship Id="rId515" Type="http://schemas.openxmlformats.org/officeDocument/2006/relationships/hyperlink" Target="https://www.jivi.com.ar/ficha.php?id=137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249" TargetMode="External"/><Relationship Id="rId599" Type="http://schemas.openxmlformats.org/officeDocument/2006/relationships/hyperlink" Target="https://www.jivi.com.ar/ficha.php?id=2105" TargetMode="External"/><Relationship Id="rId459" Type="http://schemas.openxmlformats.org/officeDocument/2006/relationships/hyperlink" Target="https://www.jivi.com.ar/ficha.php?id=1461" TargetMode="External"/><Relationship Id="rId666" Type="http://schemas.openxmlformats.org/officeDocument/2006/relationships/hyperlink" Target="https://www.jivi.com.ar/ficha.php?id=2306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539" TargetMode="External"/><Relationship Id="rId526" Type="http://schemas.openxmlformats.org/officeDocument/2006/relationships/hyperlink" Target="https://www.jivi.com.ar/ficha.php?id=2000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0" TargetMode="External"/><Relationship Id="rId677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40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12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604" TargetMode="External"/><Relationship Id="rId590" Type="http://schemas.openxmlformats.org/officeDocument/2006/relationships/hyperlink" Target="https://www.jivi.com.ar/ficha.php?id=698" TargetMode="External"/><Relationship Id="rId604" Type="http://schemas.openxmlformats.org/officeDocument/2006/relationships/hyperlink" Target="https://www.jivi.com.ar/ficha.php?id=2230" TargetMode="External"/><Relationship Id="rId243" Type="http://schemas.openxmlformats.org/officeDocument/2006/relationships/hyperlink" Target="https://www.jivi.com.ar/ficha.php?id=1413" TargetMode="External"/><Relationship Id="rId450" Type="http://schemas.openxmlformats.org/officeDocument/2006/relationships/hyperlink" Target="https://www.jivi.com.ar/ficha.php?id=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38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56" t="s">
        <v>0</v>
      </c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  <c r="Q1" s="1057"/>
      <c r="R1" s="1057"/>
      <c r="S1" s="1057"/>
      <c r="T1" s="1057"/>
      <c r="U1" s="1057"/>
      <c r="V1" s="1057"/>
      <c r="W1" s="1058"/>
      <c r="X1" s="417">
        <v>1</v>
      </c>
      <c r="Y1" s="1048" t="s">
        <v>1</v>
      </c>
      <c r="Z1" s="1049"/>
      <c r="AA1" s="1049"/>
      <c r="AB1" s="1049"/>
      <c r="AC1" s="1049"/>
      <c r="AD1" s="1050"/>
      <c r="AE1" s="1045" t="s">
        <v>2</v>
      </c>
      <c r="AF1" s="1046"/>
      <c r="AG1" s="1046"/>
      <c r="AH1" s="1046"/>
      <c r="AI1" s="1047"/>
      <c r="AJ1" s="1043" t="s">
        <v>3</v>
      </c>
      <c r="AK1" s="52"/>
      <c r="AL1" s="52"/>
      <c r="AM1" s="50"/>
    </row>
    <row r="2" spans="1:39" ht="14.25" customHeight="1" x14ac:dyDescent="0.2">
      <c r="A2" s="17"/>
      <c r="B2" s="1102" t="s">
        <v>1025</v>
      </c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103"/>
      <c r="S2" s="1103"/>
      <c r="T2" s="1103"/>
      <c r="U2" s="1103"/>
      <c r="V2" s="1104"/>
      <c r="W2" s="1105"/>
      <c r="X2" s="418">
        <v>1290</v>
      </c>
      <c r="Y2" s="1062" t="s">
        <v>4</v>
      </c>
      <c r="Z2" s="1063"/>
      <c r="AA2" s="1063"/>
      <c r="AB2" s="1063"/>
      <c r="AC2" s="1063"/>
      <c r="AD2" s="1064"/>
      <c r="AE2" s="1054" t="s">
        <v>5</v>
      </c>
      <c r="AF2" s="1055"/>
      <c r="AG2" s="1055"/>
      <c r="AH2" s="419"/>
      <c r="AI2" s="420"/>
      <c r="AJ2" s="1044"/>
      <c r="AK2" s="160"/>
      <c r="AL2" s="160"/>
      <c r="AM2" s="50"/>
    </row>
    <row r="3" spans="1:39" ht="15.75" customHeight="1" x14ac:dyDescent="0.2">
      <c r="A3" s="17"/>
      <c r="B3" s="1071"/>
      <c r="C3" s="1072"/>
      <c r="D3" s="1073"/>
      <c r="E3" s="1095" t="s">
        <v>6</v>
      </c>
      <c r="F3" s="1096"/>
      <c r="G3" s="1096"/>
      <c r="H3" s="1096"/>
      <c r="I3" s="1096"/>
      <c r="J3" s="1096"/>
      <c r="K3" s="1096"/>
      <c r="L3" s="1096"/>
      <c r="M3" s="1096"/>
      <c r="N3" s="1096"/>
      <c r="O3" s="1096"/>
      <c r="P3" s="1096"/>
      <c r="Q3" s="1096"/>
      <c r="R3" s="1096"/>
      <c r="S3" s="1096"/>
      <c r="T3" s="1096"/>
      <c r="U3" s="1096"/>
      <c r="V3" s="1097"/>
      <c r="W3" s="1098"/>
      <c r="X3" s="1059" t="s">
        <v>861</v>
      </c>
      <c r="Y3" s="1060"/>
      <c r="Z3" s="1060"/>
      <c r="AA3" s="1060"/>
      <c r="AB3" s="1060"/>
      <c r="AC3" s="1060"/>
      <c r="AD3" s="1061"/>
      <c r="AE3" s="1052"/>
      <c r="AF3" s="1053"/>
      <c r="AG3" s="1053"/>
      <c r="AH3" s="1053"/>
      <c r="AI3" s="1053"/>
      <c r="AJ3" s="13"/>
      <c r="AK3" s="13"/>
      <c r="AL3" s="13"/>
      <c r="AM3" s="51"/>
    </row>
    <row r="4" spans="1:39" ht="21.75" customHeight="1" x14ac:dyDescent="0.2">
      <c r="A4" s="17"/>
      <c r="B4" s="1074"/>
      <c r="C4" s="1075"/>
      <c r="D4" s="1076"/>
      <c r="E4" s="1099" t="s">
        <v>7</v>
      </c>
      <c r="F4" s="1100"/>
      <c r="G4" s="1100"/>
      <c r="H4" s="1100"/>
      <c r="I4" s="1100"/>
      <c r="J4" s="1100"/>
      <c r="K4" s="1100"/>
      <c r="L4" s="1100"/>
      <c r="M4" s="1100"/>
      <c r="N4" s="1100"/>
      <c r="O4" s="1100"/>
      <c r="P4" s="1100"/>
      <c r="Q4" s="1100"/>
      <c r="R4" s="1100"/>
      <c r="S4" s="1100"/>
      <c r="T4" s="1100"/>
      <c r="U4" s="1100"/>
      <c r="V4" s="1100"/>
      <c r="W4" s="1101"/>
      <c r="X4" s="835"/>
      <c r="Y4" s="836"/>
      <c r="Z4" s="836"/>
      <c r="AA4" s="836"/>
      <c r="AB4" s="836"/>
      <c r="AC4" s="836"/>
      <c r="AD4" s="837"/>
      <c r="AE4" s="1053"/>
      <c r="AF4" s="1053"/>
      <c r="AG4" s="1053"/>
      <c r="AH4" s="1053"/>
      <c r="AI4" s="1053"/>
      <c r="AJ4" s="13"/>
      <c r="AK4" s="13"/>
      <c r="AL4" s="13"/>
      <c r="AM4" s="51"/>
    </row>
    <row r="5" spans="1:39" ht="23.25" customHeight="1" x14ac:dyDescent="0.2">
      <c r="A5" s="17"/>
      <c r="B5" s="1077"/>
      <c r="C5" s="1078"/>
      <c r="D5" s="1079"/>
      <c r="E5" s="1080" t="s">
        <v>8</v>
      </c>
      <c r="F5" s="1081"/>
      <c r="G5" s="1081"/>
      <c r="H5" s="1081"/>
      <c r="I5" s="1081"/>
      <c r="J5" s="1081"/>
      <c r="K5" s="1081"/>
      <c r="L5" s="1081"/>
      <c r="M5" s="1081"/>
      <c r="N5" s="1081"/>
      <c r="O5" s="1081"/>
      <c r="P5" s="1081"/>
      <c r="Q5" s="1081"/>
      <c r="R5" s="1081"/>
      <c r="S5" s="1081"/>
      <c r="T5" s="1081"/>
      <c r="U5" s="1081"/>
      <c r="V5" s="1081"/>
      <c r="W5" s="1082"/>
      <c r="X5" s="1086"/>
      <c r="Y5" s="1087"/>
      <c r="Z5" s="1087"/>
      <c r="AA5" s="1087"/>
      <c r="AB5" s="1087"/>
      <c r="AC5" s="1087"/>
      <c r="AD5" s="1088"/>
      <c r="AE5" s="1109"/>
      <c r="AF5" s="1109"/>
      <c r="AG5" s="1109"/>
      <c r="AH5" s="1109"/>
      <c r="AI5" s="1109"/>
      <c r="AJ5" s="13"/>
      <c r="AK5" s="13"/>
      <c r="AL5" s="13"/>
      <c r="AM5" s="51"/>
    </row>
    <row r="6" spans="1:39" ht="12" customHeight="1" x14ac:dyDescent="0.2">
      <c r="A6" s="17"/>
      <c r="B6" s="1083" t="s">
        <v>9</v>
      </c>
      <c r="C6" s="1084"/>
      <c r="D6" s="1084"/>
      <c r="E6" s="1084"/>
      <c r="F6" s="1084"/>
      <c r="G6" s="1084"/>
      <c r="H6" s="1084"/>
      <c r="I6" s="1084"/>
      <c r="J6" s="1084"/>
      <c r="K6" s="1084"/>
      <c r="L6" s="1084"/>
      <c r="M6" s="1084"/>
      <c r="N6" s="1084"/>
      <c r="O6" s="1084"/>
      <c r="P6" s="1084"/>
      <c r="Q6" s="1084"/>
      <c r="R6" s="1084"/>
      <c r="S6" s="1084"/>
      <c r="T6" s="1084"/>
      <c r="U6" s="1084"/>
      <c r="V6" s="1084"/>
      <c r="W6" s="1085"/>
      <c r="X6" s="1089"/>
      <c r="Y6" s="1090"/>
      <c r="Z6" s="1090"/>
      <c r="AA6" s="1090"/>
      <c r="AB6" s="1090"/>
      <c r="AC6" s="1090"/>
      <c r="AD6" s="1091"/>
      <c r="AE6" s="1109"/>
      <c r="AF6" s="1109"/>
      <c r="AG6" s="1109"/>
      <c r="AH6" s="1109"/>
      <c r="AI6" s="1109"/>
      <c r="AJ6" s="13"/>
      <c r="AK6" s="13"/>
      <c r="AL6" s="13"/>
      <c r="AM6" s="51"/>
    </row>
    <row r="7" spans="1:39" ht="13.5" customHeight="1" x14ac:dyDescent="0.2">
      <c r="A7" s="17"/>
      <c r="B7" s="1106" t="s">
        <v>10</v>
      </c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1107"/>
      <c r="Q7" s="1107"/>
      <c r="R7" s="1107"/>
      <c r="S7" s="1107"/>
      <c r="T7" s="1107"/>
      <c r="U7" s="1107"/>
      <c r="V7" s="1107"/>
      <c r="W7" s="1108"/>
      <c r="X7" s="1092"/>
      <c r="Y7" s="1093"/>
      <c r="Z7" s="1093"/>
      <c r="AA7" s="1093"/>
      <c r="AB7" s="1093"/>
      <c r="AC7" s="1093"/>
      <c r="AD7" s="1094"/>
      <c r="AE7" s="1109"/>
      <c r="AF7" s="1109"/>
      <c r="AG7" s="1109"/>
      <c r="AH7" s="1109"/>
      <c r="AI7" s="1109"/>
    </row>
    <row r="8" spans="1:39" ht="14.25" customHeight="1" x14ac:dyDescent="0.2">
      <c r="A8" s="17"/>
      <c r="B8" s="745" t="s">
        <v>11</v>
      </c>
      <c r="C8" s="702" t="s">
        <v>12</v>
      </c>
      <c r="D8" s="703"/>
      <c r="E8" s="703"/>
      <c r="F8" s="729" t="s">
        <v>13</v>
      </c>
      <c r="G8" s="729" t="s">
        <v>13</v>
      </c>
      <c r="H8" s="700" t="s">
        <v>742</v>
      </c>
      <c r="I8" s="700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647" t="s">
        <v>14</v>
      </c>
      <c r="Y8" s="648"/>
      <c r="Z8" s="648"/>
      <c r="AA8" s="649"/>
      <c r="AB8" s="692" t="s">
        <v>15</v>
      </c>
      <c r="AC8" s="1065" t="s">
        <v>16</v>
      </c>
      <c r="AD8" s="1066"/>
      <c r="AE8" s="1066"/>
      <c r="AF8" s="1066"/>
      <c r="AG8" s="1066"/>
      <c r="AH8" s="1066"/>
      <c r="AI8" s="1067"/>
    </row>
    <row r="9" spans="1:39" ht="11.25" customHeight="1" x14ac:dyDescent="0.2">
      <c r="A9" s="17"/>
      <c r="B9" s="745"/>
      <c r="C9" s="703"/>
      <c r="D9" s="703"/>
      <c r="E9" s="703"/>
      <c r="F9" s="730"/>
      <c r="G9" s="730"/>
      <c r="H9" s="415"/>
      <c r="I9" s="413" t="s">
        <v>267</v>
      </c>
      <c r="J9" s="415"/>
      <c r="K9" s="413" t="s">
        <v>17</v>
      </c>
      <c r="L9" s="416"/>
      <c r="M9" s="416" t="s">
        <v>18</v>
      </c>
      <c r="N9" s="416"/>
      <c r="O9" s="413" t="s">
        <v>19</v>
      </c>
      <c r="P9" s="416"/>
      <c r="Q9" s="416" t="s">
        <v>268</v>
      </c>
      <c r="R9" s="416"/>
      <c r="S9" s="416" t="s">
        <v>20</v>
      </c>
      <c r="T9" s="416"/>
      <c r="U9" s="416" t="s">
        <v>21</v>
      </c>
      <c r="V9" s="416"/>
      <c r="W9" s="416" t="s">
        <v>22</v>
      </c>
      <c r="X9" s="650"/>
      <c r="Y9" s="651"/>
      <c r="Z9" s="651"/>
      <c r="AA9" s="652"/>
      <c r="AB9" s="693"/>
      <c r="AC9" s="1068"/>
      <c r="AD9" s="1069"/>
      <c r="AE9" s="1069"/>
      <c r="AF9" s="1069"/>
      <c r="AG9" s="1069"/>
      <c r="AH9" s="1069"/>
      <c r="AI9" s="1070"/>
    </row>
    <row r="10" spans="1:39" ht="12.6" customHeight="1" x14ac:dyDescent="0.2">
      <c r="A10" s="17"/>
      <c r="B10" s="1110" t="s">
        <v>638</v>
      </c>
      <c r="C10" s="1111"/>
      <c r="D10" s="1111"/>
      <c r="E10" s="1112"/>
      <c r="F10" s="283">
        <v>613</v>
      </c>
      <c r="G10" s="278">
        <f t="shared" ref="G10" si="0">+F10*$X$1</f>
        <v>613</v>
      </c>
      <c r="H10" s="500"/>
      <c r="I10" s="501"/>
      <c r="J10" s="83">
        <f>F10+120</f>
        <v>733</v>
      </c>
      <c r="K10" s="283"/>
      <c r="L10" s="92"/>
      <c r="M10" s="283"/>
      <c r="N10" s="574">
        <f>F10+110</f>
        <v>723</v>
      </c>
      <c r="O10" s="258">
        <f t="shared" ref="O10" si="1">+N10*$X$1</f>
        <v>723</v>
      </c>
      <c r="P10" s="574">
        <f>F10+100</f>
        <v>713</v>
      </c>
      <c r="Q10" s="258">
        <f t="shared" ref="Q10" si="2">+P10*$X$1</f>
        <v>713</v>
      </c>
      <c r="R10" s="574">
        <f>F10+80</f>
        <v>693</v>
      </c>
      <c r="S10" s="258">
        <f t="shared" ref="S10" si="3">+R10*$X$1</f>
        <v>693</v>
      </c>
      <c r="T10" s="574">
        <f>F10+65</f>
        <v>678</v>
      </c>
      <c r="U10" s="258">
        <f t="shared" ref="U10" si="4">+T10*$X$1</f>
        <v>678</v>
      </c>
      <c r="V10" s="574">
        <f>F10+56</f>
        <v>669</v>
      </c>
      <c r="W10" s="258">
        <f t="shared" ref="W10" si="5">+V10*$X$1</f>
        <v>669</v>
      </c>
      <c r="X10" s="119"/>
      <c r="Y10" s="119"/>
      <c r="Z10" s="119"/>
      <c r="AA10" s="119"/>
      <c r="AB10" s="354">
        <v>13</v>
      </c>
      <c r="AE10" s="58"/>
      <c r="AF10" s="1051" t="s">
        <v>770</v>
      </c>
      <c r="AG10" s="1051"/>
      <c r="AH10" s="1051"/>
    </row>
    <row r="11" spans="1:39" ht="12.6" customHeight="1" x14ac:dyDescent="0.2">
      <c r="A11" s="17"/>
      <c r="B11" s="805" t="s">
        <v>752</v>
      </c>
      <c r="C11" s="707"/>
      <c r="D11" s="707"/>
      <c r="E11" s="708"/>
      <c r="F11" s="257">
        <v>1170</v>
      </c>
      <c r="G11" s="279">
        <f t="shared" ref="G11" si="6">+F11*$X$1</f>
        <v>1170</v>
      </c>
      <c r="H11" s="252"/>
      <c r="I11" s="305"/>
      <c r="J11" s="68">
        <f>F11+120</f>
        <v>1290</v>
      </c>
      <c r="K11" s="257"/>
      <c r="L11" s="559"/>
      <c r="M11" s="257"/>
      <c r="N11" s="559">
        <f>F11+110</f>
        <v>1280</v>
      </c>
      <c r="O11" s="257">
        <f t="shared" ref="O11:O12" si="7">+N11*$X$1</f>
        <v>1280</v>
      </c>
      <c r="P11" s="559">
        <f>F11+100</f>
        <v>1270</v>
      </c>
      <c r="Q11" s="257">
        <f t="shared" ref="Q11:Q13" si="8">+P11*$X$1</f>
        <v>1270</v>
      </c>
      <c r="R11" s="559">
        <f>F11+80</f>
        <v>1250</v>
      </c>
      <c r="S11" s="257">
        <f t="shared" ref="S11:S12" si="9">+R11*$X$1</f>
        <v>1250</v>
      </c>
      <c r="T11" s="559">
        <f>F11+65</f>
        <v>1235</v>
      </c>
      <c r="U11" s="257">
        <f t="shared" ref="U11:U12" si="10">+T11*$X$1</f>
        <v>1235</v>
      </c>
      <c r="V11" s="559">
        <f>F11+56</f>
        <v>1226</v>
      </c>
      <c r="W11" s="257">
        <f t="shared" ref="W11:W12" si="11">+V11*$X$1</f>
        <v>1226</v>
      </c>
      <c r="X11" s="119"/>
      <c r="Y11" s="119"/>
      <c r="Z11" s="119"/>
      <c r="AA11" s="119"/>
      <c r="AB11" s="354">
        <v>14</v>
      </c>
      <c r="AE11" s="58"/>
      <c r="AF11" s="1051" t="s">
        <v>23</v>
      </c>
      <c r="AG11" s="1051"/>
      <c r="AH11" s="1051"/>
    </row>
    <row r="12" spans="1:39" ht="12.6" customHeight="1" x14ac:dyDescent="0.2">
      <c r="A12" s="17"/>
      <c r="B12" s="803" t="s">
        <v>637</v>
      </c>
      <c r="C12" s="646"/>
      <c r="D12" s="646"/>
      <c r="E12" s="646"/>
      <c r="F12" s="258">
        <v>1280</v>
      </c>
      <c r="G12" s="278">
        <f t="shared" ref="G12:G13" si="12">+F12*$X$1</f>
        <v>1280</v>
      </c>
      <c r="H12" s="251"/>
      <c r="I12" s="306"/>
      <c r="J12" s="82"/>
      <c r="K12" s="258"/>
      <c r="L12" s="574"/>
      <c r="M12" s="258"/>
      <c r="N12" s="574">
        <f>F12+110</f>
        <v>1390</v>
      </c>
      <c r="O12" s="258">
        <f t="shared" si="7"/>
        <v>1390</v>
      </c>
      <c r="P12" s="574">
        <f>F12+100</f>
        <v>1380</v>
      </c>
      <c r="Q12" s="258">
        <f t="shared" si="8"/>
        <v>1380</v>
      </c>
      <c r="R12" s="574">
        <f>F12+80</f>
        <v>1360</v>
      </c>
      <c r="S12" s="258">
        <f t="shared" si="9"/>
        <v>1360</v>
      </c>
      <c r="T12" s="574">
        <f>F12+65</f>
        <v>1345</v>
      </c>
      <c r="U12" s="258">
        <f t="shared" si="10"/>
        <v>1345</v>
      </c>
      <c r="V12" s="574">
        <f>F12+56</f>
        <v>1336</v>
      </c>
      <c r="W12" s="258">
        <f t="shared" si="11"/>
        <v>1336</v>
      </c>
      <c r="X12" s="119"/>
      <c r="Y12" s="119"/>
      <c r="Z12" s="119"/>
      <c r="AA12" s="119"/>
      <c r="AB12" s="354">
        <v>15</v>
      </c>
      <c r="AE12" s="58"/>
      <c r="AF12" s="1051" t="s">
        <v>374</v>
      </c>
      <c r="AG12" s="1051"/>
      <c r="AH12" s="1051"/>
    </row>
    <row r="13" spans="1:39" ht="12.6" customHeight="1" x14ac:dyDescent="0.2">
      <c r="A13" s="17"/>
      <c r="B13" s="805" t="s">
        <v>376</v>
      </c>
      <c r="C13" s="707"/>
      <c r="D13" s="707"/>
      <c r="E13" s="708"/>
      <c r="F13" s="257">
        <v>510</v>
      </c>
      <c r="G13" s="279">
        <f t="shared" si="12"/>
        <v>510</v>
      </c>
      <c r="H13" s="252"/>
      <c r="I13" s="305"/>
      <c r="J13" s="559">
        <f>F13+200</f>
        <v>710</v>
      </c>
      <c r="K13" s="257">
        <f t="shared" ref="K13" si="13">+J13*$X$1</f>
        <v>710</v>
      </c>
      <c r="L13" s="559">
        <f>F13+150</f>
        <v>660</v>
      </c>
      <c r="M13" s="257">
        <f t="shared" ref="M13" si="14">+L13*$X$1</f>
        <v>660</v>
      </c>
      <c r="N13" s="559">
        <f>F13+100</f>
        <v>610</v>
      </c>
      <c r="O13" s="257">
        <f>+N13*$X$1</f>
        <v>610</v>
      </c>
      <c r="P13" s="559">
        <f>F13+90</f>
        <v>600</v>
      </c>
      <c r="Q13" s="257">
        <f t="shared" si="8"/>
        <v>600</v>
      </c>
      <c r="R13" s="559">
        <f>F13+70</f>
        <v>580</v>
      </c>
      <c r="S13" s="257">
        <f>+R13*$X$1</f>
        <v>580</v>
      </c>
      <c r="T13" s="559">
        <f>F13+56</f>
        <v>566</v>
      </c>
      <c r="U13" s="257">
        <f t="shared" ref="U13:U14" si="15">+T13*$X$1</f>
        <v>566</v>
      </c>
      <c r="V13" s="559"/>
      <c r="W13" s="257"/>
      <c r="X13" s="119"/>
      <c r="Y13" s="119"/>
      <c r="Z13" s="119"/>
      <c r="AA13" s="119"/>
      <c r="AB13" s="354">
        <v>17</v>
      </c>
      <c r="AE13" s="58"/>
      <c r="AF13" s="1051" t="s">
        <v>337</v>
      </c>
      <c r="AG13" s="1051"/>
      <c r="AH13" s="1051"/>
      <c r="AI13" s="58"/>
    </row>
    <row r="14" spans="1:39" ht="12.6" customHeight="1" x14ac:dyDescent="0.2">
      <c r="A14" s="17"/>
      <c r="B14" s="810" t="s">
        <v>650</v>
      </c>
      <c r="C14" s="669"/>
      <c r="D14" s="669"/>
      <c r="E14" s="670"/>
      <c r="F14" s="336">
        <f>23.3*X2</f>
        <v>30057</v>
      </c>
      <c r="G14" s="278">
        <f>+F14*$X$1</f>
        <v>30057</v>
      </c>
      <c r="H14" s="436">
        <f>F14+600</f>
        <v>30657</v>
      </c>
      <c r="I14" s="258">
        <f t="shared" ref="I14" si="16">+H14*$X$1</f>
        <v>30657</v>
      </c>
      <c r="J14" s="574">
        <f>F14+250</f>
        <v>30307</v>
      </c>
      <c r="K14" s="258">
        <f t="shared" ref="K14" si="17">+J14*$X$1</f>
        <v>30307</v>
      </c>
      <c r="L14" s="574">
        <f>F14+210</f>
        <v>30267</v>
      </c>
      <c r="M14" s="258">
        <f t="shared" ref="M14" si="18">+L14*$X$1</f>
        <v>30267</v>
      </c>
      <c r="N14" s="574">
        <f>F14+180</f>
        <v>30237</v>
      </c>
      <c r="O14" s="258">
        <f t="shared" ref="O14" si="19">+N14*$X$1</f>
        <v>30237</v>
      </c>
      <c r="P14" s="574">
        <f>F14+140</f>
        <v>30197</v>
      </c>
      <c r="Q14" s="258">
        <f t="shared" ref="Q14" si="20">+P14*$X$1</f>
        <v>30197</v>
      </c>
      <c r="R14" s="574">
        <f>F14+110</f>
        <v>30167</v>
      </c>
      <c r="S14" s="258">
        <f t="shared" ref="S14" si="21">+R14*$X$1</f>
        <v>30167</v>
      </c>
      <c r="T14" s="574">
        <f>F14+90</f>
        <v>30147</v>
      </c>
      <c r="U14" s="258">
        <f t="shared" si="15"/>
        <v>30147</v>
      </c>
      <c r="V14" s="574"/>
      <c r="W14" s="258"/>
      <c r="X14" s="638"/>
      <c r="Y14" s="639"/>
      <c r="Z14" s="639"/>
      <c r="AA14" s="640"/>
      <c r="AB14" s="354">
        <v>18</v>
      </c>
      <c r="AE14" s="69"/>
      <c r="AF14" s="1051" t="s">
        <v>338</v>
      </c>
      <c r="AG14" s="1051"/>
      <c r="AH14" s="1051"/>
      <c r="AI14" s="467"/>
    </row>
    <row r="15" spans="1:39" ht="12.6" customHeight="1" x14ac:dyDescent="0.2">
      <c r="A15" s="17"/>
      <c r="B15" s="635" t="s">
        <v>1005</v>
      </c>
      <c r="C15" s="636"/>
      <c r="D15" s="636"/>
      <c r="E15" s="637"/>
      <c r="F15" s="257">
        <v>6920</v>
      </c>
      <c r="G15" s="279">
        <f t="shared" ref="G15:G16" si="22">+F15*$X$1</f>
        <v>6920</v>
      </c>
      <c r="H15" s="435">
        <f>F15+600</f>
        <v>7520</v>
      </c>
      <c r="I15" s="257">
        <f t="shared" ref="I15" si="23">+H15*$X$1</f>
        <v>7520</v>
      </c>
      <c r="J15" s="559">
        <f>F15+250</f>
        <v>7170</v>
      </c>
      <c r="K15" s="257">
        <f t="shared" ref="K15" si="24">+J15*$X$1</f>
        <v>7170</v>
      </c>
      <c r="L15" s="559">
        <f>F15+210</f>
        <v>7130</v>
      </c>
      <c r="M15" s="257">
        <f t="shared" ref="M15" si="25">+L15*$X$1</f>
        <v>7130</v>
      </c>
      <c r="N15" s="559">
        <f>F15+180</f>
        <v>7100</v>
      </c>
      <c r="O15" s="257">
        <f t="shared" ref="O15" si="26">+N15*$X$1</f>
        <v>7100</v>
      </c>
      <c r="P15" s="559">
        <f>F15+140</f>
        <v>7060</v>
      </c>
      <c r="Q15" s="257">
        <f t="shared" ref="Q15" si="27">+P15*$X$1</f>
        <v>7060</v>
      </c>
      <c r="R15" s="559">
        <f>F15+110</f>
        <v>7030</v>
      </c>
      <c r="S15" s="257">
        <f t="shared" ref="S15" si="28">+R15*$X$1</f>
        <v>7030</v>
      </c>
      <c r="T15" s="559">
        <f>F15+90</f>
        <v>7010</v>
      </c>
      <c r="U15" s="257">
        <f t="shared" ref="U15" si="29">+T15*$X$1</f>
        <v>7010</v>
      </c>
      <c r="V15" s="559"/>
      <c r="W15" s="257"/>
      <c r="X15" s="638"/>
      <c r="Y15" s="639"/>
      <c r="Z15" s="639"/>
      <c r="AA15" s="640"/>
      <c r="AB15" s="354">
        <v>19</v>
      </c>
      <c r="AE15" s="69"/>
      <c r="AF15" s="1113" t="s">
        <v>24</v>
      </c>
      <c r="AG15" s="1113"/>
      <c r="AH15" s="1113"/>
      <c r="AI15" s="1113"/>
    </row>
    <row r="16" spans="1:39" ht="12.6" customHeight="1" x14ac:dyDescent="0.2">
      <c r="A16" s="17"/>
      <c r="B16" s="810" t="s">
        <v>1031</v>
      </c>
      <c r="C16" s="669"/>
      <c r="D16" s="669"/>
      <c r="E16" s="670"/>
      <c r="F16" s="258">
        <v>3240</v>
      </c>
      <c r="G16" s="278">
        <f t="shared" si="22"/>
        <v>3240</v>
      </c>
      <c r="H16" s="251"/>
      <c r="I16" s="306"/>
      <c r="J16" s="574"/>
      <c r="K16" s="258"/>
      <c r="L16" s="574"/>
      <c r="M16" s="258"/>
      <c r="N16" s="574"/>
      <c r="O16" s="258"/>
      <c r="P16" s="574"/>
      <c r="Q16" s="258"/>
      <c r="R16" s="574"/>
      <c r="S16" s="258"/>
      <c r="T16" s="574"/>
      <c r="U16" s="258"/>
      <c r="V16" s="574"/>
      <c r="W16" s="258"/>
      <c r="X16" s="119"/>
      <c r="Y16" s="119"/>
      <c r="Z16" s="119"/>
      <c r="AA16" s="119"/>
      <c r="AB16" s="354">
        <v>20</v>
      </c>
      <c r="AE16" s="58"/>
      <c r="AF16" s="1113" t="s">
        <v>806</v>
      </c>
      <c r="AG16" s="1113"/>
      <c r="AH16" s="1113"/>
      <c r="AI16" s="1113"/>
    </row>
    <row r="17" spans="1:37" ht="12.6" customHeight="1" x14ac:dyDescent="0.2">
      <c r="A17" s="17"/>
      <c r="B17" s="805" t="s">
        <v>854</v>
      </c>
      <c r="C17" s="707"/>
      <c r="D17" s="707"/>
      <c r="E17" s="708"/>
      <c r="F17" s="337">
        <f>11*X2</f>
        <v>14190</v>
      </c>
      <c r="G17" s="257">
        <f>+F17*$X$1</f>
        <v>14190</v>
      </c>
      <c r="H17" s="252"/>
      <c r="I17" s="305"/>
      <c r="J17" s="534"/>
      <c r="K17" s="257"/>
      <c r="L17" s="534">
        <f>F17+210</f>
        <v>14400</v>
      </c>
      <c r="M17" s="257">
        <f t="shared" ref="M17" si="30">+L17*$X$1</f>
        <v>14400</v>
      </c>
      <c r="N17" s="534">
        <f>F17+180</f>
        <v>14370</v>
      </c>
      <c r="O17" s="257">
        <f t="shared" ref="O17" si="31">+N17*$X$1</f>
        <v>14370</v>
      </c>
      <c r="P17" s="534">
        <f>F17+140</f>
        <v>14330</v>
      </c>
      <c r="Q17" s="257">
        <f t="shared" ref="Q17" si="32">+P17*$X$1</f>
        <v>14330</v>
      </c>
      <c r="R17" s="534">
        <f>F17+110</f>
        <v>14300</v>
      </c>
      <c r="S17" s="257">
        <f t="shared" ref="S17" si="33">+R17*$X$1</f>
        <v>14300</v>
      </c>
      <c r="T17" s="534">
        <f>F17+90</f>
        <v>14280</v>
      </c>
      <c r="U17" s="257">
        <f t="shared" ref="U17" si="34">+T17*$X$1</f>
        <v>14280</v>
      </c>
      <c r="V17" s="534"/>
      <c r="W17" s="257"/>
      <c r="X17" s="498"/>
      <c r="Y17" s="150"/>
      <c r="Z17" s="150"/>
      <c r="AA17" s="151"/>
      <c r="AB17" s="354">
        <v>22</v>
      </c>
      <c r="AE17" s="69"/>
      <c r="AF17" s="1113" t="s">
        <v>688</v>
      </c>
      <c r="AG17" s="1113"/>
      <c r="AH17" s="1113"/>
      <c r="AI17" s="1113"/>
      <c r="AJ17" s="1113"/>
      <c r="AK17" s="62"/>
    </row>
    <row r="18" spans="1:37" ht="12.6" customHeight="1" x14ac:dyDescent="0.2">
      <c r="A18" s="88"/>
      <c r="B18" s="810" t="s">
        <v>25</v>
      </c>
      <c r="C18" s="669"/>
      <c r="D18" s="669"/>
      <c r="E18" s="670"/>
      <c r="F18" s="336">
        <f>4.1*X2</f>
        <v>5288.9999999999991</v>
      </c>
      <c r="G18" s="278">
        <f>+F18*$X$1</f>
        <v>5288.9999999999991</v>
      </c>
      <c r="H18" s="407">
        <f>F18+600</f>
        <v>5888.9999999999991</v>
      </c>
      <c r="I18" s="258">
        <f t="shared" ref="I18:I19" si="35">+H18*$X$1</f>
        <v>5888.9999999999991</v>
      </c>
      <c r="J18" s="406"/>
      <c r="K18" s="260"/>
      <c r="L18" s="406"/>
      <c r="M18" s="258"/>
      <c r="N18" s="406"/>
      <c r="O18" s="258"/>
      <c r="P18" s="92"/>
      <c r="Q18" s="1118" t="s">
        <v>141</v>
      </c>
      <c r="R18" s="1119"/>
      <c r="S18" s="1119"/>
      <c r="T18" s="1119"/>
      <c r="U18" s="1119"/>
      <c r="V18" s="1119"/>
      <c r="W18" s="1120"/>
      <c r="X18" s="638"/>
      <c r="Y18" s="639"/>
      <c r="Z18" s="639"/>
      <c r="AA18" s="640"/>
      <c r="AB18" s="354">
        <v>24</v>
      </c>
      <c r="AE18" s="69"/>
      <c r="AF18" s="1113" t="s">
        <v>906</v>
      </c>
      <c r="AG18" s="1113"/>
      <c r="AH18" s="1113"/>
      <c r="AI18" s="1113"/>
      <c r="AJ18" s="1113"/>
    </row>
    <row r="19" spans="1:37" ht="12.6" customHeight="1" x14ac:dyDescent="0.2">
      <c r="A19" s="115"/>
      <c r="B19" s="805" t="s">
        <v>506</v>
      </c>
      <c r="C19" s="806"/>
      <c r="D19" s="806"/>
      <c r="E19" s="807"/>
      <c r="F19" s="337">
        <f>4.1*X2</f>
        <v>5288.9999999999991</v>
      </c>
      <c r="G19" s="279">
        <f>+F19*$X$1</f>
        <v>5288.9999999999991</v>
      </c>
      <c r="H19" s="290">
        <f>F19+600</f>
        <v>5888.9999999999991</v>
      </c>
      <c r="I19" s="257">
        <f t="shared" si="35"/>
        <v>5888.9999999999991</v>
      </c>
      <c r="J19" s="534"/>
      <c r="K19" s="259"/>
      <c r="L19" s="102"/>
      <c r="M19" s="259"/>
      <c r="N19" s="102">
        <f>F19+40</f>
        <v>5328.9999999999991</v>
      </c>
      <c r="O19" s="257"/>
      <c r="P19" s="252"/>
      <c r="Q19" s="1011" t="s">
        <v>141</v>
      </c>
      <c r="R19" s="1012"/>
      <c r="S19" s="1012"/>
      <c r="T19" s="1012"/>
      <c r="U19" s="1012"/>
      <c r="V19" s="1012"/>
      <c r="W19" s="1013"/>
      <c r="X19" s="221"/>
      <c r="Y19" s="177"/>
      <c r="Z19" s="177"/>
      <c r="AA19" s="176"/>
      <c r="AB19" s="354">
        <v>25</v>
      </c>
      <c r="AE19" s="69"/>
      <c r="AF19" s="1113" t="s">
        <v>540</v>
      </c>
      <c r="AG19" s="1113"/>
      <c r="AH19" s="1113"/>
      <c r="AI19" s="1113"/>
      <c r="AJ19" s="1113"/>
    </row>
    <row r="20" spans="1:37" ht="12.6" customHeight="1" x14ac:dyDescent="0.2">
      <c r="A20" s="114"/>
      <c r="B20" s="810" t="s">
        <v>26</v>
      </c>
      <c r="C20" s="669"/>
      <c r="D20" s="669"/>
      <c r="E20" s="670"/>
      <c r="F20" s="258"/>
      <c r="G20" s="303"/>
      <c r="H20" s="251"/>
      <c r="I20" s="306"/>
      <c r="J20" s="406"/>
      <c r="K20" s="260"/>
      <c r="L20" s="406"/>
      <c r="M20" s="258"/>
      <c r="N20" s="406"/>
      <c r="O20" s="258"/>
      <c r="P20" s="92"/>
      <c r="Q20" s="258"/>
      <c r="R20" s="406"/>
      <c r="S20" s="258"/>
      <c r="T20" s="406"/>
      <c r="U20" s="258"/>
      <c r="V20" s="86"/>
      <c r="W20" s="258"/>
      <c r="X20" s="638"/>
      <c r="Y20" s="639"/>
      <c r="Z20" s="639"/>
      <c r="AA20" s="640"/>
      <c r="AB20" s="32"/>
      <c r="AF20" s="1113" t="s">
        <v>348</v>
      </c>
      <c r="AG20" s="1113"/>
      <c r="AH20" s="1113"/>
      <c r="AI20" s="1114"/>
      <c r="AJ20" s="1114"/>
    </row>
    <row r="21" spans="1:37" ht="12.6" customHeight="1" x14ac:dyDescent="0.2">
      <c r="A21" s="17"/>
      <c r="B21" s="805" t="s">
        <v>27</v>
      </c>
      <c r="C21" s="707"/>
      <c r="D21" s="707"/>
      <c r="E21" s="708"/>
      <c r="F21" s="257">
        <v>4171</v>
      </c>
      <c r="G21" s="279">
        <f t="shared" ref="G21:G26" si="36">+F21*$X$1</f>
        <v>4171</v>
      </c>
      <c r="H21" s="435">
        <f>F21+600</f>
        <v>4771</v>
      </c>
      <c r="I21" s="257">
        <f t="shared" ref="I21:I22" si="37">+H21*$X$1</f>
        <v>4771</v>
      </c>
      <c r="J21" s="534">
        <f>F21+280</f>
        <v>4451</v>
      </c>
      <c r="K21" s="257">
        <f t="shared" ref="K21" si="38">+J21*$X$1</f>
        <v>4451</v>
      </c>
      <c r="L21" s="534">
        <f>F21+230</f>
        <v>4401</v>
      </c>
      <c r="M21" s="257">
        <f t="shared" ref="M21" si="39">+L21*$X$1</f>
        <v>4401</v>
      </c>
      <c r="N21" s="534">
        <f>F21+190</f>
        <v>4361</v>
      </c>
      <c r="O21" s="257">
        <f t="shared" ref="O21" si="40">+N21*$X$1</f>
        <v>4361</v>
      </c>
      <c r="P21" s="534">
        <f>F21+160</f>
        <v>4331</v>
      </c>
      <c r="Q21" s="257">
        <f t="shared" ref="Q21" si="41">+P21*$X$1</f>
        <v>4331</v>
      </c>
      <c r="R21" s="534">
        <f>F21+130</f>
        <v>4301</v>
      </c>
      <c r="S21" s="257">
        <f t="shared" ref="S21" si="42">+R21*$X$1</f>
        <v>4301</v>
      </c>
      <c r="T21" s="534">
        <f>F21+110</f>
        <v>4281</v>
      </c>
      <c r="U21" s="257">
        <f t="shared" ref="U21" si="43">+T21*$X$1</f>
        <v>4281</v>
      </c>
      <c r="V21" s="534">
        <f>F21+90</f>
        <v>4261</v>
      </c>
      <c r="W21" s="257">
        <f t="shared" ref="W21" si="44">+V21*$X$1</f>
        <v>4261</v>
      </c>
      <c r="X21" s="638"/>
      <c r="Y21" s="639"/>
      <c r="Z21" s="639"/>
      <c r="AA21" s="640"/>
      <c r="AB21" s="354" t="s">
        <v>28</v>
      </c>
      <c r="AE21" s="69"/>
      <c r="AF21" s="1113" t="s">
        <v>349</v>
      </c>
      <c r="AG21" s="1113"/>
      <c r="AH21" s="1113"/>
      <c r="AI21" s="1113"/>
      <c r="AJ21" s="70"/>
    </row>
    <row r="22" spans="1:37" ht="12.6" customHeight="1" x14ac:dyDescent="0.2">
      <c r="A22" s="17"/>
      <c r="B22" s="803" t="s">
        <v>29</v>
      </c>
      <c r="C22" s="646"/>
      <c r="D22" s="646"/>
      <c r="E22" s="646"/>
      <c r="F22" s="258">
        <v>4171</v>
      </c>
      <c r="G22" s="278">
        <f t="shared" ref="G22" si="45">+F22*$X$1</f>
        <v>4171</v>
      </c>
      <c r="H22" s="436">
        <f>F22+600</f>
        <v>4771</v>
      </c>
      <c r="I22" s="258">
        <f t="shared" si="37"/>
        <v>4771</v>
      </c>
      <c r="J22" s="406">
        <f>F22+280</f>
        <v>4451</v>
      </c>
      <c r="K22" s="258">
        <f t="shared" ref="K22" si="46">+J22*$X$1</f>
        <v>4451</v>
      </c>
      <c r="L22" s="406">
        <f>F22+230</f>
        <v>4401</v>
      </c>
      <c r="M22" s="258">
        <f t="shared" ref="M22" si="47">+L22*$X$1</f>
        <v>4401</v>
      </c>
      <c r="N22" s="406">
        <f>F22+190</f>
        <v>4361</v>
      </c>
      <c r="O22" s="258">
        <f t="shared" ref="O22" si="48">+N22*$X$1</f>
        <v>4361</v>
      </c>
      <c r="P22" s="406">
        <f>F22+160</f>
        <v>4331</v>
      </c>
      <c r="Q22" s="258">
        <f t="shared" ref="Q22" si="49">+P22*$X$1</f>
        <v>4331</v>
      </c>
      <c r="R22" s="406">
        <f>F22+130</f>
        <v>4301</v>
      </c>
      <c r="S22" s="258">
        <f t="shared" ref="S22" si="50">+R22*$X$1</f>
        <v>4301</v>
      </c>
      <c r="T22" s="406">
        <f>F22+110</f>
        <v>4281</v>
      </c>
      <c r="U22" s="258">
        <f t="shared" ref="U22" si="51">+T22*$X$1</f>
        <v>4281</v>
      </c>
      <c r="V22" s="406">
        <f>F22+90</f>
        <v>4261</v>
      </c>
      <c r="W22" s="258">
        <f t="shared" ref="W22" si="52">+V22*$X$1</f>
        <v>4261</v>
      </c>
      <c r="X22" s="638"/>
      <c r="Y22" s="639"/>
      <c r="Z22" s="639"/>
      <c r="AA22" s="640"/>
      <c r="AB22" s="354" t="s">
        <v>30</v>
      </c>
      <c r="AE22" s="69"/>
      <c r="AF22" s="1113" t="s">
        <v>364</v>
      </c>
      <c r="AG22" s="1113"/>
      <c r="AH22" s="1113"/>
      <c r="AI22" s="1113"/>
      <c r="AJ22" s="1114"/>
    </row>
    <row r="23" spans="1:37" ht="12.6" customHeight="1" x14ac:dyDescent="0.2">
      <c r="A23" s="17"/>
      <c r="B23" s="802" t="s">
        <v>320</v>
      </c>
      <c r="C23" s="655"/>
      <c r="D23" s="655"/>
      <c r="E23" s="655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4"/>
      <c r="S23" s="257"/>
      <c r="T23" s="534"/>
      <c r="U23" s="257"/>
      <c r="V23" s="534"/>
      <c r="W23" s="257"/>
      <c r="X23" s="119"/>
      <c r="Y23" s="119"/>
      <c r="Z23" s="119"/>
      <c r="AA23" s="119"/>
      <c r="AB23" s="354">
        <v>35</v>
      </c>
      <c r="AE23" s="69"/>
      <c r="AF23" s="1113" t="s">
        <v>321</v>
      </c>
      <c r="AG23" s="1114"/>
      <c r="AH23" s="1114"/>
      <c r="AI23" s="1114"/>
      <c r="AJ23" s="70"/>
    </row>
    <row r="24" spans="1:37" ht="12.6" customHeight="1" x14ac:dyDescent="0.2">
      <c r="A24" s="17"/>
      <c r="B24" s="803" t="s">
        <v>319</v>
      </c>
      <c r="C24" s="646"/>
      <c r="D24" s="646"/>
      <c r="E24" s="646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6"/>
      <c r="M24" s="258"/>
      <c r="N24" s="406"/>
      <c r="O24" s="258"/>
      <c r="P24" s="251"/>
      <c r="Q24" s="306"/>
      <c r="R24" s="406"/>
      <c r="S24" s="319"/>
      <c r="T24" s="92"/>
      <c r="U24" s="283"/>
      <c r="V24" s="92"/>
      <c r="W24" s="258"/>
      <c r="X24" s="119"/>
      <c r="Y24" s="119"/>
      <c r="Z24" s="119"/>
      <c r="AA24" s="119"/>
      <c r="AB24" s="354">
        <v>36</v>
      </c>
      <c r="AE24" s="69"/>
      <c r="AF24" s="1113" t="s">
        <v>453</v>
      </c>
      <c r="AG24" s="1113"/>
      <c r="AH24" s="1113"/>
      <c r="AI24" s="1113"/>
      <c r="AJ24" s="70"/>
    </row>
    <row r="25" spans="1:37" ht="12.6" customHeight="1" x14ac:dyDescent="0.2">
      <c r="A25" s="17"/>
      <c r="B25" s="1042" t="s">
        <v>1032</v>
      </c>
      <c r="C25" s="672"/>
      <c r="D25" s="672"/>
      <c r="E25" s="672"/>
      <c r="F25" s="257">
        <v>2650</v>
      </c>
      <c r="G25" s="274">
        <f t="shared" si="36"/>
        <v>2650</v>
      </c>
      <c r="H25" s="255"/>
      <c r="I25" s="309"/>
      <c r="J25" s="559">
        <f>F25+200</f>
        <v>2850</v>
      </c>
      <c r="K25" s="257">
        <f t="shared" ref="K25" si="53">+J25*$X$1</f>
        <v>2850</v>
      </c>
      <c r="L25" s="559">
        <f>F25+150</f>
        <v>2800</v>
      </c>
      <c r="M25" s="257">
        <f t="shared" ref="M25" si="54">+L25*$X$1</f>
        <v>2800</v>
      </c>
      <c r="N25" s="559">
        <f>F25+100</f>
        <v>2750</v>
      </c>
      <c r="O25" s="257">
        <f>+N25*$X$1</f>
        <v>2750</v>
      </c>
      <c r="P25" s="559">
        <f>F25+90</f>
        <v>2740</v>
      </c>
      <c r="Q25" s="257">
        <f t="shared" ref="Q25" si="55">+P25*$X$1</f>
        <v>2740</v>
      </c>
      <c r="R25" s="559">
        <f>F25+70</f>
        <v>2720</v>
      </c>
      <c r="S25" s="257">
        <f>+R25*$X$1</f>
        <v>2720</v>
      </c>
      <c r="T25" s="559">
        <f>F25+56</f>
        <v>2706</v>
      </c>
      <c r="U25" s="257">
        <f t="shared" ref="U25" si="56">+T25*$X$1</f>
        <v>2706</v>
      </c>
      <c r="V25" s="559">
        <f>F25+49</f>
        <v>2699</v>
      </c>
      <c r="W25" s="257">
        <f t="shared" ref="W25" si="57">+V25*$X$1</f>
        <v>2699</v>
      </c>
      <c r="X25" s="119"/>
      <c r="Y25" s="119"/>
      <c r="Z25" s="119"/>
      <c r="AA25" s="119"/>
      <c r="AB25" s="354"/>
      <c r="AE25" s="69"/>
      <c r="AF25" s="1113" t="s">
        <v>31</v>
      </c>
      <c r="AG25" s="1113"/>
      <c r="AH25" s="1113"/>
      <c r="AI25" s="1113"/>
      <c r="AJ25" s="70"/>
    </row>
    <row r="26" spans="1:37" ht="12.6" customHeight="1" x14ac:dyDescent="0.2">
      <c r="A26" s="17"/>
      <c r="B26" s="810" t="s">
        <v>32</v>
      </c>
      <c r="C26" s="669"/>
      <c r="D26" s="669"/>
      <c r="E26" s="670"/>
      <c r="F26" s="334">
        <f>8.97*X2</f>
        <v>11571.300000000001</v>
      </c>
      <c r="G26" s="258">
        <f t="shared" si="36"/>
        <v>11571.300000000001</v>
      </c>
      <c r="H26" s="407"/>
      <c r="I26" s="258"/>
      <c r="J26" s="576"/>
      <c r="K26" s="258"/>
      <c r="L26" s="576">
        <f>F26+230</f>
        <v>11801.300000000001</v>
      </c>
      <c r="M26" s="258">
        <f t="shared" ref="M26" si="58">+L26*$X$1</f>
        <v>11801.300000000001</v>
      </c>
      <c r="N26" s="576">
        <f>F26+190</f>
        <v>11761.300000000001</v>
      </c>
      <c r="O26" s="258">
        <f t="shared" ref="O26" si="59">+N26*$X$1</f>
        <v>11761.300000000001</v>
      </c>
      <c r="P26" s="576">
        <f>F26+160</f>
        <v>11731.300000000001</v>
      </c>
      <c r="Q26" s="258">
        <f t="shared" ref="Q26" si="60">+P26*$X$1</f>
        <v>11731.300000000001</v>
      </c>
      <c r="R26" s="576">
        <f>F26+130</f>
        <v>11701.300000000001</v>
      </c>
      <c r="S26" s="258">
        <f t="shared" ref="S26" si="61">+R26*$X$1</f>
        <v>11701.300000000001</v>
      </c>
      <c r="T26" s="576">
        <f>F26+110</f>
        <v>11681.300000000001</v>
      </c>
      <c r="U26" s="258">
        <f t="shared" ref="U26" si="62">+T26*$X$1</f>
        <v>11681.300000000001</v>
      </c>
      <c r="V26" s="576"/>
      <c r="W26" s="258"/>
      <c r="X26" s="638"/>
      <c r="Y26" s="1014"/>
      <c r="Z26" s="1014"/>
      <c r="AA26" s="981"/>
      <c r="AB26" s="354">
        <v>39</v>
      </c>
      <c r="AE26" s="69"/>
      <c r="AF26" s="1113" t="s">
        <v>689</v>
      </c>
      <c r="AG26" s="1113"/>
      <c r="AH26" s="1113"/>
      <c r="AI26" s="1114"/>
      <c r="AJ26" s="1114"/>
    </row>
    <row r="27" spans="1:37" ht="12.6" customHeight="1" x14ac:dyDescent="0.2">
      <c r="A27" s="17"/>
      <c r="B27" s="1115" t="s">
        <v>33</v>
      </c>
      <c r="C27" s="1116"/>
      <c r="D27" s="1116"/>
      <c r="E27" s="1117"/>
      <c r="F27" s="259"/>
      <c r="G27" s="257"/>
      <c r="H27" s="252"/>
      <c r="I27" s="305"/>
      <c r="J27" s="110"/>
      <c r="K27" s="257"/>
      <c r="L27" s="559"/>
      <c r="M27" s="257"/>
      <c r="N27" s="559"/>
      <c r="O27" s="257"/>
      <c r="P27" s="284"/>
      <c r="Q27" s="257"/>
      <c r="R27" s="559"/>
      <c r="S27" s="257"/>
      <c r="T27" s="559"/>
      <c r="U27" s="257"/>
      <c r="V27" s="559"/>
      <c r="W27" s="257"/>
      <c r="X27" s="118"/>
      <c r="Y27" s="119"/>
      <c r="Z27" s="119"/>
      <c r="AA27" s="119"/>
      <c r="AB27" s="354" t="s">
        <v>34</v>
      </c>
      <c r="AE27" s="69"/>
      <c r="AF27" s="1113" t="s">
        <v>35</v>
      </c>
      <c r="AG27" s="1113"/>
      <c r="AH27" s="1113"/>
      <c r="AI27" s="1113"/>
      <c r="AJ27" s="70"/>
    </row>
    <row r="28" spans="1:37" ht="12.6" customHeight="1" x14ac:dyDescent="0.2">
      <c r="A28" s="17"/>
      <c r="B28" s="803" t="s">
        <v>36</v>
      </c>
      <c r="C28" s="646"/>
      <c r="D28" s="646"/>
      <c r="E28" s="646"/>
      <c r="F28" s="334"/>
      <c r="G28" s="258"/>
      <c r="H28" s="251"/>
      <c r="I28" s="306"/>
      <c r="J28" s="576"/>
      <c r="K28" s="258"/>
      <c r="L28" s="576">
        <f>8.2*X2</f>
        <v>10577.999999999998</v>
      </c>
      <c r="M28" s="258">
        <f t="shared" ref="M28:M30" si="63">+L28*$X$1</f>
        <v>10577.999999999998</v>
      </c>
      <c r="N28" s="576">
        <f>8*X2</f>
        <v>10320</v>
      </c>
      <c r="O28" s="258">
        <f t="shared" ref="O28:O30" si="64">+N28*$X$1</f>
        <v>10320</v>
      </c>
      <c r="P28" s="253">
        <f>7.9*X2</f>
        <v>10191</v>
      </c>
      <c r="Q28" s="258">
        <f t="shared" ref="Q28:Q30" si="65">+P28*$X$1</f>
        <v>10191</v>
      </c>
      <c r="R28" s="576">
        <f>7.8*X2</f>
        <v>10062</v>
      </c>
      <c r="S28" s="258">
        <f t="shared" ref="S28:S30" si="66">+R28*$X$1</f>
        <v>10062</v>
      </c>
      <c r="T28" s="576">
        <f>7.7*X2</f>
        <v>9933</v>
      </c>
      <c r="U28" s="258">
        <f t="shared" ref="U28:U30" si="67">+T28*$X$1</f>
        <v>9933</v>
      </c>
      <c r="V28" s="576"/>
      <c r="W28" s="258"/>
      <c r="X28" s="715"/>
      <c r="Y28" s="1014"/>
      <c r="Z28" s="1014"/>
      <c r="AA28" s="981"/>
      <c r="AB28" s="354">
        <v>40</v>
      </c>
      <c r="AE28" s="69"/>
      <c r="AF28" s="1113" t="s">
        <v>37</v>
      </c>
      <c r="AG28" s="1113"/>
      <c r="AH28" s="1113"/>
      <c r="AI28" s="1113"/>
      <c r="AJ28" s="1114"/>
    </row>
    <row r="29" spans="1:37" ht="12.6" customHeight="1" x14ac:dyDescent="0.2">
      <c r="A29" s="17"/>
      <c r="B29" s="805" t="s">
        <v>327</v>
      </c>
      <c r="C29" s="707"/>
      <c r="D29" s="707"/>
      <c r="E29" s="708"/>
      <c r="F29" s="337">
        <f>10.35*X2</f>
        <v>13351.5</v>
      </c>
      <c r="G29" s="257">
        <f>+F29*$X$1</f>
        <v>13351.5</v>
      </c>
      <c r="H29" s="252"/>
      <c r="I29" s="305"/>
      <c r="J29" s="559"/>
      <c r="K29" s="257"/>
      <c r="L29" s="559">
        <f>F29+210</f>
        <v>13561.5</v>
      </c>
      <c r="M29" s="257">
        <f t="shared" si="63"/>
        <v>13561.5</v>
      </c>
      <c r="N29" s="559">
        <f>F29+180</f>
        <v>13531.5</v>
      </c>
      <c r="O29" s="257">
        <f t="shared" si="64"/>
        <v>13531.5</v>
      </c>
      <c r="P29" s="559">
        <f>F29+140</f>
        <v>13491.5</v>
      </c>
      <c r="Q29" s="257">
        <f t="shared" si="65"/>
        <v>13491.5</v>
      </c>
      <c r="R29" s="559">
        <f>F29+110</f>
        <v>13461.5</v>
      </c>
      <c r="S29" s="257">
        <f t="shared" si="66"/>
        <v>13461.5</v>
      </c>
      <c r="T29" s="559">
        <f>F29+90</f>
        <v>13441.5</v>
      </c>
      <c r="U29" s="257">
        <f t="shared" si="67"/>
        <v>13441.5</v>
      </c>
      <c r="V29" s="559"/>
      <c r="W29" s="257"/>
      <c r="X29" s="196"/>
      <c r="Y29" s="150"/>
      <c r="Z29" s="150"/>
      <c r="AA29" s="151"/>
      <c r="AB29" s="354">
        <v>44</v>
      </c>
      <c r="AE29" s="69"/>
      <c r="AF29" s="1113" t="s">
        <v>379</v>
      </c>
      <c r="AG29" s="1113"/>
      <c r="AH29" s="1113"/>
      <c r="AI29" s="1114"/>
      <c r="AJ29" s="1114"/>
      <c r="AK29" s="62"/>
    </row>
    <row r="30" spans="1:37" ht="12.6" customHeight="1" x14ac:dyDescent="0.2">
      <c r="A30" s="17"/>
      <c r="B30" s="816" t="s">
        <v>612</v>
      </c>
      <c r="C30" s="797"/>
      <c r="D30" s="797"/>
      <c r="E30" s="797"/>
      <c r="F30" s="334">
        <f>0.51*X2</f>
        <v>657.9</v>
      </c>
      <c r="G30" s="258">
        <f>+F30*$X$1</f>
        <v>657.9</v>
      </c>
      <c r="H30" s="251"/>
      <c r="I30" s="306"/>
      <c r="J30" s="82"/>
      <c r="K30" s="258"/>
      <c r="L30" s="576">
        <f>F30+150</f>
        <v>807.9</v>
      </c>
      <c r="M30" s="258">
        <f t="shared" si="63"/>
        <v>807.9</v>
      </c>
      <c r="N30" s="576">
        <f>F30+110</f>
        <v>767.9</v>
      </c>
      <c r="O30" s="258">
        <f t="shared" si="64"/>
        <v>767.9</v>
      </c>
      <c r="P30" s="576">
        <f>F30+100</f>
        <v>757.9</v>
      </c>
      <c r="Q30" s="258">
        <f t="shared" si="65"/>
        <v>757.9</v>
      </c>
      <c r="R30" s="576">
        <f>F30+80</f>
        <v>737.9</v>
      </c>
      <c r="S30" s="258">
        <f t="shared" si="66"/>
        <v>737.9</v>
      </c>
      <c r="T30" s="576">
        <f>F30+65</f>
        <v>722.9</v>
      </c>
      <c r="U30" s="258">
        <f t="shared" si="67"/>
        <v>722.9</v>
      </c>
      <c r="V30" s="576">
        <f>F30+56</f>
        <v>713.9</v>
      </c>
      <c r="W30" s="258">
        <f t="shared" ref="W30" si="68">+V30*$X$1</f>
        <v>713.9</v>
      </c>
      <c r="X30" s="119"/>
      <c r="Y30" s="119"/>
      <c r="Z30" s="119"/>
      <c r="AA30" s="119"/>
      <c r="AB30" s="354">
        <v>45</v>
      </c>
      <c r="AF30" s="1113" t="s">
        <v>1021</v>
      </c>
      <c r="AG30" s="1113"/>
      <c r="AH30" s="1113"/>
      <c r="AI30" s="1114"/>
      <c r="AJ30" s="1114"/>
    </row>
    <row r="31" spans="1:37" ht="12.6" customHeight="1" x14ac:dyDescent="0.2">
      <c r="A31" s="17"/>
      <c r="B31" s="802" t="s">
        <v>38</v>
      </c>
      <c r="C31" s="655"/>
      <c r="D31" s="655"/>
      <c r="E31" s="655"/>
      <c r="F31" s="257">
        <v>690</v>
      </c>
      <c r="G31" s="279">
        <f t="shared" ref="G31:G39" si="69">+F31*$X$1</f>
        <v>690</v>
      </c>
      <c r="H31" s="1030" t="s">
        <v>39</v>
      </c>
      <c r="I31" s="1030"/>
      <c r="J31" s="1031"/>
      <c r="K31" s="1032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6">
        <f t="shared" ref="Q31:S53" si="71">+P31*$X$1</f>
        <v>1880</v>
      </c>
      <c r="R31" s="93">
        <v>1736</v>
      </c>
      <c r="S31" s="235">
        <f t="shared" si="71"/>
        <v>1736</v>
      </c>
      <c r="T31" s="559">
        <v>1603</v>
      </c>
      <c r="U31" s="235">
        <f t="shared" ref="U31:U48" si="72">+T31*$X$1</f>
        <v>1603</v>
      </c>
      <c r="V31" s="559">
        <v>1548</v>
      </c>
      <c r="W31" s="257">
        <f t="shared" ref="W31:W48" si="73">+V31*$X$1</f>
        <v>1548</v>
      </c>
      <c r="X31" s="638"/>
      <c r="Y31" s="1014"/>
      <c r="Z31" s="1014"/>
      <c r="AA31" s="981"/>
      <c r="AB31" s="354" t="s">
        <v>40</v>
      </c>
      <c r="AE31" s="69"/>
    </row>
    <row r="32" spans="1:37" ht="12.6" customHeight="1" x14ac:dyDescent="0.2">
      <c r="A32" s="17"/>
      <c r="B32" s="803" t="s">
        <v>41</v>
      </c>
      <c r="C32" s="646"/>
      <c r="D32" s="646"/>
      <c r="E32" s="646"/>
      <c r="F32" s="258">
        <v>690</v>
      </c>
      <c r="G32" s="278">
        <f t="shared" si="69"/>
        <v>690</v>
      </c>
      <c r="H32" s="1015" t="s">
        <v>39</v>
      </c>
      <c r="I32" s="1015"/>
      <c r="J32" s="1016"/>
      <c r="K32" s="1017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5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6">
        <v>1603</v>
      </c>
      <c r="U32" s="272">
        <f t="shared" ref="U32:U35" si="77">+T32*$X$1</f>
        <v>1603</v>
      </c>
      <c r="V32" s="576">
        <v>1548</v>
      </c>
      <c r="W32" s="258">
        <f t="shared" ref="W32:W35" si="78">+V32*$X$1</f>
        <v>1548</v>
      </c>
      <c r="X32" s="638"/>
      <c r="Y32" s="1014"/>
      <c r="Z32" s="1014"/>
      <c r="AA32" s="981"/>
      <c r="AB32" s="354" t="s">
        <v>42</v>
      </c>
    </row>
    <row r="33" spans="1:28" ht="12.6" customHeight="1" x14ac:dyDescent="0.2">
      <c r="A33" s="17"/>
      <c r="B33" s="802" t="s">
        <v>43</v>
      </c>
      <c r="C33" s="655"/>
      <c r="D33" s="655"/>
      <c r="E33" s="655"/>
      <c r="F33" s="257">
        <v>690</v>
      </c>
      <c r="G33" s="279">
        <f t="shared" si="69"/>
        <v>690</v>
      </c>
      <c r="H33" s="1021" t="s">
        <v>39</v>
      </c>
      <c r="I33" s="1021"/>
      <c r="J33" s="1022"/>
      <c r="K33" s="1023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6">
        <f t="shared" si="75"/>
        <v>1880</v>
      </c>
      <c r="R33" s="93">
        <v>1736</v>
      </c>
      <c r="S33" s="235">
        <f t="shared" si="76"/>
        <v>1736</v>
      </c>
      <c r="T33" s="559">
        <v>1603</v>
      </c>
      <c r="U33" s="235">
        <f t="shared" si="77"/>
        <v>1603</v>
      </c>
      <c r="V33" s="559">
        <v>1548</v>
      </c>
      <c r="W33" s="257">
        <f t="shared" si="78"/>
        <v>1548</v>
      </c>
      <c r="X33" s="638"/>
      <c r="Y33" s="1014"/>
      <c r="Z33" s="1014"/>
      <c r="AA33" s="981"/>
      <c r="AB33" s="354" t="s">
        <v>44</v>
      </c>
    </row>
    <row r="34" spans="1:28" ht="12.6" customHeight="1" x14ac:dyDescent="0.2">
      <c r="A34" s="17"/>
      <c r="B34" s="803" t="s">
        <v>45</v>
      </c>
      <c r="C34" s="646"/>
      <c r="D34" s="646"/>
      <c r="E34" s="646"/>
      <c r="F34" s="258">
        <v>690</v>
      </c>
      <c r="G34" s="278">
        <f t="shared" si="69"/>
        <v>690</v>
      </c>
      <c r="H34" s="1015" t="s">
        <v>39</v>
      </c>
      <c r="I34" s="1015"/>
      <c r="J34" s="1016"/>
      <c r="K34" s="1017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5">
        <f t="shared" si="75"/>
        <v>1880</v>
      </c>
      <c r="R34" s="92">
        <v>1736</v>
      </c>
      <c r="S34" s="272">
        <f t="shared" si="76"/>
        <v>1736</v>
      </c>
      <c r="T34" s="576">
        <v>1603</v>
      </c>
      <c r="U34" s="272">
        <f t="shared" si="77"/>
        <v>1603</v>
      </c>
      <c r="V34" s="576">
        <v>1548</v>
      </c>
      <c r="W34" s="258">
        <f t="shared" si="78"/>
        <v>1548</v>
      </c>
      <c r="X34" s="638"/>
      <c r="Y34" s="1014"/>
      <c r="Z34" s="1014"/>
      <c r="AA34" s="981"/>
      <c r="AB34" s="354" t="s">
        <v>46</v>
      </c>
    </row>
    <row r="35" spans="1:28" ht="12.6" customHeight="1" x14ac:dyDescent="0.2">
      <c r="A35" s="17"/>
      <c r="B35" s="802" t="s">
        <v>47</v>
      </c>
      <c r="C35" s="655"/>
      <c r="D35" s="655"/>
      <c r="E35" s="655"/>
      <c r="F35" s="257">
        <v>690</v>
      </c>
      <c r="G35" s="279">
        <f t="shared" si="69"/>
        <v>690</v>
      </c>
      <c r="H35" s="1021" t="s">
        <v>39</v>
      </c>
      <c r="I35" s="1021"/>
      <c r="J35" s="1022"/>
      <c r="K35" s="1023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6">
        <f t="shared" si="75"/>
        <v>1880</v>
      </c>
      <c r="R35" s="93">
        <v>1736</v>
      </c>
      <c r="S35" s="235">
        <f t="shared" si="76"/>
        <v>1736</v>
      </c>
      <c r="T35" s="559">
        <v>1603</v>
      </c>
      <c r="U35" s="235">
        <f t="shared" si="77"/>
        <v>1603</v>
      </c>
      <c r="V35" s="559">
        <v>1548</v>
      </c>
      <c r="W35" s="257">
        <f t="shared" si="78"/>
        <v>1548</v>
      </c>
      <c r="X35" s="638"/>
      <c r="Y35" s="1014"/>
      <c r="Z35" s="1014"/>
      <c r="AA35" s="981"/>
      <c r="AB35" s="354" t="s">
        <v>48</v>
      </c>
    </row>
    <row r="36" spans="1:28" ht="12.6" customHeight="1" x14ac:dyDescent="0.25">
      <c r="A36" s="17"/>
      <c r="B36" s="803" t="s">
        <v>49</v>
      </c>
      <c r="C36" s="646"/>
      <c r="D36" s="646"/>
      <c r="E36" s="646"/>
      <c r="F36" s="258">
        <v>690</v>
      </c>
      <c r="G36" s="278">
        <f t="shared" si="69"/>
        <v>690</v>
      </c>
      <c r="H36" s="1015" t="s">
        <v>39</v>
      </c>
      <c r="I36" s="1015"/>
      <c r="J36" s="1016"/>
      <c r="K36" s="1017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5">
        <f t="shared" si="71"/>
        <v>1623</v>
      </c>
      <c r="R36" s="576">
        <v>1488</v>
      </c>
      <c r="S36" s="272">
        <f t="shared" si="71"/>
        <v>1488</v>
      </c>
      <c r="T36" s="576">
        <v>1386</v>
      </c>
      <c r="U36" s="272">
        <f t="shared" si="72"/>
        <v>1386</v>
      </c>
      <c r="V36" s="576">
        <v>1317</v>
      </c>
      <c r="W36" s="258">
        <f t="shared" si="73"/>
        <v>1317</v>
      </c>
      <c r="X36" s="638"/>
      <c r="Y36" s="735"/>
      <c r="Z36" s="735"/>
      <c r="AA36" s="736"/>
      <c r="AB36" s="354" t="s">
        <v>413</v>
      </c>
    </row>
    <row r="37" spans="1:28" ht="12.6" customHeight="1" x14ac:dyDescent="0.2">
      <c r="A37" s="17"/>
      <c r="B37" s="802" t="s">
        <v>50</v>
      </c>
      <c r="C37" s="655"/>
      <c r="D37" s="655"/>
      <c r="E37" s="655"/>
      <c r="F37" s="257">
        <v>690</v>
      </c>
      <c r="G37" s="279">
        <f t="shared" si="69"/>
        <v>690</v>
      </c>
      <c r="H37" s="1021" t="s">
        <v>39</v>
      </c>
      <c r="I37" s="1021"/>
      <c r="J37" s="1022"/>
      <c r="K37" s="1023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6">
        <f t="shared" ref="Q37" si="80">+P37*$X$1</f>
        <v>1427</v>
      </c>
      <c r="R37" s="93">
        <v>1301</v>
      </c>
      <c r="S37" s="235">
        <f t="shared" ref="S37" si="81">+R37*$X$1</f>
        <v>1301</v>
      </c>
      <c r="T37" s="559">
        <v>1200</v>
      </c>
      <c r="U37" s="235">
        <f t="shared" ref="U37" si="82">+T37*$X$1</f>
        <v>1200</v>
      </c>
      <c r="V37" s="559">
        <v>1075</v>
      </c>
      <c r="W37" s="257">
        <f t="shared" ref="W37" si="83">+V37*$X$1</f>
        <v>1075</v>
      </c>
      <c r="X37" s="638"/>
      <c r="Y37" s="735"/>
      <c r="Z37" s="735"/>
      <c r="AA37" s="736"/>
      <c r="AB37" s="354" t="s">
        <v>411</v>
      </c>
    </row>
    <row r="38" spans="1:28" ht="12.6" customHeight="1" x14ac:dyDescent="0.25">
      <c r="A38" s="17"/>
      <c r="B38" s="803" t="s">
        <v>51</v>
      </c>
      <c r="C38" s="646"/>
      <c r="D38" s="646"/>
      <c r="E38" s="646"/>
      <c r="F38" s="258">
        <v>690</v>
      </c>
      <c r="G38" s="278">
        <f t="shared" si="69"/>
        <v>690</v>
      </c>
      <c r="H38" s="1015" t="s">
        <v>39</v>
      </c>
      <c r="I38" s="1015"/>
      <c r="J38" s="1016"/>
      <c r="K38" s="1017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5">
        <f t="shared" ref="Q38" si="85">+P38*$X$1</f>
        <v>1427</v>
      </c>
      <c r="R38" s="92">
        <v>1301</v>
      </c>
      <c r="S38" s="272">
        <f t="shared" ref="S38" si="86">+R38*$X$1</f>
        <v>1301</v>
      </c>
      <c r="T38" s="576">
        <v>1200</v>
      </c>
      <c r="U38" s="272">
        <f t="shared" ref="U38" si="87">+T38*$X$1</f>
        <v>1200</v>
      </c>
      <c r="V38" s="576">
        <v>1075</v>
      </c>
      <c r="W38" s="258">
        <f t="shared" ref="W38" si="88">+V38*$X$1</f>
        <v>1075</v>
      </c>
      <c r="X38" s="638"/>
      <c r="Y38" s="735"/>
      <c r="Z38" s="735"/>
      <c r="AA38" s="736"/>
      <c r="AB38" s="354" t="s">
        <v>414</v>
      </c>
    </row>
    <row r="39" spans="1:28" ht="12.6" customHeight="1" x14ac:dyDescent="0.25">
      <c r="A39" s="17"/>
      <c r="B39" s="802" t="s">
        <v>52</v>
      </c>
      <c r="C39" s="655"/>
      <c r="D39" s="655"/>
      <c r="E39" s="655"/>
      <c r="F39" s="257">
        <v>690</v>
      </c>
      <c r="G39" s="279">
        <f t="shared" si="69"/>
        <v>690</v>
      </c>
      <c r="H39" s="1021" t="s">
        <v>39</v>
      </c>
      <c r="I39" s="1021"/>
      <c r="J39" s="1022"/>
      <c r="K39" s="1023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6">
        <f t="shared" si="71"/>
        <v>1950</v>
      </c>
      <c r="R39" s="559">
        <v>1795</v>
      </c>
      <c r="S39" s="235">
        <f t="shared" si="71"/>
        <v>1795</v>
      </c>
      <c r="T39" s="559">
        <v>1681</v>
      </c>
      <c r="U39" s="235">
        <f t="shared" si="72"/>
        <v>1681</v>
      </c>
      <c r="V39" s="559">
        <v>1608</v>
      </c>
      <c r="W39" s="257">
        <f t="shared" si="73"/>
        <v>1608</v>
      </c>
      <c r="X39" s="638"/>
      <c r="Y39" s="735"/>
      <c r="Z39" s="735"/>
      <c r="AA39" s="736"/>
      <c r="AB39" s="354" t="s">
        <v>412</v>
      </c>
    </row>
    <row r="40" spans="1:28" ht="12.6" customHeight="1" x14ac:dyDescent="0.2">
      <c r="A40" s="17"/>
      <c r="B40" s="803" t="s">
        <v>415</v>
      </c>
      <c r="C40" s="646"/>
      <c r="D40" s="646"/>
      <c r="E40" s="646"/>
      <c r="F40" s="258">
        <v>690</v>
      </c>
      <c r="G40" s="278">
        <f t="shared" ref="G40" si="89">+F40*$X$1</f>
        <v>690</v>
      </c>
      <c r="H40" s="1015" t="s">
        <v>39</v>
      </c>
      <c r="I40" s="1015"/>
      <c r="J40" s="1016"/>
      <c r="K40" s="1017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5">
        <f t="shared" si="71"/>
        <v>1916</v>
      </c>
      <c r="R40" s="576">
        <v>1767</v>
      </c>
      <c r="S40" s="272">
        <f t="shared" si="71"/>
        <v>1767</v>
      </c>
      <c r="T40" s="576">
        <v>1671</v>
      </c>
      <c r="U40" s="272">
        <f t="shared" si="72"/>
        <v>1671</v>
      </c>
      <c r="V40" s="576">
        <v>1572</v>
      </c>
      <c r="W40" s="258">
        <f t="shared" si="73"/>
        <v>1572</v>
      </c>
      <c r="X40" s="638"/>
      <c r="Y40" s="735"/>
      <c r="Z40" s="735"/>
      <c r="AA40" s="736"/>
      <c r="AB40" s="354" t="s">
        <v>417</v>
      </c>
    </row>
    <row r="41" spans="1:28" ht="12.6" customHeight="1" x14ac:dyDescent="0.2">
      <c r="A41" s="17"/>
      <c r="B41" s="802" t="s">
        <v>416</v>
      </c>
      <c r="C41" s="655"/>
      <c r="D41" s="655"/>
      <c r="E41" s="655"/>
      <c r="F41" s="257">
        <v>690</v>
      </c>
      <c r="G41" s="279">
        <f t="shared" ref="G41" si="91">+F41*$X$1</f>
        <v>690</v>
      </c>
      <c r="H41" s="1021" t="s">
        <v>39</v>
      </c>
      <c r="I41" s="1021"/>
      <c r="J41" s="1022"/>
      <c r="K41" s="1023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6">
        <f t="shared" ref="Q41" si="92">+P41*$X$1</f>
        <v>1623</v>
      </c>
      <c r="R41" s="559">
        <v>1488</v>
      </c>
      <c r="S41" s="235">
        <f t="shared" ref="S41" si="93">+R41*$X$1</f>
        <v>1488</v>
      </c>
      <c r="T41" s="559">
        <v>1386</v>
      </c>
      <c r="U41" s="235">
        <f t="shared" ref="U41" si="94">+T41*$X$1</f>
        <v>1386</v>
      </c>
      <c r="V41" s="559">
        <v>1317</v>
      </c>
      <c r="W41" s="257">
        <f t="shared" ref="W41" si="95">+V41*$X$1</f>
        <v>1317</v>
      </c>
      <c r="X41" s="638"/>
      <c r="Y41" s="735"/>
      <c r="Z41" s="735"/>
      <c r="AA41" s="736"/>
      <c r="AB41" s="354" t="s">
        <v>418</v>
      </c>
    </row>
    <row r="42" spans="1:28" ht="12.6" customHeight="1" x14ac:dyDescent="0.2">
      <c r="A42" s="17"/>
      <c r="B42" s="803" t="s">
        <v>53</v>
      </c>
      <c r="C42" s="646"/>
      <c r="D42" s="646"/>
      <c r="E42" s="646"/>
      <c r="F42" s="258">
        <v>1500</v>
      </c>
      <c r="G42" s="278">
        <f t="shared" ref="G42:G50" si="96">+F42*$X$1</f>
        <v>1500</v>
      </c>
      <c r="H42" s="1024" t="s">
        <v>54</v>
      </c>
      <c r="I42" s="1024"/>
      <c r="J42" s="1025"/>
      <c r="K42" s="1026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5">
        <f t="shared" si="71"/>
        <v>2443</v>
      </c>
      <c r="R42" s="576">
        <v>2245</v>
      </c>
      <c r="S42" s="272">
        <f t="shared" si="71"/>
        <v>2245</v>
      </c>
      <c r="T42" s="576">
        <v>2092</v>
      </c>
      <c r="U42" s="272">
        <f t="shared" si="72"/>
        <v>2092</v>
      </c>
      <c r="V42" s="576">
        <v>2004</v>
      </c>
      <c r="W42" s="258">
        <f t="shared" si="73"/>
        <v>2004</v>
      </c>
      <c r="X42" s="638"/>
      <c r="Y42" s="735"/>
      <c r="Z42" s="735"/>
      <c r="AA42" s="736"/>
      <c r="AB42" s="355" t="s">
        <v>55</v>
      </c>
    </row>
    <row r="43" spans="1:28" ht="12.6" customHeight="1" x14ac:dyDescent="0.2">
      <c r="A43" s="17"/>
      <c r="B43" s="802" t="s">
        <v>56</v>
      </c>
      <c r="C43" s="655"/>
      <c r="D43" s="655"/>
      <c r="E43" s="655"/>
      <c r="F43" s="257">
        <v>1500</v>
      </c>
      <c r="G43" s="279">
        <f t="shared" si="96"/>
        <v>1500</v>
      </c>
      <c r="H43" s="1027" t="s">
        <v>54</v>
      </c>
      <c r="I43" s="1027"/>
      <c r="J43" s="1028"/>
      <c r="K43" s="1029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6">
        <f t="shared" ref="Q43:Q44" si="98">+P43*$X$1</f>
        <v>2443</v>
      </c>
      <c r="R43" s="559">
        <v>2245</v>
      </c>
      <c r="S43" s="235">
        <f t="shared" ref="S43:S44" si="99">+R43*$X$1</f>
        <v>2245</v>
      </c>
      <c r="T43" s="559">
        <v>2092</v>
      </c>
      <c r="U43" s="235">
        <f t="shared" ref="U43:U44" si="100">+T43*$X$1</f>
        <v>2092</v>
      </c>
      <c r="V43" s="559">
        <v>2004</v>
      </c>
      <c r="W43" s="257">
        <f t="shared" ref="W43:W44" si="101">+V43*$X$1</f>
        <v>2004</v>
      </c>
      <c r="X43" s="638"/>
      <c r="Y43" s="735"/>
      <c r="Z43" s="735"/>
      <c r="AA43" s="736"/>
      <c r="AB43" s="355" t="s">
        <v>57</v>
      </c>
    </row>
    <row r="44" spans="1:28" ht="12.6" customHeight="1" x14ac:dyDescent="0.2">
      <c r="A44" s="17"/>
      <c r="B44" s="803" t="s">
        <v>58</v>
      </c>
      <c r="C44" s="646"/>
      <c r="D44" s="646"/>
      <c r="E44" s="646"/>
      <c r="F44" s="258">
        <v>1500</v>
      </c>
      <c r="G44" s="278">
        <f t="shared" si="96"/>
        <v>1500</v>
      </c>
      <c r="H44" s="1015" t="s">
        <v>54</v>
      </c>
      <c r="I44" s="1015"/>
      <c r="J44" s="1016"/>
      <c r="K44" s="1017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5">
        <f t="shared" si="98"/>
        <v>2443</v>
      </c>
      <c r="R44" s="576">
        <v>2245</v>
      </c>
      <c r="S44" s="272">
        <f t="shared" si="99"/>
        <v>2245</v>
      </c>
      <c r="T44" s="576">
        <v>2092</v>
      </c>
      <c r="U44" s="272">
        <f t="shared" si="100"/>
        <v>2092</v>
      </c>
      <c r="V44" s="576">
        <v>2004</v>
      </c>
      <c r="W44" s="258">
        <f t="shared" si="101"/>
        <v>2004</v>
      </c>
      <c r="X44" s="638"/>
      <c r="Y44" s="735"/>
      <c r="Z44" s="735"/>
      <c r="AA44" s="736"/>
      <c r="AB44" s="355" t="s">
        <v>59</v>
      </c>
    </row>
    <row r="45" spans="1:28" ht="12.6" customHeight="1" x14ac:dyDescent="0.2">
      <c r="A45" s="17"/>
      <c r="B45" s="802" t="s">
        <v>503</v>
      </c>
      <c r="C45" s="655"/>
      <c r="D45" s="655"/>
      <c r="E45" s="655"/>
      <c r="F45" s="257">
        <v>1614</v>
      </c>
      <c r="G45" s="279">
        <f t="shared" ref="G45" si="102">+F45*$X$1</f>
        <v>1614</v>
      </c>
      <c r="H45" s="1030" t="s">
        <v>54</v>
      </c>
      <c r="I45" s="1030"/>
      <c r="J45" s="1031"/>
      <c r="K45" s="1032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6">
        <f t="shared" ref="Q45" si="104">+P45*$X$1</f>
        <v>2590</v>
      </c>
      <c r="R45" s="559">
        <v>2370</v>
      </c>
      <c r="S45" s="235">
        <f t="shared" ref="S45" si="105">+R45*$X$1</f>
        <v>2370</v>
      </c>
      <c r="T45" s="559">
        <v>2224</v>
      </c>
      <c r="U45" s="235">
        <f t="shared" ref="U45" si="106">+T45*$X$1</f>
        <v>2224</v>
      </c>
      <c r="V45" s="559">
        <v>2119</v>
      </c>
      <c r="W45" s="257">
        <f t="shared" ref="W45" si="107">+V45*$X$1</f>
        <v>2119</v>
      </c>
      <c r="X45" s="638"/>
      <c r="Y45" s="735"/>
      <c r="Z45" s="735"/>
      <c r="AA45" s="736"/>
      <c r="AB45" s="356" t="s">
        <v>513</v>
      </c>
    </row>
    <row r="46" spans="1:28" ht="12.6" customHeight="1" x14ac:dyDescent="0.2">
      <c r="A46" s="17"/>
      <c r="B46" s="803" t="s">
        <v>504</v>
      </c>
      <c r="C46" s="646"/>
      <c r="D46" s="646"/>
      <c r="E46" s="646"/>
      <c r="F46" s="258">
        <v>1614</v>
      </c>
      <c r="G46" s="278">
        <f t="shared" ref="G46" si="108">+F46*$X$1</f>
        <v>1614</v>
      </c>
      <c r="H46" s="1024" t="s">
        <v>54</v>
      </c>
      <c r="I46" s="1024"/>
      <c r="J46" s="1025"/>
      <c r="K46" s="1026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5">
        <f t="shared" ref="Q46:Q47" si="110">+P46*$X$1</f>
        <v>2590</v>
      </c>
      <c r="R46" s="576">
        <v>2370</v>
      </c>
      <c r="S46" s="272">
        <f t="shared" ref="S46:S47" si="111">+R46*$X$1</f>
        <v>2370</v>
      </c>
      <c r="T46" s="576">
        <v>2224</v>
      </c>
      <c r="U46" s="272">
        <f t="shared" ref="U46:U47" si="112">+T46*$X$1</f>
        <v>2224</v>
      </c>
      <c r="V46" s="576">
        <v>2119</v>
      </c>
      <c r="W46" s="258">
        <f t="shared" ref="W46:W47" si="113">+V46*$X$1</f>
        <v>2119</v>
      </c>
      <c r="X46" s="638"/>
      <c r="Y46" s="735"/>
      <c r="Z46" s="735"/>
      <c r="AA46" s="736"/>
      <c r="AB46" s="356" t="s">
        <v>514</v>
      </c>
    </row>
    <row r="47" spans="1:28" ht="12.6" customHeight="1" x14ac:dyDescent="0.2">
      <c r="A47" s="17"/>
      <c r="B47" s="802" t="s">
        <v>505</v>
      </c>
      <c r="C47" s="655"/>
      <c r="D47" s="655"/>
      <c r="E47" s="655"/>
      <c r="F47" s="257">
        <v>1614</v>
      </c>
      <c r="G47" s="279">
        <f t="shared" ref="G47" si="114">+F47*$X$1</f>
        <v>1614</v>
      </c>
      <c r="H47" s="1030" t="s">
        <v>54</v>
      </c>
      <c r="I47" s="1030"/>
      <c r="J47" s="1031"/>
      <c r="K47" s="1032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6">
        <f t="shared" si="110"/>
        <v>2590</v>
      </c>
      <c r="R47" s="559">
        <v>2370</v>
      </c>
      <c r="S47" s="235">
        <f t="shared" si="111"/>
        <v>2370</v>
      </c>
      <c r="T47" s="559">
        <v>2224</v>
      </c>
      <c r="U47" s="235">
        <f t="shared" si="112"/>
        <v>2224</v>
      </c>
      <c r="V47" s="559">
        <v>2119</v>
      </c>
      <c r="W47" s="257">
        <f t="shared" si="113"/>
        <v>2119</v>
      </c>
      <c r="X47" s="638"/>
      <c r="Y47" s="735"/>
      <c r="Z47" s="735"/>
      <c r="AA47" s="736"/>
      <c r="AB47" s="356" t="s">
        <v>515</v>
      </c>
    </row>
    <row r="48" spans="1:28" ht="12.6" customHeight="1" x14ac:dyDescent="0.2">
      <c r="A48" s="17"/>
      <c r="B48" s="803" t="s">
        <v>60</v>
      </c>
      <c r="C48" s="646"/>
      <c r="D48" s="646"/>
      <c r="E48" s="646"/>
      <c r="F48" s="258">
        <v>2025</v>
      </c>
      <c r="G48" s="278">
        <f t="shared" si="96"/>
        <v>2025</v>
      </c>
      <c r="H48" s="1015" t="s">
        <v>54</v>
      </c>
      <c r="I48" s="1015"/>
      <c r="J48" s="1016"/>
      <c r="K48" s="1017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6">
        <v>3125</v>
      </c>
      <c r="S48" s="258">
        <f t="shared" si="71"/>
        <v>3125</v>
      </c>
      <c r="T48" s="576">
        <v>2905</v>
      </c>
      <c r="U48" s="258">
        <f t="shared" si="72"/>
        <v>2905</v>
      </c>
      <c r="V48" s="576">
        <v>2800</v>
      </c>
      <c r="W48" s="258">
        <f t="shared" si="73"/>
        <v>2800</v>
      </c>
      <c r="X48" s="638"/>
      <c r="Y48" s="735"/>
      <c r="Z48" s="735"/>
      <c r="AA48" s="736"/>
      <c r="AB48" s="356" t="s">
        <v>61</v>
      </c>
    </row>
    <row r="49" spans="1:35" ht="12.6" customHeight="1" x14ac:dyDescent="0.2">
      <c r="A49" s="17"/>
      <c r="B49" s="802" t="s">
        <v>62</v>
      </c>
      <c r="C49" s="655"/>
      <c r="D49" s="655"/>
      <c r="E49" s="655"/>
      <c r="F49" s="257">
        <v>2025</v>
      </c>
      <c r="G49" s="279">
        <f t="shared" si="96"/>
        <v>2025</v>
      </c>
      <c r="H49" s="1030" t="s">
        <v>54</v>
      </c>
      <c r="I49" s="1030"/>
      <c r="J49" s="1031"/>
      <c r="K49" s="1032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9">
        <v>3125</v>
      </c>
      <c r="S49" s="257">
        <f t="shared" ref="S49:S50" si="118">+R49*$X$1</f>
        <v>3125</v>
      </c>
      <c r="T49" s="559">
        <v>2905</v>
      </c>
      <c r="U49" s="257">
        <f t="shared" ref="U49:U50" si="119">+T49*$X$1</f>
        <v>2905</v>
      </c>
      <c r="V49" s="559">
        <v>2800</v>
      </c>
      <c r="W49" s="257">
        <f t="shared" ref="W49:W50" si="120">+V49*$X$1</f>
        <v>2800</v>
      </c>
      <c r="X49" s="638"/>
      <c r="Y49" s="735"/>
      <c r="Z49" s="735"/>
      <c r="AA49" s="736"/>
      <c r="AB49" s="356" t="s">
        <v>63</v>
      </c>
    </row>
    <row r="50" spans="1:35" ht="12.6" customHeight="1" x14ac:dyDescent="0.2">
      <c r="A50" s="17"/>
      <c r="B50" s="803" t="s">
        <v>64</v>
      </c>
      <c r="C50" s="646"/>
      <c r="D50" s="646"/>
      <c r="E50" s="646"/>
      <c r="F50" s="258">
        <v>2025</v>
      </c>
      <c r="G50" s="444">
        <f t="shared" si="96"/>
        <v>2025</v>
      </c>
      <c r="H50" s="1015" t="s">
        <v>54</v>
      </c>
      <c r="I50" s="1015"/>
      <c r="J50" s="1016"/>
      <c r="K50" s="1134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6">
        <v>3125</v>
      </c>
      <c r="S50" s="258">
        <f t="shared" si="118"/>
        <v>3125</v>
      </c>
      <c r="T50" s="576">
        <v>2905</v>
      </c>
      <c r="U50" s="258">
        <f t="shared" si="119"/>
        <v>2905</v>
      </c>
      <c r="V50" s="576">
        <v>2800</v>
      </c>
      <c r="W50" s="258">
        <f t="shared" si="120"/>
        <v>2800</v>
      </c>
      <c r="X50" s="638"/>
      <c r="Y50" s="735"/>
      <c r="Z50" s="735"/>
      <c r="AA50" s="736"/>
      <c r="AB50" s="356" t="s">
        <v>65</v>
      </c>
    </row>
    <row r="51" spans="1:35" ht="12.6" customHeight="1" x14ac:dyDescent="0.2">
      <c r="A51" s="17"/>
      <c r="B51" s="802" t="s">
        <v>392</v>
      </c>
      <c r="C51" s="655"/>
      <c r="D51" s="655"/>
      <c r="E51" s="1008"/>
      <c r="F51" s="624"/>
      <c r="G51" s="629"/>
      <c r="H51" s="629"/>
      <c r="I51" s="629"/>
      <c r="J51" s="240"/>
      <c r="K51" s="252"/>
      <c r="L51" s="239"/>
      <c r="M51" s="257"/>
      <c r="N51" s="630"/>
      <c r="O51" s="311"/>
      <c r="P51" s="252"/>
      <c r="Q51" s="286"/>
      <c r="R51" s="102"/>
      <c r="S51" s="567"/>
      <c r="T51" s="102"/>
      <c r="U51" s="567"/>
      <c r="V51" s="102"/>
      <c r="W51" s="257"/>
      <c r="X51" s="119"/>
      <c r="Y51" s="119"/>
      <c r="Z51" s="119"/>
      <c r="AA51" s="119"/>
      <c r="AB51" s="33">
        <v>48</v>
      </c>
      <c r="AC51" s="357" t="s">
        <v>66</v>
      </c>
      <c r="AD51" s="357" t="s">
        <v>67</v>
      </c>
      <c r="AE51" s="357" t="s">
        <v>68</v>
      </c>
    </row>
    <row r="52" spans="1:35" ht="12.6" customHeight="1" x14ac:dyDescent="0.2">
      <c r="A52" s="17"/>
      <c r="B52" s="1122" t="s">
        <v>69</v>
      </c>
      <c r="C52" s="1123"/>
      <c r="D52" s="1123"/>
      <c r="E52" s="1123"/>
      <c r="F52" s="626"/>
      <c r="G52" s="539"/>
      <c r="H52" s="539"/>
      <c r="I52" s="539"/>
      <c r="J52" s="238"/>
      <c r="K52" s="238"/>
      <c r="L52" s="268"/>
      <c r="M52" s="576"/>
      <c r="N52" s="632"/>
      <c r="O52" s="576"/>
      <c r="P52" s="400"/>
      <c r="Q52" s="576"/>
      <c r="R52" s="576"/>
      <c r="S52" s="576"/>
      <c r="T52" s="576"/>
      <c r="U52" s="576"/>
      <c r="V52" s="633"/>
      <c r="W52" s="633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802" t="s">
        <v>70</v>
      </c>
      <c r="C53" s="655"/>
      <c r="D53" s="655"/>
      <c r="E53" s="655"/>
      <c r="F53" s="257">
        <v>1096</v>
      </c>
      <c r="G53" s="235">
        <f t="shared" ref="G53:G56" si="121">+F53*$X$1</f>
        <v>1096</v>
      </c>
      <c r="H53" s="111"/>
      <c r="I53" s="257"/>
      <c r="J53" s="559">
        <f>F53+300</f>
        <v>1396</v>
      </c>
      <c r="K53" s="257">
        <f t="shared" ref="K53" si="122">+J53*$X$1</f>
        <v>1396</v>
      </c>
      <c r="L53" s="559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4">
        <v>60</v>
      </c>
    </row>
    <row r="54" spans="1:35" ht="12.6" customHeight="1" x14ac:dyDescent="0.2">
      <c r="A54" s="17"/>
      <c r="B54" s="803" t="s">
        <v>483</v>
      </c>
      <c r="C54" s="646"/>
      <c r="D54" s="646"/>
      <c r="E54" s="646"/>
      <c r="F54" s="258">
        <v>1276</v>
      </c>
      <c r="G54" s="272">
        <f t="shared" si="121"/>
        <v>1276</v>
      </c>
      <c r="H54" s="112"/>
      <c r="I54" s="258"/>
      <c r="J54" s="576">
        <f>F54+300</f>
        <v>1576</v>
      </c>
      <c r="K54" s="258">
        <f t="shared" ref="K54:K56" si="128">+J54*$X$1</f>
        <v>1576</v>
      </c>
      <c r="L54" s="576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4">
        <v>61</v>
      </c>
    </row>
    <row r="55" spans="1:35" ht="12.6" customHeight="1" x14ac:dyDescent="0.2">
      <c r="A55" s="17"/>
      <c r="B55" s="1130" t="s">
        <v>71</v>
      </c>
      <c r="C55" s="1131"/>
      <c r="D55" s="1131"/>
      <c r="E55" s="1131"/>
      <c r="F55" s="259">
        <v>1157</v>
      </c>
      <c r="G55" s="567">
        <f t="shared" si="121"/>
        <v>1157</v>
      </c>
      <c r="H55" s="631"/>
      <c r="I55" s="257"/>
      <c r="J55" s="559">
        <f>F55+300</f>
        <v>1457</v>
      </c>
      <c r="K55" s="257">
        <f t="shared" si="128"/>
        <v>1457</v>
      </c>
      <c r="L55" s="559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4">
        <v>62</v>
      </c>
    </row>
    <row r="56" spans="1:35" ht="12.6" customHeight="1" x14ac:dyDescent="0.2">
      <c r="A56" s="17"/>
      <c r="B56" s="803" t="s">
        <v>72</v>
      </c>
      <c r="C56" s="679"/>
      <c r="D56" s="679"/>
      <c r="E56" s="679"/>
      <c r="F56" s="258">
        <v>1337</v>
      </c>
      <c r="G56" s="258">
        <f t="shared" si="121"/>
        <v>1337</v>
      </c>
      <c r="H56" s="112"/>
      <c r="I56" s="258"/>
      <c r="J56" s="576">
        <f>F56+300</f>
        <v>1637</v>
      </c>
      <c r="K56" s="258">
        <f t="shared" si="128"/>
        <v>1637</v>
      </c>
      <c r="L56" s="576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4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802" t="s">
        <v>479</v>
      </c>
      <c r="C57" s="655"/>
      <c r="D57" s="655"/>
      <c r="E57" s="655"/>
      <c r="F57" s="257">
        <v>1396</v>
      </c>
      <c r="G57" s="257">
        <f t="shared" ref="G57" si="135">+F57*$X$1</f>
        <v>1396</v>
      </c>
      <c r="H57" s="111"/>
      <c r="I57" s="257"/>
      <c r="J57" s="559">
        <f>F57+360</f>
        <v>1756</v>
      </c>
      <c r="K57" s="257">
        <f t="shared" ref="K57" si="136">+J57*$X$1</f>
        <v>1756</v>
      </c>
      <c r="L57" s="559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4">
        <v>64</v>
      </c>
    </row>
    <row r="58" spans="1:35" ht="12.6" customHeight="1" x14ac:dyDescent="0.2">
      <c r="A58" s="17"/>
      <c r="B58" s="1124" t="s">
        <v>795</v>
      </c>
      <c r="C58" s="1121"/>
      <c r="D58" s="1121"/>
      <c r="E58" s="1121"/>
      <c r="F58" s="468">
        <v>310</v>
      </c>
      <c r="G58" s="468">
        <f t="shared" ref="G58:G70" si="143">+F58*$X$1</f>
        <v>310</v>
      </c>
      <c r="H58" s="470"/>
      <c r="I58" s="472"/>
      <c r="J58" s="476"/>
      <c r="K58" s="468"/>
      <c r="L58" s="527">
        <f t="shared" ref="L58:L63" si="144">F58+150</f>
        <v>460</v>
      </c>
      <c r="M58" s="469">
        <f t="shared" si="137"/>
        <v>460</v>
      </c>
      <c r="N58" s="527">
        <f t="shared" ref="N58:N67" si="145">F58+110</f>
        <v>420</v>
      </c>
      <c r="O58" s="469">
        <f t="shared" si="138"/>
        <v>420</v>
      </c>
      <c r="P58" s="527">
        <f t="shared" ref="P58:P67" si="146">F58+100</f>
        <v>410</v>
      </c>
      <c r="Q58" s="469">
        <f t="shared" si="139"/>
        <v>410</v>
      </c>
      <c r="R58" s="527">
        <f t="shared" ref="R58:R67" si="147">F58+80</f>
        <v>390</v>
      </c>
      <c r="S58" s="469">
        <f t="shared" si="140"/>
        <v>390</v>
      </c>
      <c r="T58" s="527">
        <f t="shared" ref="T58:T67" si="148">F58+65</f>
        <v>375</v>
      </c>
      <c r="U58" s="469">
        <f t="shared" si="141"/>
        <v>375</v>
      </c>
      <c r="V58" s="527">
        <f t="shared" ref="V58:V67" si="149">F58+56</f>
        <v>366</v>
      </c>
      <c r="W58" s="469">
        <f t="shared" si="142"/>
        <v>366</v>
      </c>
      <c r="X58" s="119"/>
      <c r="Y58" s="119"/>
      <c r="Z58" s="119"/>
      <c r="AA58" s="119"/>
      <c r="AB58" s="354">
        <v>85</v>
      </c>
    </row>
    <row r="59" spans="1:35" ht="12.6" customHeight="1" x14ac:dyDescent="0.2">
      <c r="A59" s="17"/>
      <c r="B59" s="813" t="s">
        <v>927</v>
      </c>
      <c r="C59" s="714"/>
      <c r="D59" s="714"/>
      <c r="E59" s="714"/>
      <c r="F59" s="273">
        <v>1210</v>
      </c>
      <c r="G59" s="302">
        <f t="shared" si="143"/>
        <v>1210</v>
      </c>
      <c r="H59" s="252"/>
      <c r="I59" s="305"/>
      <c r="J59" s="386"/>
      <c r="K59" s="273"/>
      <c r="L59" s="559">
        <f t="shared" si="144"/>
        <v>1360</v>
      </c>
      <c r="M59" s="257">
        <f t="shared" si="137"/>
        <v>1360</v>
      </c>
      <c r="N59" s="559">
        <f t="shared" si="145"/>
        <v>1320</v>
      </c>
      <c r="O59" s="257">
        <f t="shared" si="138"/>
        <v>1320</v>
      </c>
      <c r="P59" s="559">
        <f t="shared" si="146"/>
        <v>1310</v>
      </c>
      <c r="Q59" s="257">
        <f t="shared" si="139"/>
        <v>1310</v>
      </c>
      <c r="R59" s="559">
        <f t="shared" si="147"/>
        <v>1290</v>
      </c>
      <c r="S59" s="257">
        <f t="shared" si="140"/>
        <v>1290</v>
      </c>
      <c r="T59" s="559">
        <f t="shared" si="148"/>
        <v>1275</v>
      </c>
      <c r="U59" s="257">
        <f t="shared" si="141"/>
        <v>1275</v>
      </c>
      <c r="V59" s="559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6" t="s">
        <v>933</v>
      </c>
    </row>
    <row r="60" spans="1:35" ht="12.6" customHeight="1" x14ac:dyDescent="0.2">
      <c r="A60" s="17"/>
      <c r="B60" s="816" t="s">
        <v>928</v>
      </c>
      <c r="C60" s="797"/>
      <c r="D60" s="797"/>
      <c r="E60" s="797"/>
      <c r="F60" s="283">
        <v>870</v>
      </c>
      <c r="G60" s="444">
        <f t="shared" ref="G60" si="150">+F60*$X$1</f>
        <v>870</v>
      </c>
      <c r="H60" s="251"/>
      <c r="I60" s="306"/>
      <c r="J60" s="387"/>
      <c r="K60" s="283"/>
      <c r="L60" s="576">
        <f t="shared" si="144"/>
        <v>1020</v>
      </c>
      <c r="M60" s="258">
        <f t="shared" ref="M60:M61" si="151">+L60*$X$1</f>
        <v>1020</v>
      </c>
      <c r="N60" s="576">
        <f t="shared" si="145"/>
        <v>980</v>
      </c>
      <c r="O60" s="258">
        <f t="shared" ref="O60:O61" si="152">+N60*$X$1</f>
        <v>980</v>
      </c>
      <c r="P60" s="576">
        <f t="shared" si="146"/>
        <v>970</v>
      </c>
      <c r="Q60" s="258">
        <f t="shared" ref="Q60:Q61" si="153">+P60*$X$1</f>
        <v>970</v>
      </c>
      <c r="R60" s="576">
        <f t="shared" si="147"/>
        <v>950</v>
      </c>
      <c r="S60" s="258">
        <f t="shared" ref="S60:S61" si="154">+R60*$X$1</f>
        <v>950</v>
      </c>
      <c r="T60" s="576">
        <f t="shared" si="148"/>
        <v>935</v>
      </c>
      <c r="U60" s="258">
        <f t="shared" ref="U60:U61" si="155">+T60*$X$1</f>
        <v>935</v>
      </c>
      <c r="V60" s="576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6" t="s">
        <v>934</v>
      </c>
    </row>
    <row r="61" spans="1:35" ht="12.6" customHeight="1" x14ac:dyDescent="0.2">
      <c r="A61" s="17"/>
      <c r="B61" s="813" t="s">
        <v>929</v>
      </c>
      <c r="C61" s="714"/>
      <c r="D61" s="714"/>
      <c r="E61" s="714"/>
      <c r="F61" s="273">
        <v>933</v>
      </c>
      <c r="G61" s="302">
        <f t="shared" ref="G61:G63" si="157">+F61*$X$1</f>
        <v>933</v>
      </c>
      <c r="H61" s="252"/>
      <c r="I61" s="305"/>
      <c r="J61" s="386"/>
      <c r="K61" s="273"/>
      <c r="L61" s="559">
        <f t="shared" si="144"/>
        <v>1083</v>
      </c>
      <c r="M61" s="257">
        <f t="shared" si="151"/>
        <v>1083</v>
      </c>
      <c r="N61" s="559">
        <f t="shared" si="145"/>
        <v>1043</v>
      </c>
      <c r="O61" s="257">
        <f t="shared" si="152"/>
        <v>1043</v>
      </c>
      <c r="P61" s="559">
        <f t="shared" si="146"/>
        <v>1033</v>
      </c>
      <c r="Q61" s="257">
        <f t="shared" si="153"/>
        <v>1033</v>
      </c>
      <c r="R61" s="559">
        <f t="shared" si="147"/>
        <v>1013</v>
      </c>
      <c r="S61" s="257">
        <f t="shared" si="154"/>
        <v>1013</v>
      </c>
      <c r="T61" s="559">
        <f t="shared" si="148"/>
        <v>998</v>
      </c>
      <c r="U61" s="257">
        <f t="shared" si="155"/>
        <v>998</v>
      </c>
      <c r="V61" s="559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6" t="s">
        <v>931</v>
      </c>
    </row>
    <row r="62" spans="1:35" ht="12.6" customHeight="1" x14ac:dyDescent="0.2">
      <c r="A62" s="17"/>
      <c r="B62" s="816" t="s">
        <v>930</v>
      </c>
      <c r="C62" s="797"/>
      <c r="D62" s="797"/>
      <c r="E62" s="797"/>
      <c r="F62" s="283">
        <v>680</v>
      </c>
      <c r="G62" s="444">
        <f t="shared" ref="G62" si="158">+F62*$X$1</f>
        <v>680</v>
      </c>
      <c r="H62" s="251"/>
      <c r="I62" s="306"/>
      <c r="J62" s="387"/>
      <c r="K62" s="283"/>
      <c r="L62" s="576">
        <f t="shared" ref="L62" si="159">F62+150</f>
        <v>830</v>
      </c>
      <c r="M62" s="258">
        <f t="shared" ref="M62" si="160">+L62*$X$1</f>
        <v>830</v>
      </c>
      <c r="N62" s="576">
        <f t="shared" ref="N62" si="161">F62+110</f>
        <v>790</v>
      </c>
      <c r="O62" s="258">
        <f t="shared" ref="O62" si="162">+N62*$X$1</f>
        <v>790</v>
      </c>
      <c r="P62" s="576">
        <f t="shared" ref="P62" si="163">F62+100</f>
        <v>780</v>
      </c>
      <c r="Q62" s="258">
        <f t="shared" ref="Q62" si="164">+P62*$X$1</f>
        <v>780</v>
      </c>
      <c r="R62" s="576">
        <f t="shared" ref="R62" si="165">F62+80</f>
        <v>760</v>
      </c>
      <c r="S62" s="258">
        <f t="shared" ref="S62" si="166">+R62*$X$1</f>
        <v>760</v>
      </c>
      <c r="T62" s="576">
        <f t="shared" ref="T62" si="167">F62+65</f>
        <v>745</v>
      </c>
      <c r="U62" s="258">
        <f t="shared" ref="U62" si="168">+T62*$X$1</f>
        <v>745</v>
      </c>
      <c r="V62" s="576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6" t="s">
        <v>932</v>
      </c>
    </row>
    <row r="63" spans="1:35" ht="12.6" customHeight="1" x14ac:dyDescent="0.2">
      <c r="A63" s="17"/>
      <c r="B63" s="813" t="s">
        <v>718</v>
      </c>
      <c r="C63" s="714"/>
      <c r="D63" s="714"/>
      <c r="E63" s="714"/>
      <c r="F63" s="333">
        <f>2.57*X2</f>
        <v>3315.2999999999997</v>
      </c>
      <c r="G63" s="257">
        <f t="shared" si="157"/>
        <v>3315.2999999999997</v>
      </c>
      <c r="H63" s="68"/>
      <c r="I63" s="257"/>
      <c r="J63" s="68">
        <f>F63+200</f>
        <v>3515.2999999999997</v>
      </c>
      <c r="K63" s="257">
        <f t="shared" ref="K63" si="171">+J63*$X$1</f>
        <v>3515.2999999999997</v>
      </c>
      <c r="L63" s="559">
        <f t="shared" si="144"/>
        <v>3465.2999999999997</v>
      </c>
      <c r="M63" s="257">
        <f t="shared" ref="M63" si="172">+L63*$X$1</f>
        <v>3465.2999999999997</v>
      </c>
      <c r="N63" s="559">
        <f t="shared" si="145"/>
        <v>3425.2999999999997</v>
      </c>
      <c r="O63" s="257">
        <f t="shared" ref="O63" si="173">+N63*$X$1</f>
        <v>3425.2999999999997</v>
      </c>
      <c r="P63" s="559">
        <f t="shared" si="146"/>
        <v>3415.2999999999997</v>
      </c>
      <c r="Q63" s="257">
        <f t="shared" ref="Q63" si="174">+P63*$X$1</f>
        <v>3415.2999999999997</v>
      </c>
      <c r="R63" s="559">
        <f t="shared" si="147"/>
        <v>3395.2999999999997</v>
      </c>
      <c r="S63" s="257">
        <f t="shared" ref="S63" si="175">+R63*$X$1</f>
        <v>3395.2999999999997</v>
      </c>
      <c r="T63" s="559">
        <f t="shared" si="148"/>
        <v>3380.2999999999997</v>
      </c>
      <c r="U63" s="257">
        <f t="shared" ref="U63" si="176">+T63*$X$1</f>
        <v>3380.2999999999997</v>
      </c>
      <c r="V63" s="559">
        <f t="shared" si="149"/>
        <v>3371.2999999999997</v>
      </c>
      <c r="W63" s="257">
        <f t="shared" ref="W63" si="177">+V63*$X$1</f>
        <v>3371.2999999999997</v>
      </c>
      <c r="X63" s="119"/>
      <c r="Y63" s="119"/>
      <c r="Z63" s="119"/>
      <c r="AA63" s="119"/>
      <c r="AB63" s="354" t="s">
        <v>719</v>
      </c>
    </row>
    <row r="64" spans="1:35" ht="12.6" customHeight="1" x14ac:dyDescent="0.2">
      <c r="A64" s="17"/>
      <c r="B64" s="810" t="s">
        <v>1029</v>
      </c>
      <c r="C64" s="811"/>
      <c r="D64" s="811"/>
      <c r="E64" s="812"/>
      <c r="F64" s="283">
        <v>1110</v>
      </c>
      <c r="G64" s="444">
        <f t="shared" si="143"/>
        <v>1110</v>
      </c>
      <c r="H64" s="251"/>
      <c r="I64" s="306"/>
      <c r="J64" s="82">
        <f>F64+220</f>
        <v>1330</v>
      </c>
      <c r="K64" s="258">
        <f t="shared" ref="K64" si="178">+J64*$X$1</f>
        <v>1330</v>
      </c>
      <c r="L64" s="576">
        <f>F64+160</f>
        <v>1270</v>
      </c>
      <c r="M64" s="258">
        <f t="shared" ref="M64" si="179">+L64*$X$1</f>
        <v>1270</v>
      </c>
      <c r="N64" s="576">
        <f>F64+120</f>
        <v>1230</v>
      </c>
      <c r="O64" s="258">
        <f t="shared" ref="O64" si="180">+N64*$X$1</f>
        <v>1230</v>
      </c>
      <c r="P64" s="576">
        <f>F64+110</f>
        <v>1220</v>
      </c>
      <c r="Q64" s="258">
        <f t="shared" ref="Q64" si="181">+P64*$X$1</f>
        <v>1220</v>
      </c>
      <c r="R64" s="576">
        <f>F64+90</f>
        <v>1200</v>
      </c>
      <c r="S64" s="258">
        <f t="shared" ref="S64" si="182">+R64*$X$1</f>
        <v>1200</v>
      </c>
      <c r="T64" s="576">
        <f>F64+80</f>
        <v>1190</v>
      </c>
      <c r="U64" s="258">
        <f t="shared" ref="U64" si="183">+T64*$X$1</f>
        <v>1190</v>
      </c>
      <c r="V64" s="576">
        <f>F64+70</f>
        <v>1180</v>
      </c>
      <c r="W64" s="258">
        <f t="shared" ref="W64" si="184">+V64*$X$1</f>
        <v>1180</v>
      </c>
      <c r="X64" s="119"/>
      <c r="Y64" s="119"/>
      <c r="Z64" s="119"/>
      <c r="AA64" s="119"/>
      <c r="AB64" s="354">
        <v>89</v>
      </c>
    </row>
    <row r="65" spans="1:38" ht="12.6" customHeight="1" x14ac:dyDescent="0.2">
      <c r="A65" s="17"/>
      <c r="B65" s="635" t="s">
        <v>1028</v>
      </c>
      <c r="C65" s="690"/>
      <c r="D65" s="690"/>
      <c r="E65" s="691"/>
      <c r="F65" s="273">
        <v>1310</v>
      </c>
      <c r="G65" s="302">
        <v>1310</v>
      </c>
      <c r="H65" s="252"/>
      <c r="I65" s="305"/>
      <c r="J65" s="68">
        <f>F65+220</f>
        <v>1530</v>
      </c>
      <c r="K65" s="257">
        <v>1530</v>
      </c>
      <c r="L65" s="559">
        <f>F65+160</f>
        <v>1470</v>
      </c>
      <c r="M65" s="257">
        <v>1470</v>
      </c>
      <c r="N65" s="559">
        <f>F65+120</f>
        <v>1430</v>
      </c>
      <c r="O65" s="257">
        <v>1430</v>
      </c>
      <c r="P65" s="559">
        <f>F65+110</f>
        <v>1420</v>
      </c>
      <c r="Q65" s="257">
        <v>1420</v>
      </c>
      <c r="R65" s="559">
        <f>F65+90</f>
        <v>1400</v>
      </c>
      <c r="S65" s="257">
        <v>1400</v>
      </c>
      <c r="T65" s="559">
        <f>F65+80</f>
        <v>1390</v>
      </c>
      <c r="U65" s="257">
        <v>1390</v>
      </c>
      <c r="V65" s="559">
        <f>F65+70</f>
        <v>1380</v>
      </c>
      <c r="W65" s="257">
        <v>1380</v>
      </c>
      <c r="X65" s="119"/>
      <c r="Y65" s="119"/>
      <c r="Z65" s="119"/>
      <c r="AA65" s="119"/>
      <c r="AB65" s="354" t="s">
        <v>1030</v>
      </c>
    </row>
    <row r="66" spans="1:38" ht="12.6" customHeight="1" x14ac:dyDescent="0.2">
      <c r="A66" s="17"/>
      <c r="B66" s="803" t="s">
        <v>460</v>
      </c>
      <c r="C66" s="646"/>
      <c r="D66" s="646"/>
      <c r="E66" s="646"/>
      <c r="F66" s="258">
        <v>611</v>
      </c>
      <c r="G66" s="444">
        <f t="shared" si="143"/>
        <v>611</v>
      </c>
      <c r="H66" s="251"/>
      <c r="I66" s="306"/>
      <c r="J66" s="82"/>
      <c r="K66" s="272"/>
      <c r="L66" s="576"/>
      <c r="M66" s="272"/>
      <c r="N66" s="576">
        <f t="shared" si="145"/>
        <v>721</v>
      </c>
      <c r="O66" s="258">
        <f t="shared" ref="O66:O67" si="185">+N66*$X$1</f>
        <v>721</v>
      </c>
      <c r="P66" s="576">
        <f t="shared" si="146"/>
        <v>711</v>
      </c>
      <c r="Q66" s="258">
        <f t="shared" ref="Q66:Q67" si="186">+P66*$X$1</f>
        <v>711</v>
      </c>
      <c r="R66" s="576">
        <f t="shared" si="147"/>
        <v>691</v>
      </c>
      <c r="S66" s="258">
        <f t="shared" ref="S66:S67" si="187">+R66*$X$1</f>
        <v>691</v>
      </c>
      <c r="T66" s="576">
        <f t="shared" si="148"/>
        <v>676</v>
      </c>
      <c r="U66" s="258">
        <f t="shared" ref="U66:U67" si="188">+T66*$X$1</f>
        <v>676</v>
      </c>
      <c r="V66" s="576">
        <f t="shared" si="149"/>
        <v>667</v>
      </c>
      <c r="W66" s="258">
        <f t="shared" ref="W66:W67" si="189">+V66*$X$1</f>
        <v>667</v>
      </c>
      <c r="X66" s="131"/>
      <c r="Y66" s="131"/>
      <c r="Z66" s="131" t="s">
        <v>73</v>
      </c>
      <c r="AA66" s="119"/>
      <c r="AB66" s="354">
        <v>91</v>
      </c>
    </row>
    <row r="67" spans="1:38" ht="12.6" customHeight="1" x14ac:dyDescent="0.2">
      <c r="A67" s="17"/>
      <c r="B67" s="1018" t="s">
        <v>74</v>
      </c>
      <c r="C67" s="1019"/>
      <c r="D67" s="1019"/>
      <c r="E67" s="1020"/>
      <c r="F67" s="257">
        <v>290</v>
      </c>
      <c r="G67" s="279">
        <f t="shared" si="143"/>
        <v>290</v>
      </c>
      <c r="H67" s="252"/>
      <c r="I67" s="305"/>
      <c r="J67" s="68"/>
      <c r="K67" s="235"/>
      <c r="L67" s="559"/>
      <c r="M67" s="235"/>
      <c r="N67" s="559">
        <f t="shared" si="145"/>
        <v>400</v>
      </c>
      <c r="O67" s="257">
        <f t="shared" si="185"/>
        <v>400</v>
      </c>
      <c r="P67" s="559">
        <f t="shared" si="146"/>
        <v>390</v>
      </c>
      <c r="Q67" s="257">
        <f t="shared" si="186"/>
        <v>390</v>
      </c>
      <c r="R67" s="559">
        <f t="shared" si="147"/>
        <v>370</v>
      </c>
      <c r="S67" s="257">
        <f t="shared" si="187"/>
        <v>370</v>
      </c>
      <c r="T67" s="559">
        <f t="shared" si="148"/>
        <v>355</v>
      </c>
      <c r="U67" s="257">
        <f t="shared" si="188"/>
        <v>355</v>
      </c>
      <c r="V67" s="559">
        <f t="shared" si="149"/>
        <v>346</v>
      </c>
      <c r="W67" s="257">
        <f t="shared" si="189"/>
        <v>346</v>
      </c>
      <c r="X67" s="131"/>
      <c r="Y67" s="131"/>
      <c r="Z67" s="131"/>
      <c r="AA67" s="119"/>
      <c r="AB67" s="354" t="s">
        <v>75</v>
      </c>
    </row>
    <row r="68" spans="1:38" ht="12.6" customHeight="1" x14ac:dyDescent="0.2">
      <c r="A68" s="17"/>
      <c r="B68" s="1122" t="s">
        <v>316</v>
      </c>
      <c r="C68" s="1123"/>
      <c r="D68" s="1123"/>
      <c r="E68" s="1140"/>
      <c r="F68" s="258"/>
      <c r="G68" s="278"/>
      <c r="H68" s="251"/>
      <c r="I68" s="251"/>
      <c r="J68" s="82"/>
      <c r="K68" s="85"/>
      <c r="L68" s="576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1018" t="s">
        <v>317</v>
      </c>
      <c r="C69" s="1019"/>
      <c r="D69" s="1019"/>
      <c r="E69" s="1020"/>
      <c r="F69" s="257"/>
      <c r="G69" s="279"/>
      <c r="H69" s="252"/>
      <c r="I69" s="252"/>
      <c r="J69" s="68"/>
      <c r="K69" s="87"/>
      <c r="L69" s="559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803" t="s">
        <v>76</v>
      </c>
      <c r="C70" s="646"/>
      <c r="D70" s="646"/>
      <c r="E70" s="646"/>
      <c r="F70" s="258">
        <v>5690</v>
      </c>
      <c r="G70" s="278">
        <f t="shared" si="143"/>
        <v>5690</v>
      </c>
      <c r="H70" s="82">
        <f>F70+600</f>
        <v>6290</v>
      </c>
      <c r="I70" s="258">
        <f>+H70*$X$1</f>
        <v>6290</v>
      </c>
      <c r="J70" s="82">
        <f>F70+200</f>
        <v>5890</v>
      </c>
      <c r="K70" s="258">
        <f t="shared" ref="K70" si="190">+J70*$X$1</f>
        <v>5890</v>
      </c>
      <c r="L70" s="576">
        <f>F70+150</f>
        <v>5840</v>
      </c>
      <c r="M70" s="258">
        <f t="shared" ref="M70" si="191">+L70*$X$1</f>
        <v>5840</v>
      </c>
      <c r="N70" s="576">
        <f>F70+110</f>
        <v>5800</v>
      </c>
      <c r="O70" s="258">
        <f t="shared" ref="O70" si="192">+N70*$X$1</f>
        <v>5800</v>
      </c>
      <c r="P70" s="576">
        <f>F70+100</f>
        <v>5790</v>
      </c>
      <c r="Q70" s="258">
        <f t="shared" ref="Q70" si="193">+P70*$X$1</f>
        <v>5790</v>
      </c>
      <c r="R70" s="576">
        <f>F70+80</f>
        <v>5770</v>
      </c>
      <c r="S70" s="258">
        <f t="shared" ref="S70" si="194">+R70*$X$1</f>
        <v>5770</v>
      </c>
      <c r="T70" s="576">
        <f>F70+65</f>
        <v>5755</v>
      </c>
      <c r="U70" s="258">
        <f t="shared" ref="U70" si="195">+T70*$X$1</f>
        <v>5755</v>
      </c>
      <c r="V70" s="576">
        <f>F70+56</f>
        <v>5746</v>
      </c>
      <c r="W70" s="258">
        <f t="shared" ref="W70" si="196">+V70*$X$1</f>
        <v>5746</v>
      </c>
      <c r="X70" s="121"/>
      <c r="Y70" s="119"/>
      <c r="Z70" s="119"/>
      <c r="AA70" s="119"/>
      <c r="AB70" s="354">
        <v>92</v>
      </c>
    </row>
    <row r="71" spans="1:38" ht="12.6" customHeight="1" x14ac:dyDescent="0.25">
      <c r="A71" s="54"/>
      <c r="B71" s="802" t="s">
        <v>428</v>
      </c>
      <c r="C71" s="798"/>
      <c r="D71" s="798"/>
      <c r="E71" s="798"/>
      <c r="F71" s="257"/>
      <c r="G71" s="235"/>
      <c r="H71" s="96"/>
      <c r="I71" s="1034" t="s">
        <v>436</v>
      </c>
      <c r="J71" s="1035"/>
      <c r="K71" s="1035"/>
      <c r="L71" s="1036"/>
      <c r="M71" s="1037"/>
      <c r="N71" s="559">
        <v>850</v>
      </c>
      <c r="O71" s="279">
        <f>+N71*$X$1</f>
        <v>850</v>
      </c>
      <c r="P71" s="284">
        <v>847</v>
      </c>
      <c r="Q71" s="274">
        <f>+P71*$X$1</f>
        <v>847</v>
      </c>
      <c r="R71" s="559">
        <v>795</v>
      </c>
      <c r="S71" s="235">
        <f>+R71*$X$1</f>
        <v>795</v>
      </c>
      <c r="T71" s="559">
        <v>755</v>
      </c>
      <c r="U71" s="257">
        <f>+T71*$X$1</f>
        <v>755</v>
      </c>
      <c r="V71" s="559">
        <v>692</v>
      </c>
      <c r="W71" s="257">
        <f>+V71*$X$1</f>
        <v>692</v>
      </c>
      <c r="X71" s="956"/>
      <c r="Y71" s="956"/>
      <c r="Z71" s="956"/>
      <c r="AA71" s="956"/>
      <c r="AB71" s="178" t="s">
        <v>429</v>
      </c>
    </row>
    <row r="72" spans="1:38" ht="12.6" customHeight="1" x14ac:dyDescent="0.25">
      <c r="A72" s="54"/>
      <c r="B72" s="803" t="s">
        <v>307</v>
      </c>
      <c r="C72" s="679"/>
      <c r="D72" s="679"/>
      <c r="E72" s="679"/>
      <c r="F72" s="258"/>
      <c r="G72" s="272"/>
      <c r="H72" s="227"/>
      <c r="I72" s="1038" t="s">
        <v>436</v>
      </c>
      <c r="J72" s="1039"/>
      <c r="K72" s="1039"/>
      <c r="L72" s="1040"/>
      <c r="M72" s="1041"/>
      <c r="N72" s="576">
        <v>912</v>
      </c>
      <c r="O72" s="278">
        <f>+N72*$X$1</f>
        <v>912</v>
      </c>
      <c r="P72" s="263">
        <v>909</v>
      </c>
      <c r="Q72" s="303">
        <f>+P72*$X$1</f>
        <v>909</v>
      </c>
      <c r="R72" s="576">
        <v>853</v>
      </c>
      <c r="S72" s="272">
        <f>+R72*$X$1</f>
        <v>853</v>
      </c>
      <c r="T72" s="576">
        <v>827</v>
      </c>
      <c r="U72" s="258">
        <f>+T72*$X$1</f>
        <v>827</v>
      </c>
      <c r="V72" s="576">
        <v>750</v>
      </c>
      <c r="W72" s="258">
        <f>+V72*$X$1</f>
        <v>750</v>
      </c>
      <c r="X72" s="956"/>
      <c r="Y72" s="956"/>
      <c r="Z72" s="956"/>
      <c r="AA72" s="956"/>
      <c r="AB72" s="178" t="s">
        <v>77</v>
      </c>
    </row>
    <row r="73" spans="1:38" ht="12.6" customHeight="1" x14ac:dyDescent="0.25">
      <c r="A73" s="54"/>
      <c r="B73" s="802" t="s">
        <v>430</v>
      </c>
      <c r="C73" s="798"/>
      <c r="D73" s="798"/>
      <c r="E73" s="798"/>
      <c r="F73" s="257"/>
      <c r="G73" s="567"/>
      <c r="H73" s="590"/>
      <c r="I73" s="1034" t="s">
        <v>436</v>
      </c>
      <c r="J73" s="1035"/>
      <c r="K73" s="1035"/>
      <c r="L73" s="1036"/>
      <c r="M73" s="1037"/>
      <c r="N73" s="559">
        <v>1270</v>
      </c>
      <c r="O73" s="279">
        <f>+N73*$X$1</f>
        <v>1270</v>
      </c>
      <c r="P73" s="264">
        <v>1265</v>
      </c>
      <c r="Q73" s="274">
        <f>+P73*$X$1</f>
        <v>1265</v>
      </c>
      <c r="R73" s="559">
        <v>1207</v>
      </c>
      <c r="S73" s="235">
        <f>+R73*$X$1</f>
        <v>1207</v>
      </c>
      <c r="T73" s="559">
        <v>1180</v>
      </c>
      <c r="U73" s="257">
        <f>+T73*$X$1</f>
        <v>1180</v>
      </c>
      <c r="V73" s="559">
        <v>1103</v>
      </c>
      <c r="W73" s="257">
        <f>+V73*$X$1</f>
        <v>1103</v>
      </c>
      <c r="X73" s="956"/>
      <c r="Y73" s="956"/>
      <c r="Z73" s="956"/>
      <c r="AA73" s="956"/>
      <c r="AB73" s="178" t="s">
        <v>431</v>
      </c>
    </row>
    <row r="74" spans="1:38" s="6" customFormat="1" ht="12.6" customHeight="1" x14ac:dyDescent="0.25">
      <c r="A74" s="54"/>
      <c r="B74" s="1033" t="s">
        <v>362</v>
      </c>
      <c r="C74" s="669"/>
      <c r="D74" s="669"/>
      <c r="E74" s="670"/>
      <c r="F74" s="258"/>
      <c r="G74" s="258"/>
      <c r="H74" s="576"/>
      <c r="I74" s="258"/>
      <c r="J74" s="261"/>
      <c r="K74" s="317"/>
      <c r="L74" s="578">
        <v>2410</v>
      </c>
      <c r="M74" s="258">
        <f>+L74*$X$1</f>
        <v>2410</v>
      </c>
      <c r="N74" s="576">
        <v>2140</v>
      </c>
      <c r="O74" s="278">
        <f>+N74*$X$1</f>
        <v>2140</v>
      </c>
      <c r="P74" s="339">
        <v>1961</v>
      </c>
      <c r="Q74" s="303">
        <f>+P74*$X$1</f>
        <v>1961</v>
      </c>
      <c r="R74" s="576">
        <v>1958</v>
      </c>
      <c r="S74" s="272">
        <f>+R74*$X$1</f>
        <v>1958</v>
      </c>
      <c r="T74" s="576">
        <v>1890</v>
      </c>
      <c r="U74" s="258">
        <f>+T74*$X$1</f>
        <v>1890</v>
      </c>
      <c r="V74" s="627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35" t="s">
        <v>363</v>
      </c>
      <c r="C75" s="1136"/>
      <c r="D75" s="1136"/>
      <c r="E75" s="1137"/>
      <c r="F75" s="257"/>
      <c r="G75" s="579"/>
      <c r="H75" s="93"/>
      <c r="I75" s="580"/>
      <c r="J75" s="591"/>
      <c r="K75" s="592"/>
      <c r="L75" s="581">
        <v>3250</v>
      </c>
      <c r="M75" s="257">
        <f>+L75*$X$1</f>
        <v>3250</v>
      </c>
      <c r="N75" s="559">
        <v>2996</v>
      </c>
      <c r="O75" s="580">
        <f>+N75*$X$1</f>
        <v>2996</v>
      </c>
      <c r="P75" s="338">
        <v>2913</v>
      </c>
      <c r="Q75" s="274">
        <f>+P75*$X$1</f>
        <v>2913</v>
      </c>
      <c r="R75" s="559">
        <v>2909</v>
      </c>
      <c r="S75" s="579">
        <f>+R75*$X$1</f>
        <v>2909</v>
      </c>
      <c r="T75" s="559">
        <v>2713</v>
      </c>
      <c r="U75" s="257">
        <f>+T75*$X$1</f>
        <v>2713</v>
      </c>
      <c r="V75" s="625"/>
      <c r="W75" s="315"/>
      <c r="X75" s="1138"/>
      <c r="Y75" s="1139"/>
      <c r="Z75" s="1139"/>
      <c r="AA75" s="1139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5"/>
      <c r="D77" s="535"/>
      <c r="E77" s="535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45" t="s">
        <v>11</v>
      </c>
      <c r="C79" s="702" t="s">
        <v>12</v>
      </c>
      <c r="D79" s="703"/>
      <c r="E79" s="703"/>
      <c r="F79" s="729" t="s">
        <v>13</v>
      </c>
      <c r="G79" s="729" t="s">
        <v>13</v>
      </c>
      <c r="H79" s="700" t="s">
        <v>742</v>
      </c>
      <c r="I79" s="700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647" t="s">
        <v>14</v>
      </c>
      <c r="Y79" s="648"/>
      <c r="Z79" s="648"/>
      <c r="AA79" s="649"/>
      <c r="AB79" s="692" t="s">
        <v>15</v>
      </c>
      <c r="AF79" s="694" t="s">
        <v>3</v>
      </c>
      <c r="AG79" s="695"/>
      <c r="AH79" s="695"/>
    </row>
    <row r="80" spans="1:38" ht="12" customHeight="1" x14ac:dyDescent="0.2">
      <c r="A80" s="17"/>
      <c r="B80" s="745"/>
      <c r="C80" s="703"/>
      <c r="D80" s="703"/>
      <c r="E80" s="703"/>
      <c r="F80" s="730"/>
      <c r="G80" s="730"/>
      <c r="H80" s="415"/>
      <c r="I80" s="413" t="s">
        <v>267</v>
      </c>
      <c r="J80" s="415"/>
      <c r="K80" s="413" t="s">
        <v>17</v>
      </c>
      <c r="L80" s="416"/>
      <c r="M80" s="416" t="s">
        <v>18</v>
      </c>
      <c r="N80" s="416"/>
      <c r="O80" s="413" t="s">
        <v>19</v>
      </c>
      <c r="P80" s="416"/>
      <c r="Q80" s="416" t="s">
        <v>268</v>
      </c>
      <c r="R80" s="416"/>
      <c r="S80" s="416" t="s">
        <v>20</v>
      </c>
      <c r="T80" s="416"/>
      <c r="U80" s="416" t="s">
        <v>21</v>
      </c>
      <c r="V80" s="416"/>
      <c r="W80" s="416" t="s">
        <v>22</v>
      </c>
      <c r="X80" s="650"/>
      <c r="Y80" s="651"/>
      <c r="Z80" s="651"/>
      <c r="AA80" s="652"/>
      <c r="AB80" s="693"/>
    </row>
    <row r="81" spans="1:34" ht="12.6" customHeight="1" x14ac:dyDescent="0.2">
      <c r="A81" s="17"/>
      <c r="B81" s="643" t="s">
        <v>80</v>
      </c>
      <c r="C81" s="714"/>
      <c r="D81" s="714"/>
      <c r="E81" s="1006"/>
      <c r="F81" s="1125" t="s">
        <v>610</v>
      </c>
      <c r="G81" s="1126"/>
      <c r="H81" s="1126"/>
      <c r="I81" s="1126"/>
      <c r="J81" s="612"/>
      <c r="K81" s="422"/>
      <c r="L81" s="613"/>
      <c r="M81" s="273"/>
      <c r="N81" s="93"/>
      <c r="O81" s="302"/>
      <c r="P81" s="614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1" t="s">
        <v>81</v>
      </c>
      <c r="AC81" s="357" t="s">
        <v>82</v>
      </c>
      <c r="AD81" s="357" t="s">
        <v>83</v>
      </c>
      <c r="AE81" s="357" t="s">
        <v>84</v>
      </c>
      <c r="AF81" s="357" t="s">
        <v>85</v>
      </c>
      <c r="AG81" s="357" t="s">
        <v>86</v>
      </c>
    </row>
    <row r="82" spans="1:34" ht="12.6" customHeight="1" x14ac:dyDescent="0.2">
      <c r="A82" s="17"/>
      <c r="B82" s="645" t="s">
        <v>87</v>
      </c>
      <c r="C82" s="646"/>
      <c r="D82" s="646"/>
      <c r="E82" s="1007"/>
      <c r="F82" s="1127"/>
      <c r="G82" s="1126"/>
      <c r="H82" s="1126"/>
      <c r="I82" s="1126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6"/>
      <c r="W82" s="258"/>
      <c r="X82" s="122"/>
      <c r="Y82" s="122"/>
      <c r="Z82" s="122"/>
      <c r="AA82" s="122"/>
      <c r="AB82" s="361" t="s">
        <v>88</v>
      </c>
      <c r="AC82" s="357" t="s">
        <v>89</v>
      </c>
      <c r="AD82" s="357" t="s">
        <v>90</v>
      </c>
      <c r="AE82" s="357" t="s">
        <v>91</v>
      </c>
      <c r="AF82" s="357" t="s">
        <v>92</v>
      </c>
      <c r="AG82" s="357" t="s">
        <v>93</v>
      </c>
      <c r="AH82" s="357" t="s">
        <v>94</v>
      </c>
    </row>
    <row r="83" spans="1:34" ht="12.6" customHeight="1" x14ac:dyDescent="0.25">
      <c r="A83" s="17"/>
      <c r="B83" s="654" t="s">
        <v>95</v>
      </c>
      <c r="C83" s="655"/>
      <c r="D83" s="655"/>
      <c r="E83" s="1008"/>
      <c r="F83" s="1127"/>
      <c r="G83" s="1126"/>
      <c r="H83" s="1126"/>
      <c r="I83" s="1126"/>
      <c r="J83" s="240"/>
      <c r="K83" s="252"/>
      <c r="L83" s="434"/>
      <c r="M83" s="257"/>
      <c r="N83" s="559"/>
      <c r="O83" s="279"/>
      <c r="P83" s="284"/>
      <c r="Q83" s="274"/>
      <c r="R83" s="559"/>
      <c r="S83" s="235"/>
      <c r="T83" s="559"/>
      <c r="U83" s="257"/>
      <c r="V83" s="559"/>
      <c r="W83" s="257"/>
      <c r="X83" s="1009"/>
      <c r="Y83" s="1010"/>
      <c r="Z83" s="1010"/>
      <c r="AA83" s="171"/>
      <c r="AB83" s="361" t="s">
        <v>96</v>
      </c>
      <c r="AC83" s="357" t="s">
        <v>97</v>
      </c>
      <c r="AD83" s="357" t="s">
        <v>98</v>
      </c>
      <c r="AE83" s="357" t="s">
        <v>99</v>
      </c>
      <c r="AF83" s="357" t="s">
        <v>100</v>
      </c>
      <c r="AG83" s="362" t="s">
        <v>101</v>
      </c>
      <c r="AH83" s="357" t="s">
        <v>102</v>
      </c>
    </row>
    <row r="84" spans="1:34" ht="12.6" customHeight="1" x14ac:dyDescent="0.25">
      <c r="A84" s="17"/>
      <c r="B84" s="645" t="s">
        <v>103</v>
      </c>
      <c r="C84" s="646"/>
      <c r="D84" s="646"/>
      <c r="E84" s="1007"/>
      <c r="F84" s="1127"/>
      <c r="G84" s="1126"/>
      <c r="H84" s="1126"/>
      <c r="I84" s="1126"/>
      <c r="J84" s="238"/>
      <c r="K84" s="251"/>
      <c r="L84" s="269"/>
      <c r="M84" s="258"/>
      <c r="N84" s="576"/>
      <c r="O84" s="278"/>
      <c r="P84" s="253"/>
      <c r="Q84" s="303"/>
      <c r="R84" s="576"/>
      <c r="S84" s="272"/>
      <c r="T84" s="576"/>
      <c r="U84" s="258"/>
      <c r="V84" s="576"/>
      <c r="W84" s="258"/>
      <c r="X84" s="1009"/>
      <c r="Y84" s="1010"/>
      <c r="Z84" s="1010"/>
      <c r="AA84" s="171"/>
      <c r="AB84" s="361" t="s">
        <v>104</v>
      </c>
      <c r="AC84" s="363" t="s">
        <v>105</v>
      </c>
      <c r="AD84" s="363" t="s">
        <v>106</v>
      </c>
      <c r="AE84" s="363" t="s">
        <v>107</v>
      </c>
      <c r="AF84" s="363" t="s">
        <v>108</v>
      </c>
      <c r="AG84" s="28"/>
    </row>
    <row r="85" spans="1:34" ht="12.6" customHeight="1" x14ac:dyDescent="0.2">
      <c r="A85" s="17"/>
      <c r="B85" s="654" t="s">
        <v>109</v>
      </c>
      <c r="C85" s="655"/>
      <c r="D85" s="655"/>
      <c r="E85" s="1008"/>
      <c r="F85" s="1127"/>
      <c r="G85" s="1126"/>
      <c r="H85" s="1126"/>
      <c r="I85" s="1126"/>
      <c r="J85" s="240"/>
      <c r="K85" s="252"/>
      <c r="L85" s="434"/>
      <c r="M85" s="257"/>
      <c r="N85" s="559"/>
      <c r="O85" s="279"/>
      <c r="P85" s="284"/>
      <c r="Q85" s="274"/>
      <c r="R85" s="559"/>
      <c r="S85" s="235"/>
      <c r="T85" s="559"/>
      <c r="U85" s="257"/>
      <c r="V85" s="559"/>
      <c r="W85" s="257"/>
      <c r="X85" s="136"/>
      <c r="Y85" s="136"/>
      <c r="Z85" s="136"/>
      <c r="AA85" s="136"/>
      <c r="AB85" s="29" t="s">
        <v>110</v>
      </c>
      <c r="AC85" s="357" t="s">
        <v>111</v>
      </c>
      <c r="AD85" s="357" t="s">
        <v>112</v>
      </c>
      <c r="AE85" s="357" t="s">
        <v>113</v>
      </c>
      <c r="AF85" s="357" t="s">
        <v>114</v>
      </c>
      <c r="AG85" s="357" t="s">
        <v>115</v>
      </c>
    </row>
    <row r="86" spans="1:34" ht="12.6" customHeight="1" x14ac:dyDescent="0.2">
      <c r="A86" s="17"/>
      <c r="B86" s="645" t="s">
        <v>116</v>
      </c>
      <c r="C86" s="646"/>
      <c r="D86" s="646"/>
      <c r="E86" s="1007"/>
      <c r="F86" s="1127"/>
      <c r="G86" s="1126"/>
      <c r="H86" s="1126"/>
      <c r="I86" s="1126"/>
      <c r="J86" s="238"/>
      <c r="K86" s="251"/>
      <c r="L86" s="269"/>
      <c r="M86" s="258"/>
      <c r="N86" s="576"/>
      <c r="O86" s="278"/>
      <c r="P86" s="253"/>
      <c r="Q86" s="303"/>
      <c r="R86" s="576"/>
      <c r="S86" s="272"/>
      <c r="T86" s="576"/>
      <c r="U86" s="258"/>
      <c r="V86" s="576"/>
      <c r="W86" s="258"/>
      <c r="X86" s="136"/>
      <c r="Y86" s="136"/>
      <c r="Z86" s="136"/>
      <c r="AA86" s="136"/>
      <c r="AB86" s="29" t="s">
        <v>117</v>
      </c>
      <c r="AC86" s="363" t="s">
        <v>118</v>
      </c>
      <c r="AD86" s="363" t="s">
        <v>119</v>
      </c>
      <c r="AE86" s="363" t="s">
        <v>120</v>
      </c>
    </row>
    <row r="87" spans="1:34" ht="12.6" customHeight="1" x14ac:dyDescent="0.25">
      <c r="A87" s="17"/>
      <c r="B87" s="654" t="s">
        <v>1004</v>
      </c>
      <c r="C87" s="655"/>
      <c r="D87" s="655"/>
      <c r="E87" s="1008"/>
      <c r="F87" s="1127"/>
      <c r="G87" s="1126"/>
      <c r="H87" s="1126"/>
      <c r="I87" s="1126"/>
      <c r="J87" s="240"/>
      <c r="K87" s="252"/>
      <c r="L87" s="434"/>
      <c r="M87" s="257"/>
      <c r="N87" s="559"/>
      <c r="O87" s="279"/>
      <c r="P87" s="284"/>
      <c r="Q87" s="274"/>
      <c r="R87" s="559"/>
      <c r="S87" s="235"/>
      <c r="T87" s="559"/>
      <c r="U87" s="257"/>
      <c r="V87" s="559"/>
      <c r="W87" s="257"/>
      <c r="X87" s="1009"/>
      <c r="Y87" s="1010"/>
      <c r="Z87" s="1010"/>
      <c r="AA87" s="171"/>
      <c r="AB87" s="29" t="s">
        <v>121</v>
      </c>
      <c r="AC87" s="357" t="s">
        <v>122</v>
      </c>
      <c r="AD87" s="357" t="s">
        <v>123</v>
      </c>
      <c r="AE87" s="357" t="s">
        <v>124</v>
      </c>
      <c r="AF87" s="357" t="s">
        <v>125</v>
      </c>
      <c r="AG87" s="357" t="s">
        <v>126</v>
      </c>
      <c r="AH87" s="357" t="s">
        <v>127</v>
      </c>
    </row>
    <row r="88" spans="1:34" ht="12.6" customHeight="1" x14ac:dyDescent="0.25">
      <c r="A88" s="17"/>
      <c r="B88" s="645" t="s">
        <v>128</v>
      </c>
      <c r="C88" s="646"/>
      <c r="D88" s="646"/>
      <c r="E88" s="1007"/>
      <c r="F88" s="1127"/>
      <c r="G88" s="1126"/>
      <c r="H88" s="1126"/>
      <c r="I88" s="1126"/>
      <c r="J88" s="238"/>
      <c r="K88" s="251"/>
      <c r="L88" s="269"/>
      <c r="M88" s="258"/>
      <c r="N88" s="576"/>
      <c r="O88" s="278"/>
      <c r="P88" s="253"/>
      <c r="Q88" s="303"/>
      <c r="R88" s="576"/>
      <c r="S88" s="272"/>
      <c r="T88" s="576"/>
      <c r="U88" s="258"/>
      <c r="V88" s="576"/>
      <c r="W88" s="258"/>
      <c r="X88" s="1009"/>
      <c r="Y88" s="1010"/>
      <c r="Z88" s="1010"/>
      <c r="AA88" s="171"/>
      <c r="AB88" s="359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54" t="s">
        <v>130</v>
      </c>
      <c r="C89" s="655"/>
      <c r="D89" s="655"/>
      <c r="E89" s="1008"/>
      <c r="F89" s="1127"/>
      <c r="G89" s="1126"/>
      <c r="H89" s="1126"/>
      <c r="I89" s="1126"/>
      <c r="J89" s="240"/>
      <c r="K89" s="252"/>
      <c r="L89" s="434"/>
      <c r="M89" s="257"/>
      <c r="N89" s="559"/>
      <c r="O89" s="279"/>
      <c r="P89" s="284"/>
      <c r="Q89" s="274"/>
      <c r="R89" s="559"/>
      <c r="S89" s="235"/>
      <c r="T89" s="559"/>
      <c r="U89" s="257"/>
      <c r="V89" s="559"/>
      <c r="W89" s="257"/>
      <c r="X89" s="135"/>
      <c r="Y89" s="135"/>
      <c r="Z89" s="135"/>
      <c r="AA89" s="135"/>
      <c r="AB89" s="357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45" t="s">
        <v>132</v>
      </c>
      <c r="C90" s="646"/>
      <c r="D90" s="646"/>
      <c r="E90" s="1007"/>
      <c r="F90" s="1127"/>
      <c r="G90" s="1126"/>
      <c r="H90" s="1126"/>
      <c r="I90" s="1126"/>
      <c r="J90" s="238"/>
      <c r="K90" s="251"/>
      <c r="L90" s="269"/>
      <c r="M90" s="258"/>
      <c r="N90" s="576"/>
      <c r="O90" s="278"/>
      <c r="P90" s="253"/>
      <c r="Q90" s="278"/>
      <c r="R90" s="576"/>
      <c r="S90" s="278"/>
      <c r="T90" s="576"/>
      <c r="U90" s="258"/>
      <c r="V90" s="576"/>
      <c r="W90" s="258"/>
      <c r="X90" s="135"/>
      <c r="Y90" s="135"/>
      <c r="Z90" s="135"/>
      <c r="AA90" s="135"/>
      <c r="AB90" s="357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54" t="s">
        <v>134</v>
      </c>
      <c r="C91" s="655"/>
      <c r="D91" s="655"/>
      <c r="E91" s="1008"/>
      <c r="F91" s="1128"/>
      <c r="G91" s="1129"/>
      <c r="H91" s="1129"/>
      <c r="I91" s="1129"/>
      <c r="J91" s="240"/>
      <c r="K91" s="252"/>
      <c r="L91" s="434"/>
      <c r="M91" s="257"/>
      <c r="N91" s="559"/>
      <c r="O91" s="311"/>
      <c r="P91" s="284"/>
      <c r="Q91" s="274"/>
      <c r="R91" s="102"/>
      <c r="S91" s="567"/>
      <c r="T91" s="559"/>
      <c r="U91" s="257"/>
      <c r="V91" s="559"/>
      <c r="W91" s="257"/>
      <c r="X91" s="119"/>
      <c r="Y91" s="119"/>
      <c r="Z91" s="119"/>
      <c r="AA91" s="119"/>
      <c r="AB91" s="360" t="s">
        <v>135</v>
      </c>
      <c r="AC91" s="357" t="s">
        <v>136</v>
      </c>
      <c r="AD91" s="357" t="s">
        <v>137</v>
      </c>
      <c r="AE91" s="357" t="s">
        <v>138</v>
      </c>
      <c r="AF91" s="357" t="s">
        <v>139</v>
      </c>
      <c r="AG91" s="357" t="s">
        <v>140</v>
      </c>
    </row>
    <row r="92" spans="1:34" ht="12.6" customHeight="1" x14ac:dyDescent="0.2">
      <c r="A92" s="17"/>
      <c r="B92" s="645" t="s">
        <v>424</v>
      </c>
      <c r="C92" s="646"/>
      <c r="D92" s="646"/>
      <c r="E92" s="646"/>
      <c r="F92" s="258"/>
      <c r="G92" s="303"/>
      <c r="H92" s="238"/>
      <c r="I92" s="611"/>
      <c r="J92" s="576"/>
      <c r="K92" s="258"/>
      <c r="L92" s="576"/>
      <c r="M92" s="258"/>
      <c r="N92" s="576"/>
      <c r="O92" s="258"/>
      <c r="P92" s="576"/>
      <c r="Q92" s="258"/>
      <c r="R92" s="576"/>
      <c r="S92" s="258"/>
      <c r="T92" s="576"/>
      <c r="U92" s="258"/>
      <c r="V92" s="82"/>
      <c r="W92" s="307"/>
      <c r="X92" s="146"/>
      <c r="Y92" s="122"/>
      <c r="Z92" s="122"/>
      <c r="AA92" s="125"/>
      <c r="AB92" s="358">
        <v>117</v>
      </c>
    </row>
    <row r="93" spans="1:34" ht="12.6" customHeight="1" x14ac:dyDescent="0.2">
      <c r="A93" s="17"/>
      <c r="B93" s="659" t="s">
        <v>442</v>
      </c>
      <c r="C93" s="707"/>
      <c r="D93" s="707"/>
      <c r="E93" s="708"/>
      <c r="F93" s="257"/>
      <c r="G93" s="274"/>
      <c r="H93" s="240"/>
      <c r="I93" s="252"/>
      <c r="J93" s="559"/>
      <c r="K93" s="257"/>
      <c r="L93" s="559"/>
      <c r="M93" s="257"/>
      <c r="N93" s="559"/>
      <c r="O93" s="257"/>
      <c r="P93" s="559"/>
      <c r="Q93" s="257"/>
      <c r="R93" s="559"/>
      <c r="S93" s="257"/>
      <c r="T93" s="559"/>
      <c r="U93" s="257"/>
      <c r="V93" s="68"/>
      <c r="W93" s="308"/>
      <c r="X93" s="146"/>
      <c r="Y93" s="122"/>
      <c r="Z93" s="122"/>
      <c r="AA93" s="125"/>
      <c r="AB93" s="358"/>
    </row>
    <row r="94" spans="1:34" ht="12.6" customHeight="1" x14ac:dyDescent="0.2">
      <c r="A94" s="17"/>
      <c r="B94" s="645" t="s">
        <v>425</v>
      </c>
      <c r="C94" s="646"/>
      <c r="D94" s="646"/>
      <c r="E94" s="646"/>
      <c r="F94" s="258"/>
      <c r="G94" s="303"/>
      <c r="H94" s="238"/>
      <c r="I94" s="251"/>
      <c r="J94" s="576"/>
      <c r="K94" s="258"/>
      <c r="L94" s="576"/>
      <c r="M94" s="258"/>
      <c r="N94" s="576"/>
      <c r="O94" s="258"/>
      <c r="P94" s="576"/>
      <c r="Q94" s="258"/>
      <c r="R94" s="576"/>
      <c r="S94" s="258"/>
      <c r="T94" s="576"/>
      <c r="U94" s="258"/>
      <c r="V94" s="82"/>
      <c r="W94" s="307"/>
      <c r="X94" s="146"/>
      <c r="Y94" s="122"/>
      <c r="Z94" s="122"/>
      <c r="AA94" s="125"/>
      <c r="AB94" s="358">
        <v>129</v>
      </c>
    </row>
    <row r="95" spans="1:34" ht="12.6" customHeight="1" x14ac:dyDescent="0.2">
      <c r="A95" s="94"/>
      <c r="B95" s="951" t="s">
        <v>356</v>
      </c>
      <c r="C95" s="1121"/>
      <c r="D95" s="1121"/>
      <c r="E95" s="1121"/>
      <c r="F95" s="468">
        <v>790</v>
      </c>
      <c r="G95" s="474">
        <f t="shared" ref="G95:G99" si="197">+F95*$X$1</f>
        <v>790</v>
      </c>
      <c r="H95" s="470"/>
      <c r="I95" s="470"/>
      <c r="J95" s="547">
        <f>F95+200</f>
        <v>990</v>
      </c>
      <c r="K95" s="548">
        <f>+J95*$X$1</f>
        <v>990</v>
      </c>
      <c r="L95" s="549">
        <f>F95+150</f>
        <v>940</v>
      </c>
      <c r="M95" s="548">
        <f t="shared" ref="M95:M96" si="198">+L95*$X$1</f>
        <v>940</v>
      </c>
      <c r="N95" s="475">
        <f>F95+7.2</f>
        <v>797.2</v>
      </c>
      <c r="O95" s="1004" t="s">
        <v>141</v>
      </c>
      <c r="P95" s="1005"/>
      <c r="Q95" s="1005"/>
      <c r="R95" s="1005"/>
      <c r="S95" s="1005"/>
      <c r="T95" s="1005"/>
      <c r="U95" s="1005"/>
      <c r="V95" s="1005"/>
      <c r="W95" s="1005"/>
      <c r="X95" s="147"/>
      <c r="Y95" s="122"/>
      <c r="Z95" s="122"/>
      <c r="AA95" s="125"/>
      <c r="AB95" s="364">
        <v>247</v>
      </c>
    </row>
    <row r="96" spans="1:34" ht="12.6" customHeight="1" x14ac:dyDescent="0.2">
      <c r="A96" s="88"/>
      <c r="B96" s="656" t="s">
        <v>456</v>
      </c>
      <c r="C96" s="669"/>
      <c r="D96" s="669"/>
      <c r="E96" s="670"/>
      <c r="F96" s="334">
        <f>2.631*X2</f>
        <v>3393.99</v>
      </c>
      <c r="G96" s="278">
        <f>+F96*$X$1</f>
        <v>3393.99</v>
      </c>
      <c r="H96" s="251"/>
      <c r="I96" s="251"/>
      <c r="J96" s="82">
        <f>F96+200</f>
        <v>3593.99</v>
      </c>
      <c r="K96" s="258">
        <f t="shared" ref="K96" si="199">+J96*$X$1</f>
        <v>3593.99</v>
      </c>
      <c r="L96" s="576">
        <f t="shared" ref="L96" si="200">F96+150</f>
        <v>3543.99</v>
      </c>
      <c r="M96" s="258">
        <f t="shared" si="198"/>
        <v>3543.99</v>
      </c>
      <c r="N96" s="576">
        <f t="shared" ref="N96" si="201">F96+110</f>
        <v>3503.99</v>
      </c>
      <c r="O96" s="258">
        <f t="shared" ref="O96" si="202">+N96*$X$1</f>
        <v>3503.99</v>
      </c>
      <c r="P96" s="576">
        <f t="shared" ref="P96" si="203">F96+100</f>
        <v>3493.99</v>
      </c>
      <c r="Q96" s="258">
        <f t="shared" ref="Q96" si="204">+P96*$X$1</f>
        <v>3493.99</v>
      </c>
      <c r="R96" s="576">
        <f t="shared" ref="R96" si="205">F96+80</f>
        <v>3473.99</v>
      </c>
      <c r="S96" s="258">
        <f t="shared" ref="S96" si="206">+R96*$X$1</f>
        <v>3473.99</v>
      </c>
      <c r="T96" s="576">
        <f t="shared" ref="T96" si="207">F96+65</f>
        <v>3458.99</v>
      </c>
      <c r="U96" s="258">
        <f t="shared" ref="U96" si="208">+T96*$X$1</f>
        <v>3458.99</v>
      </c>
      <c r="V96" s="576">
        <f t="shared" ref="V96" si="209">F96+56</f>
        <v>3449.99</v>
      </c>
      <c r="W96" s="258">
        <f t="shared" ref="W96" si="210">+V96*$X$1</f>
        <v>3449.99</v>
      </c>
      <c r="X96" s="147"/>
      <c r="Y96" s="122"/>
      <c r="Z96" s="122"/>
      <c r="AA96" s="125"/>
      <c r="AB96" s="364">
        <v>249</v>
      </c>
    </row>
    <row r="97" spans="1:29" ht="12.6" customHeight="1" x14ac:dyDescent="0.2">
      <c r="A97" s="17"/>
      <c r="B97" s="654" t="s">
        <v>328</v>
      </c>
      <c r="C97" s="655"/>
      <c r="D97" s="655"/>
      <c r="E97" s="655"/>
      <c r="F97" s="257">
        <v>690</v>
      </c>
      <c r="G97" s="257">
        <f t="shared" si="197"/>
        <v>690</v>
      </c>
      <c r="H97" s="252"/>
      <c r="I97" s="252"/>
      <c r="J97" s="103">
        <f t="shared" ref="J97:J104" si="211">F97+200</f>
        <v>890</v>
      </c>
      <c r="K97" s="257">
        <f t="shared" ref="K97:K101" si="212">+J97*$X$1</f>
        <v>890</v>
      </c>
      <c r="L97" s="559"/>
      <c r="M97" s="559"/>
      <c r="N97" s="559">
        <f>F97+23</f>
        <v>713</v>
      </c>
      <c r="O97" s="559"/>
      <c r="P97" s="252"/>
      <c r="Q97" s="252"/>
      <c r="R97" s="559">
        <f>F97+15</f>
        <v>705</v>
      </c>
      <c r="S97" s="559"/>
      <c r="T97" s="559">
        <f>F97+12</f>
        <v>702</v>
      </c>
      <c r="U97" s="559"/>
      <c r="V97" s="559">
        <f>F97+10</f>
        <v>700</v>
      </c>
      <c r="W97" s="559"/>
      <c r="X97" s="148"/>
      <c r="Y97" s="122"/>
      <c r="Z97" s="122"/>
      <c r="AA97" s="125"/>
      <c r="AB97" s="365" t="s">
        <v>142</v>
      </c>
    </row>
    <row r="98" spans="1:29" ht="12.6" customHeight="1" x14ac:dyDescent="0.2">
      <c r="A98" s="17"/>
      <c r="B98" s="656" t="s">
        <v>446</v>
      </c>
      <c r="C98" s="705"/>
      <c r="D98" s="705"/>
      <c r="E98" s="706"/>
      <c r="F98" s="334">
        <f>12.04*X2</f>
        <v>15531.599999999999</v>
      </c>
      <c r="G98" s="258">
        <f t="shared" si="197"/>
        <v>15531.599999999999</v>
      </c>
      <c r="H98" s="568">
        <f>F98+600</f>
        <v>16131.599999999999</v>
      </c>
      <c r="I98" s="258">
        <f t="shared" ref="I98:I103" si="213">+H98*$X$1</f>
        <v>16131.599999999999</v>
      </c>
      <c r="J98" s="82">
        <f t="shared" si="211"/>
        <v>15731.599999999999</v>
      </c>
      <c r="K98" s="258">
        <f t="shared" si="212"/>
        <v>15731.599999999999</v>
      </c>
      <c r="L98" s="568">
        <f t="shared" ref="L98:L101" si="214">F98+150</f>
        <v>15681.599999999999</v>
      </c>
      <c r="M98" s="258">
        <f t="shared" ref="M98:M101" si="215">+L98*$X$1</f>
        <v>15681.599999999999</v>
      </c>
      <c r="N98" s="568">
        <f t="shared" ref="N98:N101" si="216">F98+110</f>
        <v>15641.599999999999</v>
      </c>
      <c r="O98" s="258">
        <f t="shared" ref="O98:O101" si="217">+N98*$X$1</f>
        <v>15641.599999999999</v>
      </c>
      <c r="P98" s="568">
        <f t="shared" ref="P98:P101" si="218">F98+100</f>
        <v>15631.599999999999</v>
      </c>
      <c r="Q98" s="258">
        <f t="shared" ref="Q98:Q101" si="219">+P98*$X$1</f>
        <v>15631.599999999999</v>
      </c>
      <c r="R98" s="568">
        <f t="shared" ref="R98:R101" si="220">F98+80</f>
        <v>15611.599999999999</v>
      </c>
      <c r="S98" s="258">
        <f t="shared" ref="S98:S101" si="221">+R98*$X$1</f>
        <v>15611.599999999999</v>
      </c>
      <c r="T98" s="568">
        <f t="shared" ref="T98:T101" si="222">F98+65</f>
        <v>15596.599999999999</v>
      </c>
      <c r="U98" s="258">
        <f t="shared" ref="U98:U101" si="223">+T98*$X$1</f>
        <v>15596.599999999999</v>
      </c>
      <c r="V98" s="568">
        <f t="shared" ref="V98:V101" si="224">F98+56</f>
        <v>15587.599999999999</v>
      </c>
      <c r="W98" s="258">
        <f t="shared" ref="W98:W101" si="225">+V98*$X$1</f>
        <v>15587.599999999999</v>
      </c>
      <c r="X98" s="149"/>
      <c r="Y98" s="122"/>
      <c r="Z98" s="122"/>
      <c r="AA98" s="125"/>
      <c r="AB98" s="365">
        <v>268</v>
      </c>
    </row>
    <row r="99" spans="1:29" ht="12.6" customHeight="1" x14ac:dyDescent="0.2">
      <c r="A99" s="17"/>
      <c r="B99" s="654" t="s">
        <v>601</v>
      </c>
      <c r="C99" s="655"/>
      <c r="D99" s="655"/>
      <c r="E99" s="655"/>
      <c r="F99" s="333">
        <f>4.49*X2</f>
        <v>5792.1</v>
      </c>
      <c r="G99" s="257">
        <f t="shared" si="197"/>
        <v>5792.1</v>
      </c>
      <c r="H99" s="559">
        <f t="shared" ref="H99:H101" si="226">F99+600</f>
        <v>6392.1</v>
      </c>
      <c r="I99" s="257">
        <f t="shared" si="213"/>
        <v>6392.1</v>
      </c>
      <c r="J99" s="68">
        <f t="shared" si="211"/>
        <v>5992.1</v>
      </c>
      <c r="K99" s="257">
        <f t="shared" si="212"/>
        <v>5992.1</v>
      </c>
      <c r="L99" s="559">
        <f t="shared" si="214"/>
        <v>5942.1</v>
      </c>
      <c r="M99" s="257">
        <f t="shared" si="215"/>
        <v>5942.1</v>
      </c>
      <c r="N99" s="559">
        <f t="shared" si="216"/>
        <v>5902.1</v>
      </c>
      <c r="O99" s="257">
        <f t="shared" si="217"/>
        <v>5902.1</v>
      </c>
      <c r="P99" s="559">
        <f t="shared" si="218"/>
        <v>5892.1</v>
      </c>
      <c r="Q99" s="257">
        <f t="shared" si="219"/>
        <v>5892.1</v>
      </c>
      <c r="R99" s="559">
        <f t="shared" si="220"/>
        <v>5872.1</v>
      </c>
      <c r="S99" s="257">
        <f t="shared" si="221"/>
        <v>5872.1</v>
      </c>
      <c r="T99" s="559">
        <f t="shared" si="222"/>
        <v>5857.1</v>
      </c>
      <c r="U99" s="257">
        <f t="shared" si="223"/>
        <v>5857.1</v>
      </c>
      <c r="V99" s="559">
        <f t="shared" si="224"/>
        <v>5848.1</v>
      </c>
      <c r="W99" s="257">
        <f t="shared" si="225"/>
        <v>5848.1</v>
      </c>
      <c r="X99" s="149"/>
      <c r="Y99" s="126"/>
      <c r="Z99" s="122"/>
      <c r="AA99" s="125"/>
      <c r="AB99" s="365">
        <v>270</v>
      </c>
      <c r="AC99" s="28"/>
    </row>
    <row r="100" spans="1:29" ht="12.6" customHeight="1" x14ac:dyDescent="0.2">
      <c r="A100" s="17"/>
      <c r="B100" s="645" t="s">
        <v>143</v>
      </c>
      <c r="C100" s="646"/>
      <c r="D100" s="646"/>
      <c r="E100" s="646"/>
      <c r="F100" s="334">
        <f>13.1*X2</f>
        <v>16899</v>
      </c>
      <c r="G100" s="258">
        <f t="shared" ref="G100:G101" si="227">+F100*$X$1</f>
        <v>16899</v>
      </c>
      <c r="H100" s="568">
        <f t="shared" si="226"/>
        <v>17499</v>
      </c>
      <c r="I100" s="258">
        <f t="shared" si="213"/>
        <v>17499</v>
      </c>
      <c r="J100" s="82">
        <f t="shared" si="211"/>
        <v>17099</v>
      </c>
      <c r="K100" s="258">
        <f t="shared" si="212"/>
        <v>17099</v>
      </c>
      <c r="L100" s="568">
        <f t="shared" si="214"/>
        <v>17049</v>
      </c>
      <c r="M100" s="258">
        <f t="shared" si="215"/>
        <v>17049</v>
      </c>
      <c r="N100" s="568">
        <f t="shared" si="216"/>
        <v>17009</v>
      </c>
      <c r="O100" s="258">
        <f t="shared" si="217"/>
        <v>17009</v>
      </c>
      <c r="P100" s="568">
        <f t="shared" si="218"/>
        <v>16999</v>
      </c>
      <c r="Q100" s="258">
        <f t="shared" si="219"/>
        <v>16999</v>
      </c>
      <c r="R100" s="568">
        <f t="shared" si="220"/>
        <v>16979</v>
      </c>
      <c r="S100" s="258">
        <f t="shared" si="221"/>
        <v>16979</v>
      </c>
      <c r="T100" s="568">
        <f t="shared" si="222"/>
        <v>16964</v>
      </c>
      <c r="U100" s="258">
        <f t="shared" si="223"/>
        <v>16964</v>
      </c>
      <c r="V100" s="568">
        <f t="shared" si="224"/>
        <v>16955</v>
      </c>
      <c r="W100" s="258">
        <f t="shared" si="225"/>
        <v>16955</v>
      </c>
      <c r="X100" s="148"/>
      <c r="Y100" s="122"/>
      <c r="Z100" s="122"/>
      <c r="AA100" s="125"/>
      <c r="AB100" s="365">
        <v>273</v>
      </c>
      <c r="AC100" s="28"/>
    </row>
    <row r="101" spans="1:29" ht="12.6" customHeight="1" x14ac:dyDescent="0.2">
      <c r="A101" s="17"/>
      <c r="B101" s="654" t="s">
        <v>144</v>
      </c>
      <c r="C101" s="655"/>
      <c r="D101" s="655"/>
      <c r="E101" s="655"/>
      <c r="F101" s="333">
        <f>8.7*X2</f>
        <v>11222.999999999998</v>
      </c>
      <c r="G101" s="257">
        <f t="shared" si="227"/>
        <v>11222.999999999998</v>
      </c>
      <c r="H101" s="559">
        <f t="shared" si="226"/>
        <v>11822.999999999998</v>
      </c>
      <c r="I101" s="257">
        <f t="shared" si="213"/>
        <v>11822.999999999998</v>
      </c>
      <c r="J101" s="68">
        <f t="shared" si="211"/>
        <v>11422.999999999998</v>
      </c>
      <c r="K101" s="257">
        <f t="shared" si="212"/>
        <v>11422.999999999998</v>
      </c>
      <c r="L101" s="559">
        <f t="shared" si="214"/>
        <v>11372.999999999998</v>
      </c>
      <c r="M101" s="257">
        <f t="shared" si="215"/>
        <v>11372.999999999998</v>
      </c>
      <c r="N101" s="559">
        <f t="shared" si="216"/>
        <v>11332.999999999998</v>
      </c>
      <c r="O101" s="257">
        <f t="shared" si="217"/>
        <v>11332.999999999998</v>
      </c>
      <c r="P101" s="559">
        <f t="shared" si="218"/>
        <v>11322.999999999998</v>
      </c>
      <c r="Q101" s="257">
        <f t="shared" si="219"/>
        <v>11322.999999999998</v>
      </c>
      <c r="R101" s="559">
        <f t="shared" si="220"/>
        <v>11302.999999999998</v>
      </c>
      <c r="S101" s="257">
        <f t="shared" si="221"/>
        <v>11302.999999999998</v>
      </c>
      <c r="T101" s="559">
        <f t="shared" si="222"/>
        <v>11287.999999999998</v>
      </c>
      <c r="U101" s="257">
        <f t="shared" si="223"/>
        <v>11287.999999999998</v>
      </c>
      <c r="V101" s="559">
        <f t="shared" si="224"/>
        <v>11278.999999999998</v>
      </c>
      <c r="W101" s="257">
        <f t="shared" si="225"/>
        <v>11278.999999999998</v>
      </c>
      <c r="X101" s="149"/>
      <c r="Y101" s="126"/>
      <c r="Z101" s="122"/>
      <c r="AA101" s="125"/>
      <c r="AB101" s="365">
        <v>278</v>
      </c>
      <c r="AC101" s="28"/>
    </row>
    <row r="102" spans="1:29" ht="12.6" customHeight="1" x14ac:dyDescent="0.2">
      <c r="A102" s="17"/>
      <c r="B102" s="645" t="s">
        <v>882</v>
      </c>
      <c r="C102" s="646"/>
      <c r="D102" s="646"/>
      <c r="E102" s="646"/>
      <c r="F102" s="334">
        <f>1.55*X2</f>
        <v>1999.5</v>
      </c>
      <c r="G102" s="258">
        <f>+F102*$X$1</f>
        <v>1999.5</v>
      </c>
      <c r="H102" s="82"/>
      <c r="I102" s="258"/>
      <c r="J102" s="82">
        <f t="shared" si="211"/>
        <v>2199.5</v>
      </c>
      <c r="K102" s="258">
        <f t="shared" ref="K102:K104" si="228">+J102*$X$1</f>
        <v>2199.5</v>
      </c>
      <c r="L102" s="568">
        <f t="shared" ref="L102:L104" si="229">F102+150</f>
        <v>2149.5</v>
      </c>
      <c r="M102" s="258">
        <f t="shared" ref="M102:M104" si="230">+L102*$X$1</f>
        <v>2149.5</v>
      </c>
      <c r="N102" s="568">
        <f t="shared" ref="N102:N104" si="231">F102+110</f>
        <v>2109.5</v>
      </c>
      <c r="O102" s="258">
        <f t="shared" ref="O102:O104" si="232">+N102*$X$1</f>
        <v>2109.5</v>
      </c>
      <c r="P102" s="568">
        <f t="shared" ref="P102:P104" si="233">F102+100</f>
        <v>2099.5</v>
      </c>
      <c r="Q102" s="258">
        <f t="shared" ref="Q102:Q104" si="234">+P102*$X$1</f>
        <v>2099.5</v>
      </c>
      <c r="R102" s="568">
        <f t="shared" ref="R102:R104" si="235">F102+80</f>
        <v>2079.5</v>
      </c>
      <c r="S102" s="258">
        <f t="shared" ref="S102:S104" si="236">+R102*$X$1</f>
        <v>2079.5</v>
      </c>
      <c r="T102" s="568">
        <f t="shared" ref="T102:T104" si="237">F102+65</f>
        <v>2064.5</v>
      </c>
      <c r="U102" s="258">
        <f t="shared" ref="U102:U104" si="238">+T102*$X$1</f>
        <v>2064.5</v>
      </c>
      <c r="V102" s="568">
        <f t="shared" ref="V102:V104" si="239">F102+56</f>
        <v>2055.5</v>
      </c>
      <c r="W102" s="258">
        <f t="shared" ref="W102:W104" si="240">+V102*$X$1</f>
        <v>2055.5</v>
      </c>
      <c r="X102" s="146"/>
      <c r="Y102" s="126"/>
      <c r="Z102" s="122"/>
      <c r="AA102" s="125"/>
      <c r="AB102" s="365">
        <v>285</v>
      </c>
      <c r="AC102" s="28"/>
    </row>
    <row r="103" spans="1:29" ht="12.6" customHeight="1" x14ac:dyDescent="0.2">
      <c r="A103" s="17"/>
      <c r="B103" s="737" t="s">
        <v>145</v>
      </c>
      <c r="C103" s="738"/>
      <c r="D103" s="738"/>
      <c r="E103" s="738"/>
      <c r="F103" s="333">
        <f>2.03*X2</f>
        <v>2618.6999999999998</v>
      </c>
      <c r="G103" s="257">
        <f>+F103*$X$1</f>
        <v>2618.6999999999998</v>
      </c>
      <c r="H103" s="559">
        <f>F103+600</f>
        <v>3218.7</v>
      </c>
      <c r="I103" s="257">
        <f t="shared" si="213"/>
        <v>3218.7</v>
      </c>
      <c r="J103" s="68">
        <f t="shared" si="211"/>
        <v>2818.7</v>
      </c>
      <c r="K103" s="257">
        <f t="shared" si="228"/>
        <v>2818.7</v>
      </c>
      <c r="L103" s="559">
        <f t="shared" si="229"/>
        <v>2768.7</v>
      </c>
      <c r="M103" s="257">
        <f t="shared" si="230"/>
        <v>2768.7</v>
      </c>
      <c r="N103" s="559">
        <f t="shared" si="231"/>
        <v>2728.7</v>
      </c>
      <c r="O103" s="257">
        <f t="shared" si="232"/>
        <v>2728.7</v>
      </c>
      <c r="P103" s="559">
        <f t="shared" si="233"/>
        <v>2718.7</v>
      </c>
      <c r="Q103" s="257">
        <f t="shared" si="234"/>
        <v>2718.7</v>
      </c>
      <c r="R103" s="559">
        <f t="shared" si="235"/>
        <v>2698.7</v>
      </c>
      <c r="S103" s="257">
        <f t="shared" si="236"/>
        <v>2698.7</v>
      </c>
      <c r="T103" s="559">
        <f t="shared" si="237"/>
        <v>2683.7</v>
      </c>
      <c r="U103" s="257">
        <f t="shared" si="238"/>
        <v>2683.7</v>
      </c>
      <c r="V103" s="559">
        <f t="shared" si="239"/>
        <v>2674.7</v>
      </c>
      <c r="W103" s="257">
        <f t="shared" si="240"/>
        <v>2674.7</v>
      </c>
      <c r="X103" s="146"/>
      <c r="Y103" s="126"/>
      <c r="Z103" s="122"/>
      <c r="AA103" s="125"/>
      <c r="AB103" s="365">
        <v>288</v>
      </c>
      <c r="AC103" s="28"/>
    </row>
    <row r="104" spans="1:29" ht="12.6" customHeight="1" x14ac:dyDescent="0.2">
      <c r="A104" s="17"/>
      <c r="B104" s="645" t="s">
        <v>146</v>
      </c>
      <c r="C104" s="646"/>
      <c r="D104" s="646"/>
      <c r="E104" s="646"/>
      <c r="F104" s="258">
        <v>460</v>
      </c>
      <c r="G104" s="258">
        <f>+F104*$X$1</f>
        <v>460</v>
      </c>
      <c r="H104" s="82"/>
      <c r="I104" s="258"/>
      <c r="J104" s="82">
        <f t="shared" si="211"/>
        <v>660</v>
      </c>
      <c r="K104" s="258">
        <f t="shared" si="228"/>
        <v>660</v>
      </c>
      <c r="L104" s="568">
        <f t="shared" si="229"/>
        <v>610</v>
      </c>
      <c r="M104" s="258">
        <f t="shared" si="230"/>
        <v>610</v>
      </c>
      <c r="N104" s="568">
        <f t="shared" si="231"/>
        <v>570</v>
      </c>
      <c r="O104" s="258">
        <f t="shared" si="232"/>
        <v>570</v>
      </c>
      <c r="P104" s="568">
        <f t="shared" si="233"/>
        <v>560</v>
      </c>
      <c r="Q104" s="258">
        <f t="shared" si="234"/>
        <v>560</v>
      </c>
      <c r="R104" s="568">
        <f t="shared" si="235"/>
        <v>540</v>
      </c>
      <c r="S104" s="258">
        <f t="shared" si="236"/>
        <v>540</v>
      </c>
      <c r="T104" s="568">
        <f t="shared" si="237"/>
        <v>525</v>
      </c>
      <c r="U104" s="258">
        <f t="shared" si="238"/>
        <v>525</v>
      </c>
      <c r="V104" s="568">
        <f t="shared" si="239"/>
        <v>516</v>
      </c>
      <c r="W104" s="258">
        <f t="shared" si="240"/>
        <v>516</v>
      </c>
      <c r="X104" s="146"/>
      <c r="Y104" s="126"/>
      <c r="Z104" s="122"/>
      <c r="AA104" s="125"/>
      <c r="AB104" s="365">
        <v>289</v>
      </c>
      <c r="AC104" s="28"/>
    </row>
    <row r="105" spans="1:29" ht="12.6" customHeight="1" x14ac:dyDescent="0.2">
      <c r="A105" s="17"/>
      <c r="B105" s="654" t="s">
        <v>147</v>
      </c>
      <c r="C105" s="655"/>
      <c r="D105" s="655"/>
      <c r="E105" s="655"/>
      <c r="F105" s="258"/>
      <c r="G105" s="682" t="s">
        <v>902</v>
      </c>
      <c r="H105" s="683"/>
      <c r="I105" s="683"/>
      <c r="J105" s="683"/>
      <c r="K105" s="683"/>
      <c r="L105" s="683"/>
      <c r="M105" s="683"/>
      <c r="N105" s="569">
        <v>750</v>
      </c>
      <c r="O105" s="257">
        <f t="shared" ref="O105:Q108" si="241">+N105*$X$1</f>
        <v>750</v>
      </c>
      <c r="P105" s="284">
        <v>724</v>
      </c>
      <c r="Q105" s="257">
        <f t="shared" si="241"/>
        <v>724</v>
      </c>
      <c r="R105" s="68">
        <v>664</v>
      </c>
      <c r="S105" s="257">
        <f t="shared" ref="S105:S108" si="242">+R105*$X$1</f>
        <v>664</v>
      </c>
      <c r="T105" s="559">
        <v>625</v>
      </c>
      <c r="U105" s="257">
        <f t="shared" ref="U105:U108" si="243">+T105*$X$1</f>
        <v>625</v>
      </c>
      <c r="V105" s="559">
        <v>534</v>
      </c>
      <c r="W105" s="257">
        <f t="shared" ref="W105:W108" si="244">+V105*$X$1</f>
        <v>534</v>
      </c>
      <c r="X105" s="685"/>
      <c r="Y105" s="686"/>
      <c r="Z105" s="686"/>
      <c r="AA105" s="687"/>
      <c r="AB105" s="365">
        <v>290</v>
      </c>
    </row>
    <row r="106" spans="1:29" ht="12.6" customHeight="1" x14ac:dyDescent="0.2">
      <c r="A106" s="17"/>
      <c r="B106" s="645" t="s">
        <v>367</v>
      </c>
      <c r="C106" s="646"/>
      <c r="D106" s="646"/>
      <c r="E106" s="646"/>
      <c r="F106" s="258"/>
      <c r="G106" s="682" t="s">
        <v>539</v>
      </c>
      <c r="H106" s="683"/>
      <c r="I106" s="683"/>
      <c r="J106" s="683"/>
      <c r="K106" s="683"/>
      <c r="L106" s="683"/>
      <c r="M106" s="684"/>
      <c r="N106" s="570">
        <v>910</v>
      </c>
      <c r="O106" s="258">
        <f t="shared" si="241"/>
        <v>910</v>
      </c>
      <c r="P106" s="253">
        <v>875</v>
      </c>
      <c r="Q106" s="258">
        <f t="shared" si="241"/>
        <v>875</v>
      </c>
      <c r="R106" s="82">
        <v>805</v>
      </c>
      <c r="S106" s="258">
        <f t="shared" si="242"/>
        <v>805</v>
      </c>
      <c r="T106" s="571">
        <v>757</v>
      </c>
      <c r="U106" s="258">
        <f t="shared" si="243"/>
        <v>757</v>
      </c>
      <c r="V106" s="571">
        <v>647</v>
      </c>
      <c r="W106" s="258">
        <f t="shared" si="244"/>
        <v>647</v>
      </c>
      <c r="X106" s="685"/>
      <c r="Y106" s="686"/>
      <c r="Z106" s="686"/>
      <c r="AA106" s="687"/>
      <c r="AB106" s="365" t="s">
        <v>148</v>
      </c>
    </row>
    <row r="107" spans="1:29" ht="12.6" customHeight="1" x14ac:dyDescent="0.2">
      <c r="A107" s="17"/>
      <c r="B107" s="654" t="s">
        <v>368</v>
      </c>
      <c r="C107" s="655"/>
      <c r="D107" s="655"/>
      <c r="E107" s="655"/>
      <c r="F107" s="258"/>
      <c r="G107" s="682" t="s">
        <v>538</v>
      </c>
      <c r="H107" s="683"/>
      <c r="I107" s="683"/>
      <c r="J107" s="683"/>
      <c r="K107" s="683"/>
      <c r="L107" s="683"/>
      <c r="M107" s="684"/>
      <c r="N107" s="284">
        <v>930</v>
      </c>
      <c r="O107" s="257">
        <f t="shared" ref="O107:O108" si="245">+N107*$X$1</f>
        <v>930</v>
      </c>
      <c r="P107" s="284">
        <v>903</v>
      </c>
      <c r="Q107" s="257">
        <f t="shared" si="241"/>
        <v>903</v>
      </c>
      <c r="R107" s="569">
        <v>831</v>
      </c>
      <c r="S107" s="257">
        <f t="shared" si="242"/>
        <v>831</v>
      </c>
      <c r="T107" s="559">
        <v>782</v>
      </c>
      <c r="U107" s="257">
        <f t="shared" si="243"/>
        <v>782</v>
      </c>
      <c r="V107" s="559">
        <v>667</v>
      </c>
      <c r="W107" s="257">
        <f t="shared" si="244"/>
        <v>667</v>
      </c>
      <c r="X107" s="685"/>
      <c r="Y107" s="686"/>
      <c r="Z107" s="686"/>
      <c r="AA107" s="687"/>
      <c r="AB107" s="365">
        <v>291</v>
      </c>
    </row>
    <row r="108" spans="1:29" ht="12.6" customHeight="1" x14ac:dyDescent="0.2">
      <c r="A108" s="17"/>
      <c r="B108" s="645" t="s">
        <v>369</v>
      </c>
      <c r="C108" s="646"/>
      <c r="D108" s="646"/>
      <c r="E108" s="646"/>
      <c r="F108" s="258"/>
      <c r="G108" s="682" t="s">
        <v>539</v>
      </c>
      <c r="H108" s="683"/>
      <c r="I108" s="683"/>
      <c r="J108" s="683"/>
      <c r="K108" s="683"/>
      <c r="L108" s="683"/>
      <c r="M108" s="684"/>
      <c r="N108" s="253">
        <v>1160</v>
      </c>
      <c r="O108" s="258">
        <f t="shared" si="245"/>
        <v>1160</v>
      </c>
      <c r="P108" s="253">
        <v>1130</v>
      </c>
      <c r="Q108" s="258">
        <f t="shared" si="241"/>
        <v>1130</v>
      </c>
      <c r="R108" s="82">
        <v>1042</v>
      </c>
      <c r="S108" s="258">
        <f t="shared" si="242"/>
        <v>1042</v>
      </c>
      <c r="T108" s="571">
        <v>981</v>
      </c>
      <c r="U108" s="258">
        <f t="shared" si="243"/>
        <v>981</v>
      </c>
      <c r="V108" s="571">
        <v>837</v>
      </c>
      <c r="W108" s="258">
        <f t="shared" si="244"/>
        <v>837</v>
      </c>
      <c r="X108" s="685"/>
      <c r="Y108" s="686"/>
      <c r="Z108" s="686"/>
      <c r="AA108" s="687"/>
      <c r="AB108" s="365" t="s">
        <v>149</v>
      </c>
    </row>
    <row r="109" spans="1:29" ht="12.6" customHeight="1" x14ac:dyDescent="0.2">
      <c r="A109" s="17"/>
      <c r="B109" s="671" t="s">
        <v>903</v>
      </c>
      <c r="C109" s="672"/>
      <c r="D109" s="672"/>
      <c r="E109" s="672"/>
      <c r="F109" s="258"/>
      <c r="G109" s="682" t="s">
        <v>538</v>
      </c>
      <c r="H109" s="683"/>
      <c r="I109" s="683"/>
      <c r="J109" s="683"/>
      <c r="K109" s="683"/>
      <c r="L109" s="683"/>
      <c r="M109" s="684"/>
      <c r="N109" s="284">
        <v>590</v>
      </c>
      <c r="O109" s="257">
        <f t="shared" ref="O109" si="246">+N109*$X$1</f>
        <v>590</v>
      </c>
      <c r="P109" s="284">
        <v>550</v>
      </c>
      <c r="Q109" s="257">
        <f t="shared" ref="Q109" si="247">+P109*$X$1</f>
        <v>550</v>
      </c>
      <c r="R109" s="569">
        <v>498</v>
      </c>
      <c r="S109" s="257">
        <f t="shared" ref="S109" si="248">+R109*$X$1</f>
        <v>498</v>
      </c>
      <c r="T109" s="559">
        <v>468</v>
      </c>
      <c r="U109" s="257">
        <f t="shared" ref="U109" si="249">+T109*$X$1</f>
        <v>468</v>
      </c>
      <c r="V109" s="559">
        <v>399</v>
      </c>
      <c r="W109" s="257">
        <f t="shared" ref="W109" si="250">+V109*$X$1</f>
        <v>399</v>
      </c>
      <c r="X109" s="685"/>
      <c r="Y109" s="686"/>
      <c r="Z109" s="686"/>
      <c r="AA109" s="687"/>
      <c r="AB109" s="365">
        <v>292</v>
      </c>
    </row>
    <row r="110" spans="1:29" ht="12.6" customHeight="1" x14ac:dyDescent="0.2">
      <c r="A110" s="17"/>
      <c r="B110" s="671" t="s">
        <v>949</v>
      </c>
      <c r="C110" s="672"/>
      <c r="D110" s="672"/>
      <c r="E110" s="672"/>
      <c r="F110" s="258"/>
      <c r="G110" s="682" t="s">
        <v>539</v>
      </c>
      <c r="H110" s="683"/>
      <c r="I110" s="683"/>
      <c r="J110" s="683"/>
      <c r="K110" s="683"/>
      <c r="L110" s="683"/>
      <c r="M110" s="684"/>
      <c r="N110" s="253">
        <v>670</v>
      </c>
      <c r="O110" s="258">
        <f t="shared" ref="O110:O111" si="251">+N110*$X$1</f>
        <v>670</v>
      </c>
      <c r="P110" s="253">
        <v>620</v>
      </c>
      <c r="Q110" s="258">
        <f t="shared" ref="Q110:Q111" si="252">+P110*$X$1</f>
        <v>620</v>
      </c>
      <c r="R110" s="570">
        <v>570</v>
      </c>
      <c r="S110" s="258">
        <f t="shared" ref="S110:S111" si="253">+R110*$X$1</f>
        <v>570</v>
      </c>
      <c r="T110" s="571">
        <v>535</v>
      </c>
      <c r="U110" s="258">
        <f t="shared" ref="U110:U111" si="254">+T110*$X$1</f>
        <v>535</v>
      </c>
      <c r="V110" s="571">
        <v>455</v>
      </c>
      <c r="W110" s="258">
        <f t="shared" ref="W110:W111" si="255">+V110*$X$1</f>
        <v>455</v>
      </c>
      <c r="X110" s="685"/>
      <c r="Y110" s="686"/>
      <c r="Z110" s="686"/>
      <c r="AA110" s="687"/>
      <c r="AB110" s="365" t="s">
        <v>947</v>
      </c>
    </row>
    <row r="111" spans="1:29" ht="12.6" customHeight="1" x14ac:dyDescent="0.2">
      <c r="A111" s="17"/>
      <c r="B111" s="671" t="s">
        <v>904</v>
      </c>
      <c r="C111" s="672"/>
      <c r="D111" s="672"/>
      <c r="E111" s="672"/>
      <c r="F111" s="258"/>
      <c r="G111" s="682" t="s">
        <v>538</v>
      </c>
      <c r="H111" s="683"/>
      <c r="I111" s="683"/>
      <c r="J111" s="683"/>
      <c r="K111" s="683"/>
      <c r="L111" s="683"/>
      <c r="M111" s="684"/>
      <c r="N111" s="284">
        <v>1150</v>
      </c>
      <c r="O111" s="257">
        <f t="shared" si="251"/>
        <v>1150</v>
      </c>
      <c r="P111" s="284">
        <v>1110</v>
      </c>
      <c r="Q111" s="257">
        <f t="shared" si="252"/>
        <v>1110</v>
      </c>
      <c r="R111" s="569">
        <v>1010</v>
      </c>
      <c r="S111" s="257">
        <f t="shared" si="253"/>
        <v>1010</v>
      </c>
      <c r="T111" s="559">
        <v>950</v>
      </c>
      <c r="U111" s="257">
        <f t="shared" si="254"/>
        <v>950</v>
      </c>
      <c r="V111" s="559">
        <v>810</v>
      </c>
      <c r="W111" s="257">
        <f t="shared" si="255"/>
        <v>810</v>
      </c>
      <c r="X111" s="685"/>
      <c r="Y111" s="686"/>
      <c r="Z111" s="686"/>
      <c r="AA111" s="687"/>
      <c r="AB111" s="365">
        <v>293</v>
      </c>
    </row>
    <row r="112" spans="1:29" ht="12.6" customHeight="1" x14ac:dyDescent="0.2">
      <c r="A112" s="17"/>
      <c r="B112" s="671" t="s">
        <v>950</v>
      </c>
      <c r="C112" s="672"/>
      <c r="D112" s="672"/>
      <c r="E112" s="672"/>
      <c r="F112" s="258"/>
      <c r="G112" s="682" t="s">
        <v>539</v>
      </c>
      <c r="H112" s="683"/>
      <c r="I112" s="688"/>
      <c r="J112" s="688"/>
      <c r="K112" s="688"/>
      <c r="L112" s="688"/>
      <c r="M112" s="689"/>
      <c r="N112" s="253">
        <v>1260</v>
      </c>
      <c r="O112" s="258">
        <f t="shared" ref="O112" si="256">+N112*$X$1</f>
        <v>1260</v>
      </c>
      <c r="P112" s="253">
        <v>1200</v>
      </c>
      <c r="Q112" s="258">
        <f t="shared" ref="Q112" si="257">+P112*$X$1</f>
        <v>1200</v>
      </c>
      <c r="R112" s="570">
        <v>1080</v>
      </c>
      <c r="S112" s="258">
        <f t="shared" ref="S112" si="258">+R112*$X$1</f>
        <v>1080</v>
      </c>
      <c r="T112" s="571">
        <v>1015</v>
      </c>
      <c r="U112" s="258">
        <f t="shared" ref="U112" si="259">+T112*$X$1</f>
        <v>1015</v>
      </c>
      <c r="V112" s="571">
        <v>866</v>
      </c>
      <c r="W112" s="258">
        <f t="shared" ref="W112" si="260">+V112*$X$1</f>
        <v>866</v>
      </c>
      <c r="X112" s="685"/>
      <c r="Y112" s="686"/>
      <c r="Z112" s="686"/>
      <c r="AA112" s="687"/>
      <c r="AB112" s="365" t="s">
        <v>948</v>
      </c>
    </row>
    <row r="113" spans="1:28" ht="12.6" customHeight="1" x14ac:dyDescent="0.2">
      <c r="A113" s="17"/>
      <c r="B113" s="671" t="s">
        <v>951</v>
      </c>
      <c r="C113" s="672"/>
      <c r="D113" s="672"/>
      <c r="E113" s="672"/>
      <c r="F113" s="258"/>
      <c r="G113" s="682" t="s">
        <v>538</v>
      </c>
      <c r="H113" s="683"/>
      <c r="I113" s="683"/>
      <c r="J113" s="683"/>
      <c r="K113" s="683"/>
      <c r="L113" s="683"/>
      <c r="M113" s="684"/>
      <c r="N113" s="284"/>
      <c r="O113" s="257"/>
      <c r="P113" s="284"/>
      <c r="Q113" s="257"/>
      <c r="R113" s="569"/>
      <c r="S113" s="257"/>
      <c r="T113" s="559"/>
      <c r="U113" s="257"/>
      <c r="V113" s="559"/>
      <c r="W113" s="257"/>
      <c r="X113" s="685"/>
      <c r="Y113" s="686"/>
      <c r="Z113" s="686"/>
      <c r="AA113" s="687"/>
      <c r="AB113" s="365">
        <v>294</v>
      </c>
    </row>
    <row r="114" spans="1:28" ht="12.6" customHeight="1" x14ac:dyDescent="0.2">
      <c r="A114" s="17"/>
      <c r="B114" s="671" t="s">
        <v>952</v>
      </c>
      <c r="C114" s="672"/>
      <c r="D114" s="672"/>
      <c r="E114" s="672"/>
      <c r="F114" s="258"/>
      <c r="G114" s="682" t="s">
        <v>539</v>
      </c>
      <c r="H114" s="683"/>
      <c r="I114" s="688"/>
      <c r="J114" s="688"/>
      <c r="K114" s="688"/>
      <c r="L114" s="688"/>
      <c r="M114" s="689"/>
      <c r="N114" s="253"/>
      <c r="O114" s="258"/>
      <c r="P114" s="253"/>
      <c r="Q114" s="258"/>
      <c r="R114" s="570"/>
      <c r="S114" s="258"/>
      <c r="T114" s="571"/>
      <c r="U114" s="258"/>
      <c r="V114" s="571"/>
      <c r="W114" s="258"/>
      <c r="X114" s="685"/>
      <c r="Y114" s="686"/>
      <c r="Z114" s="686"/>
      <c r="AA114" s="687"/>
      <c r="AB114" s="365" t="s">
        <v>953</v>
      </c>
    </row>
    <row r="115" spans="1:28" ht="12.6" customHeight="1" x14ac:dyDescent="0.2">
      <c r="A115" s="17"/>
      <c r="B115" s="671" t="s">
        <v>955</v>
      </c>
      <c r="C115" s="672"/>
      <c r="D115" s="672"/>
      <c r="E115" s="672"/>
      <c r="F115" s="258"/>
      <c r="G115" s="682" t="s">
        <v>538</v>
      </c>
      <c r="H115" s="683"/>
      <c r="I115" s="683"/>
      <c r="J115" s="683"/>
      <c r="K115" s="683"/>
      <c r="L115" s="683"/>
      <c r="M115" s="684"/>
      <c r="N115" s="284"/>
      <c r="O115" s="257"/>
      <c r="P115" s="284"/>
      <c r="Q115" s="257"/>
      <c r="R115" s="569"/>
      <c r="S115" s="257"/>
      <c r="T115" s="559"/>
      <c r="U115" s="257"/>
      <c r="V115" s="559"/>
      <c r="W115" s="257"/>
      <c r="X115" s="685"/>
      <c r="Y115" s="686"/>
      <c r="Z115" s="686"/>
      <c r="AA115" s="687"/>
      <c r="AB115" s="365">
        <v>295</v>
      </c>
    </row>
    <row r="116" spans="1:28" ht="12.6" customHeight="1" x14ac:dyDescent="0.2">
      <c r="A116" s="17"/>
      <c r="B116" s="671" t="s">
        <v>954</v>
      </c>
      <c r="C116" s="672"/>
      <c r="D116" s="672"/>
      <c r="E116" s="672"/>
      <c r="F116" s="258"/>
      <c r="G116" s="682" t="s">
        <v>539</v>
      </c>
      <c r="H116" s="683"/>
      <c r="I116" s="688"/>
      <c r="J116" s="688"/>
      <c r="K116" s="688"/>
      <c r="L116" s="688"/>
      <c r="M116" s="689"/>
      <c r="N116" s="253"/>
      <c r="O116" s="258"/>
      <c r="P116" s="253"/>
      <c r="Q116" s="258"/>
      <c r="R116" s="570"/>
      <c r="S116" s="258"/>
      <c r="T116" s="571"/>
      <c r="U116" s="258"/>
      <c r="V116" s="571"/>
      <c r="W116" s="258"/>
      <c r="X116" s="685"/>
      <c r="Y116" s="686"/>
      <c r="Z116" s="686"/>
      <c r="AA116" s="687"/>
      <c r="AB116" s="365"/>
    </row>
    <row r="117" spans="1:28" ht="12.6" customHeight="1" x14ac:dyDescent="0.2">
      <c r="A117" s="17"/>
      <c r="B117" s="671" t="s">
        <v>956</v>
      </c>
      <c r="C117" s="672"/>
      <c r="D117" s="672"/>
      <c r="E117" s="672"/>
      <c r="F117" s="258"/>
      <c r="G117" s="682" t="s">
        <v>538</v>
      </c>
      <c r="H117" s="683"/>
      <c r="I117" s="683"/>
      <c r="J117" s="683"/>
      <c r="K117" s="683"/>
      <c r="L117" s="683"/>
      <c r="M117" s="684"/>
      <c r="N117" s="284"/>
      <c r="O117" s="257"/>
      <c r="P117" s="284"/>
      <c r="Q117" s="257"/>
      <c r="R117" s="569"/>
      <c r="S117" s="257"/>
      <c r="T117" s="559"/>
      <c r="U117" s="257"/>
      <c r="V117" s="559"/>
      <c r="W117" s="257"/>
      <c r="X117" s="685"/>
      <c r="Y117" s="686"/>
      <c r="Z117" s="686"/>
      <c r="AA117" s="687"/>
      <c r="AB117" s="365">
        <v>298</v>
      </c>
    </row>
    <row r="118" spans="1:28" ht="12.6" customHeight="1" x14ac:dyDescent="0.2">
      <c r="A118" s="17"/>
      <c r="B118" s="671" t="s">
        <v>958</v>
      </c>
      <c r="C118" s="672"/>
      <c r="D118" s="672"/>
      <c r="E118" s="672"/>
      <c r="F118" s="258"/>
      <c r="G118" s="682" t="s">
        <v>539</v>
      </c>
      <c r="H118" s="683"/>
      <c r="I118" s="688"/>
      <c r="J118" s="688"/>
      <c r="K118" s="688"/>
      <c r="L118" s="688"/>
      <c r="M118" s="689"/>
      <c r="N118" s="253"/>
      <c r="O118" s="258"/>
      <c r="P118" s="253"/>
      <c r="Q118" s="258"/>
      <c r="R118" s="570"/>
      <c r="S118" s="258"/>
      <c r="T118" s="571"/>
      <c r="U118" s="258"/>
      <c r="V118" s="571"/>
      <c r="W118" s="258"/>
      <c r="X118" s="685"/>
      <c r="Y118" s="686"/>
      <c r="Z118" s="686"/>
      <c r="AA118" s="687"/>
      <c r="AB118" s="365" t="s">
        <v>957</v>
      </c>
    </row>
    <row r="119" spans="1:28" ht="12.6" customHeight="1" x14ac:dyDescent="0.2">
      <c r="A119" s="17"/>
      <c r="B119" s="643" t="s">
        <v>938</v>
      </c>
      <c r="C119" s="714"/>
      <c r="D119" s="714"/>
      <c r="E119" s="714"/>
      <c r="F119" s="273">
        <v>400</v>
      </c>
      <c r="G119" s="257">
        <f>+F119*$X$1</f>
        <v>400</v>
      </c>
      <c r="H119" s="84"/>
      <c r="I119" s="1185" t="s">
        <v>937</v>
      </c>
      <c r="J119" s="1186"/>
      <c r="K119" s="1186"/>
      <c r="L119" s="1186"/>
      <c r="M119" s="1186"/>
      <c r="N119" s="1186"/>
      <c r="O119" s="1186"/>
      <c r="P119" s="1186"/>
      <c r="Q119" s="1186"/>
      <c r="R119" s="1186"/>
      <c r="S119" s="1186"/>
      <c r="T119" s="1186"/>
      <c r="U119" s="1186"/>
      <c r="V119" s="1186"/>
      <c r="W119" s="1187"/>
      <c r="X119" s="653"/>
      <c r="Y119" s="638"/>
      <c r="Z119" s="638"/>
      <c r="AA119" s="640"/>
      <c r="AB119" s="365" t="s">
        <v>944</v>
      </c>
    </row>
    <row r="120" spans="1:28" ht="12.6" customHeight="1" x14ac:dyDescent="0.2">
      <c r="A120" s="17"/>
      <c r="B120" s="712" t="s">
        <v>939</v>
      </c>
      <c r="C120" s="797"/>
      <c r="D120" s="797"/>
      <c r="E120" s="797"/>
      <c r="F120" s="283">
        <v>225</v>
      </c>
      <c r="G120" s="258">
        <f t="shared" ref="G120" si="261">+F120*$X$1</f>
        <v>225</v>
      </c>
      <c r="H120" s="107"/>
      <c r="I120" s="1188"/>
      <c r="J120" s="1189"/>
      <c r="K120" s="1189"/>
      <c r="L120" s="1189"/>
      <c r="M120" s="1189"/>
      <c r="N120" s="1189"/>
      <c r="O120" s="1189"/>
      <c r="P120" s="1189"/>
      <c r="Q120" s="1189"/>
      <c r="R120" s="1189"/>
      <c r="S120" s="1189"/>
      <c r="T120" s="1189"/>
      <c r="U120" s="1189"/>
      <c r="V120" s="1189"/>
      <c r="W120" s="1190"/>
      <c r="X120" s="653"/>
      <c r="Y120" s="638"/>
      <c r="Z120" s="638"/>
      <c r="AA120" s="640"/>
      <c r="AB120" s="365" t="s">
        <v>945</v>
      </c>
    </row>
    <row r="121" spans="1:28" ht="12.6" customHeight="1" x14ac:dyDescent="0.2">
      <c r="A121" s="17"/>
      <c r="B121" s="643" t="s">
        <v>936</v>
      </c>
      <c r="C121" s="714"/>
      <c r="D121" s="714"/>
      <c r="E121" s="714"/>
      <c r="F121" s="273">
        <v>300</v>
      </c>
      <c r="G121" s="257">
        <f>+F121*$X$1</f>
        <v>300</v>
      </c>
      <c r="H121" s="107"/>
      <c r="I121" s="1191"/>
      <c r="J121" s="1192"/>
      <c r="K121" s="1192"/>
      <c r="L121" s="1192"/>
      <c r="M121" s="1192"/>
      <c r="N121" s="1192"/>
      <c r="O121" s="1192"/>
      <c r="P121" s="1192"/>
      <c r="Q121" s="1192"/>
      <c r="R121" s="1192"/>
      <c r="S121" s="1192"/>
      <c r="T121" s="1192"/>
      <c r="U121" s="1192"/>
      <c r="V121" s="1192"/>
      <c r="W121" s="1193"/>
      <c r="X121" s="653"/>
      <c r="Y121" s="638"/>
      <c r="Z121" s="638"/>
      <c r="AA121" s="640"/>
      <c r="AB121" s="365" t="s">
        <v>946</v>
      </c>
    </row>
    <row r="122" spans="1:28" ht="12.6" customHeight="1" x14ac:dyDescent="0.2">
      <c r="A122" s="17"/>
      <c r="B122" s="645" t="s">
        <v>710</v>
      </c>
      <c r="C122" s="646"/>
      <c r="D122" s="646"/>
      <c r="E122" s="646"/>
      <c r="F122" s="313"/>
      <c r="G122" s="682" t="s">
        <v>366</v>
      </c>
      <c r="H122" s="683"/>
      <c r="I122" s="683"/>
      <c r="J122" s="683"/>
      <c r="K122" s="684"/>
      <c r="L122" s="536">
        <v>2140</v>
      </c>
      <c r="M122" s="258">
        <f t="shared" ref="M122:O135" si="262">+L122*$X$1</f>
        <v>2140</v>
      </c>
      <c r="N122" s="113">
        <v>1896</v>
      </c>
      <c r="O122" s="258">
        <f t="shared" si="262"/>
        <v>1896</v>
      </c>
      <c r="P122" s="340">
        <v>1891</v>
      </c>
      <c r="Q122" s="258">
        <f t="shared" ref="Q122:Q134" si="263">+P122*$X$1</f>
        <v>1891</v>
      </c>
      <c r="R122" s="406">
        <v>1741</v>
      </c>
      <c r="S122" s="258">
        <f t="shared" ref="S122:S135" si="264">+R122*$X$1</f>
        <v>1741</v>
      </c>
      <c r="T122" s="406">
        <v>1639</v>
      </c>
      <c r="U122" s="283">
        <f t="shared" ref="U122:U128" si="265">+T122*$X$1</f>
        <v>1639</v>
      </c>
      <c r="V122" s="406">
        <v>857</v>
      </c>
      <c r="W122" s="283">
        <f t="shared" ref="W122:W132" si="266">+V122*$X$1</f>
        <v>857</v>
      </c>
      <c r="X122" s="685"/>
      <c r="Y122" s="686"/>
      <c r="Z122" s="686"/>
      <c r="AA122" s="687"/>
      <c r="AB122" s="365">
        <v>301</v>
      </c>
    </row>
    <row r="123" spans="1:28" ht="12.6" customHeight="1" x14ac:dyDescent="0.2">
      <c r="A123" s="17"/>
      <c r="B123" s="654" t="s">
        <v>711</v>
      </c>
      <c r="C123" s="655"/>
      <c r="D123" s="655"/>
      <c r="E123" s="655"/>
      <c r="F123" s="314"/>
      <c r="G123" s="682" t="s">
        <v>366</v>
      </c>
      <c r="H123" s="683"/>
      <c r="I123" s="683"/>
      <c r="J123" s="683"/>
      <c r="K123" s="684"/>
      <c r="L123" s="270">
        <v>2350</v>
      </c>
      <c r="M123" s="510">
        <f t="shared" si="262"/>
        <v>2350</v>
      </c>
      <c r="N123" s="352">
        <v>2053</v>
      </c>
      <c r="O123" s="510">
        <f t="shared" si="262"/>
        <v>2053</v>
      </c>
      <c r="P123" s="271">
        <v>2045</v>
      </c>
      <c r="Q123" s="257">
        <f t="shared" si="263"/>
        <v>2045</v>
      </c>
      <c r="R123" s="107">
        <v>1882</v>
      </c>
      <c r="S123" s="510">
        <f t="shared" si="264"/>
        <v>1882</v>
      </c>
      <c r="T123" s="534">
        <v>1771</v>
      </c>
      <c r="U123" s="273">
        <f t="shared" si="265"/>
        <v>1771</v>
      </c>
      <c r="V123" s="534">
        <v>1004</v>
      </c>
      <c r="W123" s="273">
        <f t="shared" si="266"/>
        <v>1004</v>
      </c>
      <c r="X123" s="685"/>
      <c r="Y123" s="686"/>
      <c r="Z123" s="686"/>
      <c r="AA123" s="687"/>
      <c r="AB123" s="365" t="s">
        <v>150</v>
      </c>
    </row>
    <row r="124" spans="1:28" ht="12.6" customHeight="1" x14ac:dyDescent="0.2">
      <c r="A124" s="17"/>
      <c r="B124" s="645" t="s">
        <v>712</v>
      </c>
      <c r="C124" s="646"/>
      <c r="D124" s="646"/>
      <c r="E124" s="646"/>
      <c r="F124" s="313"/>
      <c r="G124" s="682" t="s">
        <v>366</v>
      </c>
      <c r="H124" s="683"/>
      <c r="I124" s="683"/>
      <c r="J124" s="683"/>
      <c r="K124" s="684"/>
      <c r="L124" s="536">
        <v>3720</v>
      </c>
      <c r="M124" s="258">
        <f t="shared" ref="M124" si="267">+L124*$X$1</f>
        <v>3720</v>
      </c>
      <c r="N124" s="113">
        <v>3271</v>
      </c>
      <c r="O124" s="258">
        <f t="shared" ref="O124" si="268">+N124*$X$1</f>
        <v>3271</v>
      </c>
      <c r="P124" s="340">
        <v>3265</v>
      </c>
      <c r="Q124" s="258">
        <f t="shared" ref="Q124" si="269">+P124*$X$1</f>
        <v>3265</v>
      </c>
      <c r="R124" s="406">
        <v>3005</v>
      </c>
      <c r="S124" s="258">
        <f t="shared" ref="S124" si="270">+R124*$X$1</f>
        <v>3005</v>
      </c>
      <c r="T124" s="406">
        <v>2829</v>
      </c>
      <c r="U124" s="283">
        <f t="shared" ref="U124" si="271">+T124*$X$1</f>
        <v>2829</v>
      </c>
      <c r="V124" s="406">
        <v>1927</v>
      </c>
      <c r="W124" s="283">
        <f t="shared" ref="W124" si="272">+V124*$X$1</f>
        <v>1927</v>
      </c>
      <c r="X124" s="685"/>
      <c r="Y124" s="686"/>
      <c r="Z124" s="686"/>
      <c r="AA124" s="687"/>
      <c r="AB124" s="365" t="s">
        <v>151</v>
      </c>
    </row>
    <row r="125" spans="1:28" ht="12.6" customHeight="1" x14ac:dyDescent="0.2">
      <c r="A125" s="17"/>
      <c r="B125" s="654" t="s">
        <v>731</v>
      </c>
      <c r="C125" s="804"/>
      <c r="D125" s="804"/>
      <c r="E125" s="804"/>
      <c r="F125" s="314"/>
      <c r="G125" s="682" t="s">
        <v>366</v>
      </c>
      <c r="H125" s="683"/>
      <c r="I125" s="683"/>
      <c r="J125" s="683"/>
      <c r="K125" s="684"/>
      <c r="L125" s="533">
        <v>3720</v>
      </c>
      <c r="M125" s="257">
        <f t="shared" ref="M125" si="273">+L125*$X$1</f>
        <v>3720</v>
      </c>
      <c r="N125" s="352">
        <v>3271</v>
      </c>
      <c r="O125" s="257">
        <f t="shared" ref="O125" si="274">+N125*$X$1</f>
        <v>3271</v>
      </c>
      <c r="P125" s="499">
        <v>3265</v>
      </c>
      <c r="Q125" s="257">
        <f t="shared" ref="Q125" si="275">+P125*$X$1</f>
        <v>3265</v>
      </c>
      <c r="R125" s="534">
        <v>3005</v>
      </c>
      <c r="S125" s="257">
        <f t="shared" ref="S125" si="276">+R125*$X$1</f>
        <v>3005</v>
      </c>
      <c r="T125" s="534">
        <v>2829</v>
      </c>
      <c r="U125" s="273">
        <f t="shared" ref="U125" si="277">+T125*$X$1</f>
        <v>2829</v>
      </c>
      <c r="V125" s="534">
        <v>1927</v>
      </c>
      <c r="W125" s="273">
        <f t="shared" ref="W125" si="278">+V125*$X$1</f>
        <v>1927</v>
      </c>
      <c r="X125" s="685"/>
      <c r="Y125" s="686"/>
      <c r="Z125" s="686"/>
      <c r="AA125" s="687"/>
      <c r="AB125" s="365" t="s">
        <v>734</v>
      </c>
    </row>
    <row r="126" spans="1:28" ht="12.6" customHeight="1" x14ac:dyDescent="0.2">
      <c r="A126" s="17"/>
      <c r="B126" s="671" t="s">
        <v>733</v>
      </c>
      <c r="C126" s="704"/>
      <c r="D126" s="704"/>
      <c r="E126" s="704"/>
      <c r="F126" s="313"/>
      <c r="G126" s="682" t="s">
        <v>366</v>
      </c>
      <c r="H126" s="683"/>
      <c r="I126" s="683"/>
      <c r="J126" s="683"/>
      <c r="K126" s="684"/>
      <c r="L126" s="536">
        <v>2795</v>
      </c>
      <c r="M126" s="258">
        <f t="shared" ref="M126" si="279">+L126*$X$1</f>
        <v>2795</v>
      </c>
      <c r="N126" s="82">
        <v>2453</v>
      </c>
      <c r="O126" s="258">
        <f t="shared" ref="O126" si="280">+N126*$X$1</f>
        <v>2453</v>
      </c>
      <c r="P126" s="253">
        <v>2447</v>
      </c>
      <c r="Q126" s="258">
        <f t="shared" ref="Q126" si="281">+P126*$X$1</f>
        <v>2447</v>
      </c>
      <c r="R126" s="406">
        <v>2252</v>
      </c>
      <c r="S126" s="258">
        <f t="shared" ref="S126" si="282">+R126*$X$1</f>
        <v>2252</v>
      </c>
      <c r="T126" s="406">
        <v>2119</v>
      </c>
      <c r="U126" s="258">
        <f t="shared" ref="U126" si="283">+T126*$X$1</f>
        <v>2119</v>
      </c>
      <c r="V126" s="406">
        <v>1307</v>
      </c>
      <c r="W126" s="258">
        <f t="shared" ref="W126" si="284">+V126*$X$1</f>
        <v>1307</v>
      </c>
      <c r="X126" s="685"/>
      <c r="Y126" s="686"/>
      <c r="Z126" s="686"/>
      <c r="AA126" s="687"/>
      <c r="AB126" s="365" t="s">
        <v>737</v>
      </c>
    </row>
    <row r="127" spans="1:28" ht="12.6" customHeight="1" x14ac:dyDescent="0.2">
      <c r="A127" s="17"/>
      <c r="B127" s="654" t="s">
        <v>370</v>
      </c>
      <c r="C127" s="655"/>
      <c r="D127" s="655"/>
      <c r="E127" s="655"/>
      <c r="F127" s="308"/>
      <c r="G127" s="682" t="s">
        <v>365</v>
      </c>
      <c r="H127" s="683"/>
      <c r="I127" s="683"/>
      <c r="J127" s="683"/>
      <c r="K127" s="684"/>
      <c r="L127" s="533">
        <v>1660</v>
      </c>
      <c r="M127" s="257">
        <f t="shared" si="262"/>
        <v>1660</v>
      </c>
      <c r="N127" s="68">
        <v>1441</v>
      </c>
      <c r="O127" s="257">
        <f t="shared" si="262"/>
        <v>1441</v>
      </c>
      <c r="P127" s="284">
        <v>1436</v>
      </c>
      <c r="Q127" s="257">
        <f t="shared" si="263"/>
        <v>1436</v>
      </c>
      <c r="R127" s="534">
        <v>1321</v>
      </c>
      <c r="S127" s="257">
        <f t="shared" si="264"/>
        <v>1321</v>
      </c>
      <c r="T127" s="534">
        <v>1245</v>
      </c>
      <c r="U127" s="257">
        <f t="shared" si="265"/>
        <v>1245</v>
      </c>
      <c r="V127" s="534">
        <v>685</v>
      </c>
      <c r="W127" s="257">
        <f t="shared" si="266"/>
        <v>685</v>
      </c>
      <c r="X127" s="685"/>
      <c r="Y127" s="686"/>
      <c r="Z127" s="686"/>
      <c r="AA127" s="687"/>
      <c r="AB127" s="365">
        <v>302</v>
      </c>
    </row>
    <row r="128" spans="1:28" ht="12.6" customHeight="1" x14ac:dyDescent="0.2">
      <c r="A128" s="17"/>
      <c r="B128" s="645" t="s">
        <v>371</v>
      </c>
      <c r="C128" s="646"/>
      <c r="D128" s="646"/>
      <c r="E128" s="646"/>
      <c r="F128" s="258"/>
      <c r="G128" s="682" t="s">
        <v>365</v>
      </c>
      <c r="H128" s="683"/>
      <c r="I128" s="683"/>
      <c r="J128" s="683"/>
      <c r="K128" s="684"/>
      <c r="L128" s="536">
        <v>1825</v>
      </c>
      <c r="M128" s="258">
        <f t="shared" si="262"/>
        <v>1825</v>
      </c>
      <c r="N128" s="82">
        <v>1595</v>
      </c>
      <c r="O128" s="258">
        <f t="shared" si="262"/>
        <v>1595</v>
      </c>
      <c r="P128" s="253">
        <v>1590</v>
      </c>
      <c r="Q128" s="258">
        <f t="shared" si="263"/>
        <v>1590</v>
      </c>
      <c r="R128" s="406">
        <v>1462</v>
      </c>
      <c r="S128" s="258">
        <f t="shared" si="264"/>
        <v>1462</v>
      </c>
      <c r="T128" s="406">
        <v>1376</v>
      </c>
      <c r="U128" s="258">
        <f t="shared" si="265"/>
        <v>1376</v>
      </c>
      <c r="V128" s="406">
        <v>801</v>
      </c>
      <c r="W128" s="258">
        <f t="shared" si="266"/>
        <v>801</v>
      </c>
      <c r="X128" s="685"/>
      <c r="Y128" s="686"/>
      <c r="Z128" s="686"/>
      <c r="AA128" s="687"/>
      <c r="AB128" s="365" t="s">
        <v>152</v>
      </c>
    </row>
    <row r="129" spans="1:28" ht="12.6" customHeight="1" x14ac:dyDescent="0.2">
      <c r="A129" s="17"/>
      <c r="B129" s="654" t="s">
        <v>342</v>
      </c>
      <c r="C129" s="655"/>
      <c r="D129" s="655"/>
      <c r="E129" s="655"/>
      <c r="F129" s="308"/>
      <c r="G129" s="682" t="s">
        <v>365</v>
      </c>
      <c r="H129" s="683"/>
      <c r="I129" s="683"/>
      <c r="J129" s="683"/>
      <c r="K129" s="684"/>
      <c r="L129" s="533">
        <v>3200</v>
      </c>
      <c r="M129" s="257">
        <f t="shared" ref="M129" si="285">+L129*$X$1</f>
        <v>3200</v>
      </c>
      <c r="N129" s="68">
        <v>2816</v>
      </c>
      <c r="O129" s="257">
        <f t="shared" ref="O129" si="286">+N129*$X$1</f>
        <v>2816</v>
      </c>
      <c r="P129" s="284">
        <v>2810</v>
      </c>
      <c r="Q129" s="257">
        <f t="shared" ref="Q129" si="287">+P129*$X$1</f>
        <v>2810</v>
      </c>
      <c r="R129" s="534">
        <v>2586</v>
      </c>
      <c r="S129" s="257">
        <f t="shared" ref="S129" si="288">+R129*$X$1</f>
        <v>2586</v>
      </c>
      <c r="T129" s="534">
        <v>2434</v>
      </c>
      <c r="U129" s="257">
        <f t="shared" ref="U129" si="289">+T129*$X$1</f>
        <v>2434</v>
      </c>
      <c r="V129" s="534">
        <v>1724</v>
      </c>
      <c r="W129" s="257">
        <f t="shared" ref="W129" si="290">+V129*$X$1</f>
        <v>1724</v>
      </c>
      <c r="X129" s="685"/>
      <c r="Y129" s="686"/>
      <c r="Z129" s="686"/>
      <c r="AA129" s="687"/>
      <c r="AB129" s="365" t="s">
        <v>153</v>
      </c>
    </row>
    <row r="130" spans="1:28" ht="12.6" customHeight="1" x14ac:dyDescent="0.2">
      <c r="A130" s="17"/>
      <c r="B130" s="645" t="s">
        <v>732</v>
      </c>
      <c r="C130" s="709"/>
      <c r="D130" s="709"/>
      <c r="E130" s="709"/>
      <c r="F130" s="307"/>
      <c r="G130" s="682" t="s">
        <v>365</v>
      </c>
      <c r="H130" s="683"/>
      <c r="I130" s="683"/>
      <c r="J130" s="683"/>
      <c r="K130" s="684"/>
      <c r="L130" s="536">
        <v>3200</v>
      </c>
      <c r="M130" s="258">
        <f t="shared" ref="M130" si="291">+L130*$X$1</f>
        <v>3200</v>
      </c>
      <c r="N130" s="82">
        <v>2816</v>
      </c>
      <c r="O130" s="258">
        <f t="shared" ref="O130" si="292">+N130*$X$1</f>
        <v>2816</v>
      </c>
      <c r="P130" s="253">
        <v>2810</v>
      </c>
      <c r="Q130" s="258">
        <f t="shared" ref="Q130" si="293">+P130*$X$1</f>
        <v>2810</v>
      </c>
      <c r="R130" s="406">
        <v>2586</v>
      </c>
      <c r="S130" s="258">
        <f t="shared" ref="S130" si="294">+R130*$X$1</f>
        <v>2586</v>
      </c>
      <c r="T130" s="406">
        <v>2434</v>
      </c>
      <c r="U130" s="258">
        <f t="shared" ref="U130" si="295">+T130*$X$1</f>
        <v>2434</v>
      </c>
      <c r="V130" s="406">
        <v>1724</v>
      </c>
      <c r="W130" s="258">
        <f t="shared" ref="W130" si="296">+V130*$X$1</f>
        <v>1724</v>
      </c>
      <c r="X130" s="685"/>
      <c r="Y130" s="686"/>
      <c r="Z130" s="686"/>
      <c r="AA130" s="687"/>
      <c r="AB130" s="365" t="s">
        <v>735</v>
      </c>
    </row>
    <row r="131" spans="1:28" ht="12.6" customHeight="1" x14ac:dyDescent="0.2">
      <c r="A131" s="17"/>
      <c r="B131" s="671" t="s">
        <v>736</v>
      </c>
      <c r="C131" s="704"/>
      <c r="D131" s="704"/>
      <c r="E131" s="704"/>
      <c r="F131" s="308"/>
      <c r="G131" s="682" t="s">
        <v>365</v>
      </c>
      <c r="H131" s="683"/>
      <c r="I131" s="683"/>
      <c r="J131" s="683"/>
      <c r="K131" s="684"/>
      <c r="L131" s="533">
        <v>2280</v>
      </c>
      <c r="M131" s="257">
        <f t="shared" ref="M131" si="297">+L131*$X$1</f>
        <v>2280</v>
      </c>
      <c r="N131" s="68">
        <v>1998</v>
      </c>
      <c r="O131" s="257">
        <f t="shared" ref="O131" si="298">+N131*$X$1</f>
        <v>1998</v>
      </c>
      <c r="P131" s="284">
        <v>1990</v>
      </c>
      <c r="Q131" s="257">
        <f t="shared" ref="Q131" si="299">+P131*$X$1</f>
        <v>1990</v>
      </c>
      <c r="R131" s="534">
        <v>1832</v>
      </c>
      <c r="S131" s="257">
        <f t="shared" ref="S131" si="300">+R131*$X$1</f>
        <v>1832</v>
      </c>
      <c r="T131" s="534">
        <v>1724</v>
      </c>
      <c r="U131" s="257">
        <f t="shared" ref="U131" si="301">+T131*$X$1</f>
        <v>1724</v>
      </c>
      <c r="V131" s="534">
        <v>1103</v>
      </c>
      <c r="W131" s="257">
        <v>1105</v>
      </c>
      <c r="X131" s="685"/>
      <c r="Y131" s="686"/>
      <c r="Z131" s="686"/>
      <c r="AA131" s="687"/>
      <c r="AB131" s="365" t="s">
        <v>738</v>
      </c>
    </row>
    <row r="132" spans="1:28" ht="12.6" customHeight="1" x14ac:dyDescent="0.2">
      <c r="A132" s="17"/>
      <c r="B132" s="712" t="s">
        <v>583</v>
      </c>
      <c r="C132" s="797"/>
      <c r="D132" s="797"/>
      <c r="E132" s="797"/>
      <c r="F132" s="283"/>
      <c r="G132" s="682" t="s">
        <v>366</v>
      </c>
      <c r="H132" s="683"/>
      <c r="I132" s="683"/>
      <c r="J132" s="683"/>
      <c r="K132" s="684"/>
      <c r="L132" s="536">
        <v>2370</v>
      </c>
      <c r="M132" s="258">
        <f t="shared" si="262"/>
        <v>2370</v>
      </c>
      <c r="N132" s="511">
        <v>2053</v>
      </c>
      <c r="O132" s="258">
        <f t="shared" si="262"/>
        <v>2053</v>
      </c>
      <c r="P132" s="340">
        <v>2046</v>
      </c>
      <c r="Q132" s="258">
        <f t="shared" si="263"/>
        <v>2046</v>
      </c>
      <c r="R132" s="406">
        <v>1882</v>
      </c>
      <c r="S132" s="258">
        <f t="shared" si="264"/>
        <v>1882</v>
      </c>
      <c r="T132" s="406">
        <v>1614</v>
      </c>
      <c r="U132" s="258">
        <v>1771</v>
      </c>
      <c r="V132" s="406">
        <v>1512</v>
      </c>
      <c r="W132" s="258">
        <f t="shared" si="266"/>
        <v>1512</v>
      </c>
      <c r="X132" s="685"/>
      <c r="Y132" s="686"/>
      <c r="Z132" s="686"/>
      <c r="AA132" s="687"/>
      <c r="AB132" s="365">
        <v>303</v>
      </c>
    </row>
    <row r="133" spans="1:28" ht="12.6" customHeight="1" x14ac:dyDescent="0.2">
      <c r="A133" s="17"/>
      <c r="B133" s="654" t="s">
        <v>779</v>
      </c>
      <c r="C133" s="655"/>
      <c r="D133" s="655"/>
      <c r="E133" s="655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02">+J133*$X$1</f>
        <v>2070</v>
      </c>
      <c r="L133" s="534">
        <f t="shared" ref="L133" si="303">F133+150</f>
        <v>2020</v>
      </c>
      <c r="M133" s="257">
        <f t="shared" si="262"/>
        <v>2020</v>
      </c>
      <c r="N133" s="534">
        <f t="shared" ref="N133" si="304">F133+110</f>
        <v>1980</v>
      </c>
      <c r="O133" s="257">
        <f t="shared" si="262"/>
        <v>1980</v>
      </c>
      <c r="P133" s="534">
        <f t="shared" ref="P133" si="305">F133+100</f>
        <v>1970</v>
      </c>
      <c r="Q133" s="257">
        <f t="shared" si="263"/>
        <v>1970</v>
      </c>
      <c r="R133" s="534"/>
      <c r="S133" s="257"/>
      <c r="T133" s="534"/>
      <c r="U133" s="257"/>
      <c r="V133" s="534"/>
      <c r="W133" s="257"/>
      <c r="X133" s="653"/>
      <c r="Y133" s="638"/>
      <c r="Z133" s="638"/>
      <c r="AA133" s="640"/>
      <c r="AB133" s="365">
        <v>304</v>
      </c>
    </row>
    <row r="134" spans="1:28" ht="12.6" customHeight="1" x14ac:dyDescent="0.2">
      <c r="A134" s="17"/>
      <c r="B134" s="645" t="s">
        <v>709</v>
      </c>
      <c r="C134" s="646"/>
      <c r="D134" s="646"/>
      <c r="E134" s="646"/>
      <c r="F134" s="258">
        <v>2190</v>
      </c>
      <c r="G134" s="258">
        <f t="shared" ref="G134" si="306">+F134*$X$1</f>
        <v>2190</v>
      </c>
      <c r="H134" s="406"/>
      <c r="I134" s="258"/>
      <c r="J134" s="406"/>
      <c r="K134" s="258"/>
      <c r="L134" s="406">
        <f>F134+150</f>
        <v>2340</v>
      </c>
      <c r="M134" s="258">
        <f t="shared" si="262"/>
        <v>2340</v>
      </c>
      <c r="N134" s="406">
        <f>F134+100</f>
        <v>2290</v>
      </c>
      <c r="O134" s="258">
        <f>+N134*$X$1</f>
        <v>2290</v>
      </c>
      <c r="P134" s="406">
        <f>F134+90</f>
        <v>2280</v>
      </c>
      <c r="Q134" s="258">
        <f t="shared" si="263"/>
        <v>2280</v>
      </c>
      <c r="R134" s="406">
        <f>F134+70</f>
        <v>2260</v>
      </c>
      <c r="S134" s="258">
        <f>+R134*$X$1</f>
        <v>2260</v>
      </c>
      <c r="T134" s="406">
        <f>F134+56</f>
        <v>2246</v>
      </c>
      <c r="U134" s="258">
        <f t="shared" ref="U134:U135" si="307">+T134*$X$1</f>
        <v>2246</v>
      </c>
      <c r="V134" s="406">
        <f>F134+49</f>
        <v>2239</v>
      </c>
      <c r="W134" s="258">
        <f t="shared" ref="W134:W135" si="308">+V134*$X$1</f>
        <v>2239</v>
      </c>
      <c r="X134" s="653"/>
      <c r="Y134" s="638"/>
      <c r="Z134" s="638"/>
      <c r="AA134" s="640"/>
      <c r="AB134" s="365">
        <v>307</v>
      </c>
    </row>
    <row r="135" spans="1:28" ht="12.6" customHeight="1" x14ac:dyDescent="0.2">
      <c r="A135" s="17"/>
      <c r="B135" s="654" t="s">
        <v>502</v>
      </c>
      <c r="C135" s="655"/>
      <c r="D135" s="655"/>
      <c r="E135" s="655"/>
      <c r="F135" s="273">
        <v>1688</v>
      </c>
      <c r="G135" s="257">
        <f>+F135*$X$1</f>
        <v>1688</v>
      </c>
      <c r="H135" s="252"/>
      <c r="I135" s="305"/>
      <c r="J135" s="559"/>
      <c r="K135" s="257"/>
      <c r="L135" s="559">
        <v>3290</v>
      </c>
      <c r="M135" s="257">
        <f>+L135*$X$1</f>
        <v>3290</v>
      </c>
      <c r="N135" s="559">
        <v>2700</v>
      </c>
      <c r="O135" s="257">
        <f t="shared" si="262"/>
        <v>2700</v>
      </c>
      <c r="P135" s="284">
        <v>2497</v>
      </c>
      <c r="Q135" s="257">
        <f t="shared" ref="Q135" si="309">+P135*$X$1</f>
        <v>2497</v>
      </c>
      <c r="R135" s="559">
        <v>2301</v>
      </c>
      <c r="S135" s="257">
        <f t="shared" si="264"/>
        <v>2301</v>
      </c>
      <c r="T135" s="559">
        <v>2145</v>
      </c>
      <c r="U135" s="257">
        <f t="shared" si="307"/>
        <v>2145</v>
      </c>
      <c r="V135" s="559">
        <v>2055</v>
      </c>
      <c r="W135" s="257">
        <f t="shared" si="308"/>
        <v>2055</v>
      </c>
      <c r="X135" s="653"/>
      <c r="Y135" s="638"/>
      <c r="Z135" s="638"/>
      <c r="AA135" s="640"/>
      <c r="AB135" s="365">
        <v>308</v>
      </c>
    </row>
    <row r="136" spans="1:28" ht="12.6" customHeight="1" x14ac:dyDescent="0.2">
      <c r="A136" s="17"/>
      <c r="B136" s="645" t="s">
        <v>501</v>
      </c>
      <c r="C136" s="646"/>
      <c r="D136" s="646"/>
      <c r="E136" s="646"/>
      <c r="F136" s="283">
        <v>1688</v>
      </c>
      <c r="G136" s="258">
        <f>+F136*$X$1</f>
        <v>1688</v>
      </c>
      <c r="H136" s="251"/>
      <c r="I136" s="306"/>
      <c r="J136" s="564"/>
      <c r="K136" s="258"/>
      <c r="L136" s="564">
        <v>3290</v>
      </c>
      <c r="M136" s="258">
        <f>+L136*$X$1</f>
        <v>3290</v>
      </c>
      <c r="N136" s="564">
        <v>2700</v>
      </c>
      <c r="O136" s="258">
        <f t="shared" ref="O136" si="310">+N136*$X$1</f>
        <v>2700</v>
      </c>
      <c r="P136" s="253">
        <v>2497</v>
      </c>
      <c r="Q136" s="258">
        <f t="shared" ref="Q136" si="311">+P136*$X$1</f>
        <v>2497</v>
      </c>
      <c r="R136" s="564">
        <v>2301</v>
      </c>
      <c r="S136" s="258">
        <f t="shared" ref="S136" si="312">+R136*$X$1</f>
        <v>2301</v>
      </c>
      <c r="T136" s="564">
        <v>2145</v>
      </c>
      <c r="U136" s="258">
        <f t="shared" ref="U136" si="313">+T136*$X$1</f>
        <v>2145</v>
      </c>
      <c r="V136" s="564">
        <v>2055</v>
      </c>
      <c r="W136" s="258">
        <f t="shared" ref="W136" si="314">+V136*$X$1</f>
        <v>2055</v>
      </c>
      <c r="X136" s="653"/>
      <c r="Y136" s="638"/>
      <c r="Z136" s="638"/>
      <c r="AA136" s="640"/>
      <c r="AB136" s="365">
        <v>309</v>
      </c>
    </row>
    <row r="137" spans="1:28" ht="12.6" customHeight="1" x14ac:dyDescent="0.2">
      <c r="A137" s="17"/>
      <c r="B137" s="654" t="s">
        <v>792</v>
      </c>
      <c r="C137" s="655"/>
      <c r="D137" s="655"/>
      <c r="E137" s="655"/>
      <c r="F137" s="333">
        <f>0.77*X2</f>
        <v>993.30000000000007</v>
      </c>
      <c r="G137" s="257">
        <f>+F137*$X$1</f>
        <v>993.30000000000007</v>
      </c>
      <c r="H137" s="559"/>
      <c r="I137" s="257"/>
      <c r="J137" s="559">
        <f>F137+200</f>
        <v>1193.3000000000002</v>
      </c>
      <c r="K137" s="257">
        <f t="shared" ref="K137" si="315">+J137*$X$1</f>
        <v>1193.3000000000002</v>
      </c>
      <c r="L137" s="559">
        <f>F137+150</f>
        <v>1143.3000000000002</v>
      </c>
      <c r="M137" s="257">
        <f t="shared" ref="M137:M139" si="316">+L137*$X$1</f>
        <v>1143.3000000000002</v>
      </c>
      <c r="N137" s="559">
        <f>F137+100</f>
        <v>1093.3000000000002</v>
      </c>
      <c r="O137" s="257">
        <f>+N137*$X$1</f>
        <v>1093.3000000000002</v>
      </c>
      <c r="P137" s="559">
        <f>F137+90</f>
        <v>1083.3000000000002</v>
      </c>
      <c r="Q137" s="257">
        <f t="shared" ref="Q137:Q139" si="317">+P137*$X$1</f>
        <v>1083.3000000000002</v>
      </c>
      <c r="R137" s="559">
        <f>F137+70</f>
        <v>1063.3000000000002</v>
      </c>
      <c r="S137" s="257">
        <f>+R137*$X$1</f>
        <v>1063.3000000000002</v>
      </c>
      <c r="T137" s="559">
        <f>F137+56</f>
        <v>1049.3000000000002</v>
      </c>
      <c r="U137" s="257">
        <f t="shared" ref="U137:U139" si="318">+T137*$X$1</f>
        <v>1049.3000000000002</v>
      </c>
      <c r="V137" s="559">
        <f>F137+49</f>
        <v>1042.3000000000002</v>
      </c>
      <c r="W137" s="257">
        <f t="shared" ref="W137:W139" si="319">+V137*$X$1</f>
        <v>1042.3000000000002</v>
      </c>
      <c r="X137" s="653"/>
      <c r="Y137" s="638"/>
      <c r="Z137" s="638"/>
      <c r="AA137" s="640"/>
      <c r="AB137" s="365">
        <v>310</v>
      </c>
    </row>
    <row r="138" spans="1:28" ht="12.6" customHeight="1" x14ac:dyDescent="0.2">
      <c r="A138" s="17"/>
      <c r="B138" s="645" t="s">
        <v>745</v>
      </c>
      <c r="C138" s="646"/>
      <c r="D138" s="646"/>
      <c r="E138" s="646"/>
      <c r="F138" s="334">
        <f>0.77*X2</f>
        <v>993.30000000000007</v>
      </c>
      <c r="G138" s="258">
        <f>+F138*$X$1</f>
        <v>993.30000000000007</v>
      </c>
      <c r="H138" s="564"/>
      <c r="I138" s="258"/>
      <c r="J138" s="564">
        <f>F138+200</f>
        <v>1193.3000000000002</v>
      </c>
      <c r="K138" s="258">
        <f t="shared" ref="K138" si="320">+J138*$X$1</f>
        <v>1193.3000000000002</v>
      </c>
      <c r="L138" s="564">
        <f>F138+150</f>
        <v>1143.3000000000002</v>
      </c>
      <c r="M138" s="258">
        <f t="shared" si="316"/>
        <v>1143.3000000000002</v>
      </c>
      <c r="N138" s="564">
        <f>F138+100</f>
        <v>1093.3000000000002</v>
      </c>
      <c r="O138" s="258">
        <f>+N138*$X$1</f>
        <v>1093.3000000000002</v>
      </c>
      <c r="P138" s="564">
        <f>F138+90</f>
        <v>1083.3000000000002</v>
      </c>
      <c r="Q138" s="258">
        <f t="shared" si="317"/>
        <v>1083.3000000000002</v>
      </c>
      <c r="R138" s="564">
        <f>F138+70</f>
        <v>1063.3000000000002</v>
      </c>
      <c r="S138" s="258">
        <f>+R138*$X$1</f>
        <v>1063.3000000000002</v>
      </c>
      <c r="T138" s="564">
        <f>F138+56</f>
        <v>1049.3000000000002</v>
      </c>
      <c r="U138" s="258">
        <f t="shared" si="318"/>
        <v>1049.3000000000002</v>
      </c>
      <c r="V138" s="564">
        <f>F138+49</f>
        <v>1042.3000000000002</v>
      </c>
      <c r="W138" s="258">
        <f t="shared" si="319"/>
        <v>1042.3000000000002</v>
      </c>
      <c r="X138" s="653"/>
      <c r="Y138" s="638"/>
      <c r="Z138" s="638"/>
      <c r="AA138" s="640"/>
      <c r="AB138" s="365">
        <v>311</v>
      </c>
    </row>
    <row r="139" spans="1:28" ht="12.6" customHeight="1" x14ac:dyDescent="0.2">
      <c r="A139" s="17"/>
      <c r="B139" s="654" t="s">
        <v>441</v>
      </c>
      <c r="C139" s="655"/>
      <c r="D139" s="655"/>
      <c r="E139" s="655"/>
      <c r="F139" s="333">
        <f>1.295*X2</f>
        <v>1670.55</v>
      </c>
      <c r="G139" s="257">
        <f t="shared" ref="G139" si="321">+F139*$X$1</f>
        <v>1670.55</v>
      </c>
      <c r="H139" s="559"/>
      <c r="I139" s="257"/>
      <c r="J139" s="559">
        <f>F139+200</f>
        <v>1870.55</v>
      </c>
      <c r="K139" s="257">
        <f t="shared" ref="K139" si="322">+J139*$X$1</f>
        <v>1870.55</v>
      </c>
      <c r="L139" s="559">
        <f>F139+150</f>
        <v>1820.55</v>
      </c>
      <c r="M139" s="257">
        <f t="shared" si="316"/>
        <v>1820.55</v>
      </c>
      <c r="N139" s="559">
        <f>F139+100</f>
        <v>1770.55</v>
      </c>
      <c r="O139" s="257">
        <f>+N139*$X$1</f>
        <v>1770.55</v>
      </c>
      <c r="P139" s="559">
        <f>F139+90</f>
        <v>1760.55</v>
      </c>
      <c r="Q139" s="257">
        <f t="shared" si="317"/>
        <v>1760.55</v>
      </c>
      <c r="R139" s="559">
        <f>F139+70</f>
        <v>1740.55</v>
      </c>
      <c r="S139" s="257">
        <f>+R139*$X$1</f>
        <v>1740.55</v>
      </c>
      <c r="T139" s="559">
        <f>F139+56</f>
        <v>1726.55</v>
      </c>
      <c r="U139" s="257">
        <f t="shared" si="318"/>
        <v>1726.55</v>
      </c>
      <c r="V139" s="559">
        <f>F139+49</f>
        <v>1719.55</v>
      </c>
      <c r="W139" s="257">
        <f t="shared" si="319"/>
        <v>1719.55</v>
      </c>
      <c r="X139" s="653"/>
      <c r="Y139" s="638"/>
      <c r="Z139" s="638"/>
      <c r="AA139" s="640"/>
      <c r="AB139" s="365">
        <v>312</v>
      </c>
    </row>
    <row r="140" spans="1:28" ht="12.6" customHeight="1" x14ac:dyDescent="0.2">
      <c r="A140" s="17"/>
      <c r="B140" s="656" t="s">
        <v>154</v>
      </c>
      <c r="C140" s="669"/>
      <c r="D140" s="669"/>
      <c r="E140" s="670"/>
      <c r="F140" s="258"/>
      <c r="G140" s="258"/>
      <c r="H140" s="406"/>
      <c r="I140" s="258"/>
      <c r="J140" s="82"/>
      <c r="K140" s="258"/>
      <c r="L140" s="406"/>
      <c r="M140" s="258"/>
      <c r="N140" s="406"/>
      <c r="O140" s="258"/>
      <c r="P140" s="406"/>
      <c r="Q140" s="258"/>
      <c r="R140" s="406"/>
      <c r="S140" s="258"/>
      <c r="T140" s="406"/>
      <c r="U140" s="258"/>
      <c r="V140" s="406"/>
      <c r="W140" s="258"/>
      <c r="X140" s="653"/>
      <c r="Y140" s="638"/>
      <c r="Z140" s="638"/>
      <c r="AA140" s="640"/>
      <c r="AB140" s="365" t="s">
        <v>155</v>
      </c>
    </row>
    <row r="141" spans="1:28" ht="12.6" customHeight="1" x14ac:dyDescent="0.2">
      <c r="A141" s="17"/>
      <c r="B141" s="758" t="s">
        <v>156</v>
      </c>
      <c r="C141" s="759"/>
      <c r="D141" s="759"/>
      <c r="E141" s="760"/>
      <c r="F141" s="273"/>
      <c r="G141" s="257"/>
      <c r="H141" s="455"/>
      <c r="I141" s="257"/>
      <c r="J141" s="68"/>
      <c r="K141" s="257"/>
      <c r="L141" s="455"/>
      <c r="M141" s="257"/>
      <c r="N141" s="455"/>
      <c r="O141" s="257"/>
      <c r="P141" s="455"/>
      <c r="Q141" s="257"/>
      <c r="R141" s="455"/>
      <c r="S141" s="257"/>
      <c r="T141" s="455"/>
      <c r="U141" s="257"/>
      <c r="V141" s="455"/>
      <c r="W141" s="257"/>
      <c r="X141" s="718"/>
      <c r="Y141" s="715"/>
      <c r="Z141" s="715"/>
      <c r="AA141" s="720"/>
      <c r="AB141" s="398" t="s">
        <v>157</v>
      </c>
    </row>
    <row r="142" spans="1:28" ht="12.6" customHeight="1" x14ac:dyDescent="0.2">
      <c r="A142" s="17"/>
      <c r="B142" s="656" t="s">
        <v>158</v>
      </c>
      <c r="C142" s="669"/>
      <c r="D142" s="669"/>
      <c r="E142" s="670"/>
      <c r="F142" s="258"/>
      <c r="G142" s="258"/>
      <c r="H142" s="406"/>
      <c r="I142" s="258"/>
      <c r="J142" s="82"/>
      <c r="K142" s="258"/>
      <c r="L142" s="406"/>
      <c r="M142" s="258"/>
      <c r="N142" s="406"/>
      <c r="O142" s="258"/>
      <c r="P142" s="406"/>
      <c r="Q142" s="258"/>
      <c r="R142" s="406"/>
      <c r="S142" s="258"/>
      <c r="T142" s="406"/>
      <c r="U142" s="258"/>
      <c r="V142" s="406"/>
      <c r="W142" s="258"/>
      <c r="X142" s="715"/>
      <c r="Y142" s="715"/>
      <c r="Z142" s="715"/>
      <c r="AA142" s="715"/>
      <c r="AB142" s="178" t="s">
        <v>159</v>
      </c>
    </row>
    <row r="143" spans="1:28" ht="12.6" customHeight="1" x14ac:dyDescent="0.2">
      <c r="A143" s="17"/>
      <c r="B143" s="659" t="s">
        <v>160</v>
      </c>
      <c r="C143" s="707"/>
      <c r="D143" s="707"/>
      <c r="E143" s="708"/>
      <c r="F143" s="257"/>
      <c r="G143" s="257"/>
      <c r="H143" s="455"/>
      <c r="I143" s="257"/>
      <c r="J143" s="68"/>
      <c r="K143" s="257"/>
      <c r="L143" s="455"/>
      <c r="M143" s="257"/>
      <c r="N143" s="455"/>
      <c r="O143" s="257"/>
      <c r="P143" s="455"/>
      <c r="Q143" s="257"/>
      <c r="R143" s="455"/>
      <c r="S143" s="257"/>
      <c r="T143" s="455"/>
      <c r="U143" s="257"/>
      <c r="V143" s="455"/>
      <c r="W143" s="257"/>
      <c r="X143" s="715"/>
      <c r="Y143" s="715"/>
      <c r="Z143" s="715"/>
      <c r="AA143" s="715"/>
      <c r="AB143" s="178" t="s">
        <v>161</v>
      </c>
    </row>
    <row r="144" spans="1:28" ht="12.6" customHeight="1" x14ac:dyDescent="0.2">
      <c r="A144" s="88"/>
      <c r="B144" s="656" t="s">
        <v>332</v>
      </c>
      <c r="C144" s="657"/>
      <c r="D144" s="657"/>
      <c r="E144" s="658"/>
      <c r="F144" s="258"/>
      <c r="G144" s="258"/>
      <c r="H144" s="82"/>
      <c r="I144" s="406"/>
      <c r="J144" s="406"/>
      <c r="K144" s="406"/>
      <c r="L144" s="406"/>
      <c r="M144" s="258"/>
      <c r="N144" s="406"/>
      <c r="O144" s="258"/>
      <c r="P144" s="406"/>
      <c r="Q144" s="258"/>
      <c r="R144" s="406"/>
      <c r="S144" s="258"/>
      <c r="T144" s="406"/>
      <c r="U144" s="258"/>
      <c r="V144" s="406"/>
      <c r="W144" s="258"/>
      <c r="X144" s="979"/>
      <c r="Y144" s="1141"/>
      <c r="Z144" s="1141"/>
      <c r="AA144" s="1142"/>
      <c r="AB144" s="178"/>
    </row>
    <row r="145" spans="1:34" ht="12.6" customHeight="1" x14ac:dyDescent="0.2">
      <c r="A145" s="88"/>
      <c r="B145" s="654" t="s">
        <v>162</v>
      </c>
      <c r="C145" s="655"/>
      <c r="D145" s="655"/>
      <c r="E145" s="655"/>
      <c r="F145" s="257"/>
      <c r="G145" s="257"/>
      <c r="H145" s="68"/>
      <c r="I145" s="455"/>
      <c r="J145" s="455"/>
      <c r="K145" s="455"/>
      <c r="L145" s="455"/>
      <c r="M145" s="257"/>
      <c r="N145" s="455"/>
      <c r="O145" s="257"/>
      <c r="P145" s="455"/>
      <c r="Q145" s="257"/>
      <c r="R145" s="455"/>
      <c r="S145" s="257"/>
      <c r="T145" s="455"/>
      <c r="U145" s="257"/>
      <c r="V145" s="455"/>
      <c r="W145" s="257"/>
      <c r="X145" s="979"/>
      <c r="Y145" s="980"/>
      <c r="Z145" s="980"/>
      <c r="AA145" s="981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45" t="s">
        <v>163</v>
      </c>
      <c r="C146" s="646"/>
      <c r="D146" s="646"/>
      <c r="E146" s="646"/>
      <c r="F146" s="258"/>
      <c r="G146" s="459"/>
      <c r="H146" s="82"/>
      <c r="I146" s="460"/>
      <c r="J146" s="406"/>
      <c r="K146" s="460"/>
      <c r="L146" s="406"/>
      <c r="M146" s="461"/>
      <c r="N146" s="406"/>
      <c r="O146" s="461"/>
      <c r="P146" s="406"/>
      <c r="Q146" s="461"/>
      <c r="R146" s="406"/>
      <c r="S146" s="461"/>
      <c r="T146" s="406"/>
      <c r="U146" s="258"/>
      <c r="V146" s="406"/>
      <c r="W146" s="258"/>
      <c r="X146" s="979"/>
      <c r="Y146" s="980"/>
      <c r="Z146" s="980"/>
      <c r="AA146" s="981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761" t="s">
        <v>304</v>
      </c>
      <c r="C147" s="1002"/>
      <c r="D147" s="1002"/>
      <c r="E147" s="1002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6"/>
      <c r="S147" s="457"/>
      <c r="T147" s="68"/>
      <c r="U147" s="257"/>
      <c r="V147" s="455"/>
      <c r="W147" s="257"/>
      <c r="X147" s="979"/>
      <c r="Y147" s="980"/>
      <c r="Z147" s="980"/>
      <c r="AA147" s="981"/>
      <c r="AB147" s="368"/>
      <c r="AC147" s="1132"/>
      <c r="AD147" s="1133"/>
      <c r="AE147" s="1133"/>
      <c r="AF147" s="1133"/>
      <c r="AG147" s="4"/>
    </row>
    <row r="148" spans="1:34" ht="12.6" customHeight="1" x14ac:dyDescent="0.2">
      <c r="A148" s="17"/>
      <c r="B148" s="1000" t="s">
        <v>305</v>
      </c>
      <c r="C148" s="1001"/>
      <c r="D148" s="1001"/>
      <c r="E148" s="1001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4"/>
      <c r="S148" s="462"/>
      <c r="T148" s="463"/>
      <c r="U148" s="260"/>
      <c r="V148" s="86"/>
      <c r="W148" s="260"/>
      <c r="X148" s="979"/>
      <c r="Y148" s="980"/>
      <c r="Z148" s="980"/>
      <c r="AA148" s="981"/>
      <c r="AB148" s="368"/>
    </row>
    <row r="149" spans="1:34" ht="12.6" customHeight="1" x14ac:dyDescent="0.2">
      <c r="A149" s="17"/>
      <c r="B149" s="761" t="s">
        <v>769</v>
      </c>
      <c r="C149" s="1002"/>
      <c r="D149" s="1002"/>
      <c r="E149" s="1002"/>
      <c r="F149" s="257"/>
      <c r="G149" s="257"/>
      <c r="H149" s="248"/>
      <c r="I149" s="257"/>
      <c r="J149" s="534">
        <f>F148+350</f>
        <v>1647</v>
      </c>
      <c r="K149" s="257">
        <f t="shared" ref="K149:K150" si="323">+J149*$X$1</f>
        <v>1647</v>
      </c>
      <c r="L149" s="534">
        <f>F148+300</f>
        <v>1597</v>
      </c>
      <c r="M149" s="257">
        <f>+L149*$X$1</f>
        <v>1597</v>
      </c>
      <c r="N149" s="534">
        <f>F148+250</f>
        <v>1547</v>
      </c>
      <c r="O149" s="257">
        <f>+N149*$X$1</f>
        <v>1547</v>
      </c>
      <c r="P149" s="534">
        <f>F148+235</f>
        <v>1532</v>
      </c>
      <c r="Q149" s="257">
        <f t="shared" ref="Q149:Q150" si="324">+P149*$X$1</f>
        <v>1532</v>
      </c>
      <c r="R149" s="534">
        <f>F148+220</f>
        <v>1517</v>
      </c>
      <c r="S149" s="257">
        <f>+R149*$X$1</f>
        <v>1517</v>
      </c>
      <c r="T149" s="534">
        <f>F148+170</f>
        <v>1467</v>
      </c>
      <c r="U149" s="257">
        <f t="shared" ref="U149:U150" si="325">+T149*$X$1</f>
        <v>1467</v>
      </c>
      <c r="V149" s="534">
        <f>F148+150</f>
        <v>1447</v>
      </c>
      <c r="W149" s="257">
        <f>+V149*$X$1</f>
        <v>1447</v>
      </c>
      <c r="X149" s="979"/>
      <c r="Y149" s="980"/>
      <c r="Z149" s="980"/>
      <c r="AA149" s="981"/>
      <c r="AB149" s="365">
        <v>321</v>
      </c>
    </row>
    <row r="150" spans="1:34" ht="12.6" customHeight="1" x14ac:dyDescent="0.2">
      <c r="A150" s="17"/>
      <c r="B150" s="1000" t="s">
        <v>497</v>
      </c>
      <c r="C150" s="1001"/>
      <c r="D150" s="1001"/>
      <c r="E150" s="1001"/>
      <c r="F150" s="258"/>
      <c r="G150" s="258"/>
      <c r="H150" s="267"/>
      <c r="I150" s="258"/>
      <c r="J150" s="406">
        <f>F148+400</f>
        <v>1697</v>
      </c>
      <c r="K150" s="258">
        <f t="shared" si="323"/>
        <v>1697</v>
      </c>
      <c r="L150" s="406">
        <f>F148+350</f>
        <v>1647</v>
      </c>
      <c r="M150" s="258">
        <f>+L150*$X$1</f>
        <v>1647</v>
      </c>
      <c r="N150" s="406">
        <f>F148+300</f>
        <v>1597</v>
      </c>
      <c r="O150" s="258">
        <f>+N150*$X$1</f>
        <v>1597</v>
      </c>
      <c r="P150" s="406">
        <f>F148+260</f>
        <v>1557</v>
      </c>
      <c r="Q150" s="258">
        <f t="shared" si="324"/>
        <v>1557</v>
      </c>
      <c r="R150" s="406">
        <f>F148+240</f>
        <v>1537</v>
      </c>
      <c r="S150" s="258">
        <f>+R150*$X$1</f>
        <v>1537</v>
      </c>
      <c r="T150" s="406">
        <f>F148+220</f>
        <v>1517</v>
      </c>
      <c r="U150" s="258">
        <f t="shared" si="325"/>
        <v>1517</v>
      </c>
      <c r="V150" s="406">
        <f>F148+200</f>
        <v>1497</v>
      </c>
      <c r="W150" s="258">
        <f>+V150*$X$1</f>
        <v>1497</v>
      </c>
      <c r="X150" s="979"/>
      <c r="Y150" s="980"/>
      <c r="Z150" s="980"/>
      <c r="AA150" s="981"/>
      <c r="AB150" s="365">
        <v>322</v>
      </c>
    </row>
    <row r="151" spans="1:34" ht="12.6" customHeight="1" x14ac:dyDescent="0.2">
      <c r="A151" s="17"/>
      <c r="B151" s="761" t="s">
        <v>306</v>
      </c>
      <c r="C151" s="1002"/>
      <c r="D151" s="1002"/>
      <c r="E151" s="1002"/>
      <c r="F151" s="257">
        <v>1435</v>
      </c>
      <c r="G151" s="279">
        <f>+F151*$X$1</f>
        <v>1435</v>
      </c>
      <c r="H151" s="405" t="s">
        <v>164</v>
      </c>
      <c r="I151" s="540"/>
      <c r="J151" s="541"/>
      <c r="K151" s="541"/>
      <c r="L151" s="541"/>
      <c r="M151" s="541"/>
      <c r="N151" s="541"/>
      <c r="O151" s="541"/>
      <c r="P151" s="77">
        <v>130</v>
      </c>
      <c r="Q151" s="247">
        <f>+P151*$X$1</f>
        <v>130</v>
      </c>
      <c r="R151" s="282"/>
      <c r="S151" s="305"/>
      <c r="T151" s="542"/>
      <c r="U151" s="543"/>
      <c r="V151" s="79"/>
      <c r="W151" s="458"/>
      <c r="X151" s="979"/>
      <c r="Y151" s="980"/>
      <c r="Z151" s="980"/>
      <c r="AA151" s="981"/>
      <c r="AB151" s="368"/>
    </row>
    <row r="152" spans="1:34" ht="12.6" customHeight="1" x14ac:dyDescent="0.2">
      <c r="A152" s="17"/>
      <c r="B152" s="645" t="s">
        <v>165</v>
      </c>
      <c r="C152" s="646"/>
      <c r="D152" s="646"/>
      <c r="E152" s="646"/>
      <c r="F152" s="260">
        <v>1585</v>
      </c>
      <c r="G152" s="312">
        <f>+F152*$X$1</f>
        <v>1585</v>
      </c>
      <c r="H152" s="241" t="s">
        <v>164</v>
      </c>
      <c r="I152" s="544"/>
      <c r="J152" s="541"/>
      <c r="K152" s="541"/>
      <c r="L152" s="541"/>
      <c r="M152" s="541"/>
      <c r="N152" s="541"/>
      <c r="O152" s="541"/>
      <c r="P152" s="77">
        <v>130</v>
      </c>
      <c r="Q152" s="180">
        <f>+P152*$X$1</f>
        <v>130</v>
      </c>
      <c r="R152" s="256"/>
      <c r="S152" s="306"/>
      <c r="T152" s="545"/>
      <c r="U152" s="546"/>
      <c r="V152" s="82"/>
      <c r="W152" s="283"/>
      <c r="X152" s="979"/>
      <c r="Y152" s="980"/>
      <c r="Z152" s="980"/>
      <c r="AA152" s="981"/>
      <c r="AB152" s="368"/>
    </row>
    <row r="153" spans="1:34" ht="12.6" customHeight="1" x14ac:dyDescent="0.2">
      <c r="A153" s="17"/>
      <c r="B153" s="654" t="s">
        <v>768</v>
      </c>
      <c r="C153" s="655"/>
      <c r="D153" s="655"/>
      <c r="E153" s="655"/>
      <c r="F153" s="308"/>
      <c r="G153" s="308"/>
      <c r="H153" s="252"/>
      <c r="I153" s="305"/>
      <c r="J153" s="559">
        <f>F152+350</f>
        <v>1935</v>
      </c>
      <c r="K153" s="257">
        <f t="shared" ref="K153:K154" si="326">+J153*$X$1</f>
        <v>1935</v>
      </c>
      <c r="L153" s="559">
        <f>F152+300</f>
        <v>1885</v>
      </c>
      <c r="M153" s="257">
        <f>+L153*$X$1</f>
        <v>1885</v>
      </c>
      <c r="N153" s="559">
        <f>F152+250</f>
        <v>1835</v>
      </c>
      <c r="O153" s="257">
        <f>+N153*$X$1</f>
        <v>1835</v>
      </c>
      <c r="P153" s="559">
        <f>F152+210</f>
        <v>1795</v>
      </c>
      <c r="Q153" s="257">
        <f t="shared" ref="Q153:Q154" si="327">+P153*$X$1</f>
        <v>1795</v>
      </c>
      <c r="R153" s="559">
        <f>F152+190</f>
        <v>1775</v>
      </c>
      <c r="S153" s="257">
        <f>+R153*$X$1</f>
        <v>1775</v>
      </c>
      <c r="T153" s="559">
        <f>F152+170</f>
        <v>1755</v>
      </c>
      <c r="U153" s="257">
        <f t="shared" ref="U153:U154" si="328">+T153*$X$1</f>
        <v>1755</v>
      </c>
      <c r="V153" s="559">
        <f>F152+150</f>
        <v>1735</v>
      </c>
      <c r="W153" s="257">
        <f>+V153*$X$1</f>
        <v>1735</v>
      </c>
      <c r="X153" s="979"/>
      <c r="Y153" s="980"/>
      <c r="Z153" s="980"/>
      <c r="AA153" s="981"/>
      <c r="AB153" s="365">
        <v>325</v>
      </c>
    </row>
    <row r="154" spans="1:34" ht="12.6" customHeight="1" x14ac:dyDescent="0.2">
      <c r="A154" s="17"/>
      <c r="B154" s="645" t="s">
        <v>496</v>
      </c>
      <c r="C154" s="646"/>
      <c r="D154" s="646"/>
      <c r="E154" s="646"/>
      <c r="F154" s="307"/>
      <c r="G154" s="307"/>
      <c r="H154" s="251"/>
      <c r="I154" s="306"/>
      <c r="J154" s="576">
        <f>F152+400</f>
        <v>1985</v>
      </c>
      <c r="K154" s="258">
        <f t="shared" si="326"/>
        <v>1985</v>
      </c>
      <c r="L154" s="576">
        <f>F152+350</f>
        <v>1935</v>
      </c>
      <c r="M154" s="258">
        <f>+L154*$X$1</f>
        <v>1935</v>
      </c>
      <c r="N154" s="576">
        <f>F152+300</f>
        <v>1885</v>
      </c>
      <c r="O154" s="258">
        <f>+N154*$X$1</f>
        <v>1885</v>
      </c>
      <c r="P154" s="576">
        <f>F152+260</f>
        <v>1845</v>
      </c>
      <c r="Q154" s="258">
        <f t="shared" si="327"/>
        <v>1845</v>
      </c>
      <c r="R154" s="576">
        <f>F152+240</f>
        <v>1825</v>
      </c>
      <c r="S154" s="258">
        <f>+R154*$X$1</f>
        <v>1825</v>
      </c>
      <c r="T154" s="576">
        <f>F152+220</f>
        <v>1805</v>
      </c>
      <c r="U154" s="258">
        <f t="shared" si="328"/>
        <v>1805</v>
      </c>
      <c r="V154" s="576">
        <f>F152+200</f>
        <v>1785</v>
      </c>
      <c r="W154" s="258">
        <f>+V154*$X$1</f>
        <v>1785</v>
      </c>
      <c r="X154" s="979"/>
      <c r="Y154" s="980"/>
      <c r="Z154" s="980"/>
      <c r="AA154" s="981"/>
      <c r="AB154" s="365">
        <v>326</v>
      </c>
    </row>
    <row r="155" spans="1:34" ht="12.6" customHeight="1" x14ac:dyDescent="0.2">
      <c r="A155" s="17"/>
      <c r="B155" s="654" t="s">
        <v>322</v>
      </c>
      <c r="C155" s="655"/>
      <c r="D155" s="655"/>
      <c r="E155" s="655"/>
      <c r="F155" s="333">
        <f>8.34*X2</f>
        <v>10758.6</v>
      </c>
      <c r="G155" s="257">
        <f>+F155*$X$1</f>
        <v>10758.6</v>
      </c>
      <c r="H155" s="559">
        <f>F155+600</f>
        <v>11358.6</v>
      </c>
      <c r="I155" s="257">
        <f>+H155*$X$1</f>
        <v>11358.6</v>
      </c>
      <c r="J155" s="559">
        <f>F155+200</f>
        <v>10958.6</v>
      </c>
      <c r="K155" s="257">
        <f>+J155*$X$1</f>
        <v>10958.6</v>
      </c>
      <c r="L155" s="559">
        <f>F155+150</f>
        <v>10908.6</v>
      </c>
      <c r="M155" s="257">
        <f>+L155*$X$1</f>
        <v>10908.6</v>
      </c>
      <c r="N155" s="559">
        <f>F155+100</f>
        <v>10858.6</v>
      </c>
      <c r="O155" s="257">
        <f>+N155*$X$1</f>
        <v>10858.6</v>
      </c>
      <c r="P155" s="559">
        <f>F155+90</f>
        <v>10848.6</v>
      </c>
      <c r="Q155" s="257">
        <f>+P155*$X$1</f>
        <v>10848.6</v>
      </c>
      <c r="R155" s="559">
        <f>F155+70</f>
        <v>10828.6</v>
      </c>
      <c r="S155" s="257">
        <f>+R155*$X$1</f>
        <v>10828.6</v>
      </c>
      <c r="T155" s="559">
        <f>F155+56</f>
        <v>10814.6</v>
      </c>
      <c r="U155" s="257">
        <f>+T155*$X$1</f>
        <v>10814.6</v>
      </c>
      <c r="V155" s="559">
        <f>F155+49</f>
        <v>10807.6</v>
      </c>
      <c r="W155" s="257">
        <f>+V155*$X$1</f>
        <v>10807.6</v>
      </c>
      <c r="X155" s="697"/>
      <c r="Y155" s="849"/>
      <c r="Z155" s="849"/>
      <c r="AA155" s="681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45" t="s">
        <v>11</v>
      </c>
      <c r="C159" s="702" t="s">
        <v>12</v>
      </c>
      <c r="D159" s="703"/>
      <c r="E159" s="703"/>
      <c r="F159" s="729" t="s">
        <v>13</v>
      </c>
      <c r="G159" s="729" t="s">
        <v>13</v>
      </c>
      <c r="H159" s="700" t="s">
        <v>742</v>
      </c>
      <c r="I159" s="700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647" t="s">
        <v>14</v>
      </c>
      <c r="Y159" s="648"/>
      <c r="Z159" s="648"/>
      <c r="AA159" s="649"/>
      <c r="AB159" s="692" t="s">
        <v>15</v>
      </c>
      <c r="AF159" s="694" t="s">
        <v>3</v>
      </c>
      <c r="AG159" s="695"/>
      <c r="AH159" s="695"/>
    </row>
    <row r="160" spans="1:34" ht="12.6" customHeight="1" x14ac:dyDescent="0.2">
      <c r="A160" s="17"/>
      <c r="B160" s="745"/>
      <c r="C160" s="703"/>
      <c r="D160" s="703"/>
      <c r="E160" s="703"/>
      <c r="F160" s="730"/>
      <c r="G160" s="730"/>
      <c r="H160" s="415"/>
      <c r="I160" s="413" t="s">
        <v>267</v>
      </c>
      <c r="J160" s="415"/>
      <c r="K160" s="413" t="s">
        <v>17</v>
      </c>
      <c r="L160" s="416"/>
      <c r="M160" s="416" t="s">
        <v>18</v>
      </c>
      <c r="N160" s="416"/>
      <c r="O160" s="413" t="s">
        <v>19</v>
      </c>
      <c r="P160" s="416"/>
      <c r="Q160" s="416" t="s">
        <v>268</v>
      </c>
      <c r="R160" s="416"/>
      <c r="S160" s="416" t="s">
        <v>20</v>
      </c>
      <c r="T160" s="416"/>
      <c r="U160" s="416" t="s">
        <v>21</v>
      </c>
      <c r="V160" s="416"/>
      <c r="W160" s="416" t="s">
        <v>22</v>
      </c>
      <c r="X160" s="650"/>
      <c r="Y160" s="651"/>
      <c r="Z160" s="651"/>
      <c r="AA160" s="652"/>
      <c r="AB160" s="693"/>
      <c r="AG160" s="31"/>
    </row>
    <row r="161" spans="1:38" ht="12.6" customHeight="1" x14ac:dyDescent="0.2">
      <c r="A161" s="19"/>
      <c r="B161" s="696" t="s">
        <v>972</v>
      </c>
      <c r="C161" s="636"/>
      <c r="D161" s="636"/>
      <c r="E161" s="637"/>
      <c r="F161" s="333">
        <f>1.883*X2</f>
        <v>2429.0700000000002</v>
      </c>
      <c r="G161" s="235">
        <f>+F161*$X$1</f>
        <v>2429.0700000000002</v>
      </c>
      <c r="H161" s="559">
        <f t="shared" ref="H161" si="329">F161+600</f>
        <v>3029.07</v>
      </c>
      <c r="I161" s="257">
        <f t="shared" ref="I161" si="330">+H161*$X$1</f>
        <v>3029.07</v>
      </c>
      <c r="J161" s="68">
        <f>F161+200</f>
        <v>2629.07</v>
      </c>
      <c r="K161" s="257">
        <f t="shared" ref="K161" si="331">+J161*$X$1</f>
        <v>2629.07</v>
      </c>
      <c r="L161" s="559">
        <f t="shared" ref="L161" si="332">F161+150</f>
        <v>2579.0700000000002</v>
      </c>
      <c r="M161" s="257">
        <f t="shared" ref="M161" si="333">+L161*$X$1</f>
        <v>2579.0700000000002</v>
      </c>
      <c r="N161" s="559">
        <f t="shared" ref="N161" si="334">F161+110</f>
        <v>2539.0700000000002</v>
      </c>
      <c r="O161" s="257">
        <f t="shared" ref="O161" si="335">+N161*$X$1</f>
        <v>2539.0700000000002</v>
      </c>
      <c r="P161" s="559">
        <f t="shared" ref="P161" si="336">F161+100</f>
        <v>2529.0700000000002</v>
      </c>
      <c r="Q161" s="257">
        <f t="shared" ref="Q161" si="337">+P161*$X$1</f>
        <v>2529.0700000000002</v>
      </c>
      <c r="R161" s="559">
        <f t="shared" ref="R161" si="338">F161+80</f>
        <v>2509.0700000000002</v>
      </c>
      <c r="S161" s="257">
        <f t="shared" ref="S161" si="339">+R161*$X$1</f>
        <v>2509.0700000000002</v>
      </c>
      <c r="T161" s="559">
        <f t="shared" ref="T161" si="340">F161+65</f>
        <v>2494.0700000000002</v>
      </c>
      <c r="U161" s="257">
        <f t="shared" ref="U161" si="341">+T161*$X$1</f>
        <v>2494.0700000000002</v>
      </c>
      <c r="V161" s="559">
        <f t="shared" ref="V161" si="342">F161+56</f>
        <v>2485.0700000000002</v>
      </c>
      <c r="W161" s="257">
        <f t="shared" ref="W161" si="343">+V161*$X$1</f>
        <v>2485.0700000000002</v>
      </c>
      <c r="X161" s="718"/>
      <c r="Y161" s="735"/>
      <c r="Z161" s="735"/>
      <c r="AA161" s="736"/>
      <c r="AB161" s="178">
        <v>341</v>
      </c>
    </row>
    <row r="162" spans="1:38" ht="12.6" customHeight="1" x14ac:dyDescent="0.2">
      <c r="A162" s="19"/>
      <c r="B162" s="982" t="s">
        <v>166</v>
      </c>
      <c r="C162" s="983"/>
      <c r="D162" s="983"/>
      <c r="E162" s="983"/>
      <c r="F162" s="258">
        <v>530</v>
      </c>
      <c r="G162" s="258">
        <f t="shared" ref="G162" si="344">+F162*$X$1</f>
        <v>530</v>
      </c>
      <c r="H162" s="603"/>
      <c r="I162" s="603"/>
      <c r="J162" s="576">
        <f>F162+400</f>
        <v>930</v>
      </c>
      <c r="K162" s="258">
        <f t="shared" ref="K162" si="345">+J162*$X$1</f>
        <v>930</v>
      </c>
      <c r="L162" s="576">
        <f>F162+360</f>
        <v>890</v>
      </c>
      <c r="M162" s="258">
        <f>+L162*$X$1</f>
        <v>890</v>
      </c>
      <c r="N162" s="576">
        <f>F162+340</f>
        <v>870</v>
      </c>
      <c r="O162" s="258">
        <f>+N162*$X$1</f>
        <v>870</v>
      </c>
      <c r="P162" s="576">
        <f>F162+300</f>
        <v>830</v>
      </c>
      <c r="Q162" s="258">
        <f t="shared" ref="Q162" si="346">+P162*$X$1</f>
        <v>830</v>
      </c>
      <c r="R162" s="576">
        <f>F162+260</f>
        <v>790</v>
      </c>
      <c r="S162" s="258">
        <f>+R162*$X$1</f>
        <v>790</v>
      </c>
      <c r="T162" s="576"/>
      <c r="U162" s="258"/>
      <c r="V162" s="576"/>
      <c r="W162" s="258"/>
      <c r="X162" s="135"/>
      <c r="Y162" s="135"/>
      <c r="Z162" s="135"/>
      <c r="AA162" s="135"/>
      <c r="AB162" s="178">
        <v>347</v>
      </c>
    </row>
    <row r="163" spans="1:38" ht="12.6" customHeight="1" x14ac:dyDescent="0.2">
      <c r="A163" s="19"/>
      <c r="B163" s="654" t="s">
        <v>580</v>
      </c>
      <c r="C163" s="655"/>
      <c r="D163" s="655"/>
      <c r="E163" s="655"/>
      <c r="F163" s="266"/>
      <c r="G163" s="604"/>
      <c r="H163" s="559"/>
      <c r="I163" s="559"/>
      <c r="J163" s="559"/>
      <c r="K163" s="559"/>
      <c r="L163" s="252"/>
      <c r="M163" s="252"/>
      <c r="N163" s="604"/>
      <c r="O163" s="559"/>
      <c r="P163" s="252"/>
      <c r="Q163" s="252"/>
      <c r="R163" s="559"/>
      <c r="S163" s="559"/>
      <c r="T163" s="559"/>
      <c r="U163" s="87"/>
      <c r="V163" s="559"/>
      <c r="W163" s="87"/>
      <c r="X163" s="135"/>
      <c r="Y163" s="135"/>
      <c r="Z163" s="135"/>
      <c r="AA163" s="135"/>
      <c r="AB163" s="178">
        <v>348</v>
      </c>
    </row>
    <row r="164" spans="1:38" ht="12.6" customHeight="1" x14ac:dyDescent="0.2">
      <c r="A164" s="19"/>
      <c r="B164" s="645" t="s">
        <v>167</v>
      </c>
      <c r="C164" s="646"/>
      <c r="D164" s="646"/>
      <c r="E164" s="646"/>
      <c r="F164" s="265"/>
      <c r="G164" s="605"/>
      <c r="H164" s="576"/>
      <c r="I164" s="576"/>
      <c r="J164" s="576"/>
      <c r="K164" s="576"/>
      <c r="L164" s="251"/>
      <c r="M164" s="251"/>
      <c r="N164" s="605"/>
      <c r="O164" s="576"/>
      <c r="P164" s="251"/>
      <c r="Q164" s="251"/>
      <c r="R164" s="576"/>
      <c r="S164" s="576"/>
      <c r="T164" s="576"/>
      <c r="U164" s="85"/>
      <c r="V164" s="576"/>
      <c r="W164" s="85"/>
      <c r="X164" s="135"/>
      <c r="Y164" s="135"/>
      <c r="Z164" s="135"/>
      <c r="AA164" s="135"/>
      <c r="AB164" s="178">
        <v>349</v>
      </c>
    </row>
    <row r="165" spans="1:38" ht="12.6" customHeight="1" x14ac:dyDescent="0.2">
      <c r="A165" s="19"/>
      <c r="B165" s="654" t="s">
        <v>168</v>
      </c>
      <c r="C165" s="655"/>
      <c r="D165" s="655"/>
      <c r="E165" s="655"/>
      <c r="F165" s="266"/>
      <c r="G165" s="604"/>
      <c r="H165" s="559"/>
      <c r="I165" s="559"/>
      <c r="J165" s="559"/>
      <c r="K165" s="559"/>
      <c r="L165" s="252"/>
      <c r="M165" s="252"/>
      <c r="N165" s="604"/>
      <c r="O165" s="559"/>
      <c r="P165" s="252"/>
      <c r="Q165" s="252"/>
      <c r="R165" s="559"/>
      <c r="S165" s="559"/>
      <c r="T165" s="559"/>
      <c r="U165" s="87"/>
      <c r="V165" s="559"/>
      <c r="W165" s="87"/>
      <c r="X165" s="135"/>
      <c r="Y165" s="135"/>
      <c r="Z165" s="135"/>
      <c r="AA165" s="135"/>
      <c r="AB165" s="178">
        <v>350</v>
      </c>
    </row>
    <row r="166" spans="1:38" ht="12.6" customHeight="1" x14ac:dyDescent="0.2">
      <c r="A166" s="19"/>
      <c r="B166" s="645" t="s">
        <v>169</v>
      </c>
      <c r="C166" s="646"/>
      <c r="D166" s="646"/>
      <c r="E166" s="646"/>
      <c r="F166" s="265"/>
      <c r="G166" s="605"/>
      <c r="H166" s="576"/>
      <c r="I166" s="576"/>
      <c r="J166" s="576"/>
      <c r="K166" s="576"/>
      <c r="L166" s="251"/>
      <c r="M166" s="251"/>
      <c r="N166" s="605"/>
      <c r="O166" s="576"/>
      <c r="P166" s="251"/>
      <c r="Q166" s="251"/>
      <c r="R166" s="576"/>
      <c r="S166" s="576"/>
      <c r="T166" s="576"/>
      <c r="U166" s="85"/>
      <c r="V166" s="576"/>
      <c r="W166" s="85"/>
      <c r="X166" s="135"/>
      <c r="Y166" s="135"/>
      <c r="Z166" s="135"/>
      <c r="AA166" s="135"/>
      <c r="AB166" s="178">
        <v>351</v>
      </c>
    </row>
    <row r="167" spans="1:38" ht="12.6" customHeight="1" x14ac:dyDescent="0.2">
      <c r="A167" s="19"/>
      <c r="B167" s="654" t="s">
        <v>170</v>
      </c>
      <c r="C167" s="655"/>
      <c r="D167" s="655"/>
      <c r="E167" s="655"/>
      <c r="F167" s="266"/>
      <c r="G167" s="604"/>
      <c r="H167" s="559"/>
      <c r="I167" s="559"/>
      <c r="J167" s="559"/>
      <c r="K167" s="559"/>
      <c r="L167" s="252"/>
      <c r="M167" s="252"/>
      <c r="N167" s="93"/>
      <c r="O167" s="559"/>
      <c r="P167" s="252"/>
      <c r="Q167" s="252"/>
      <c r="R167" s="559"/>
      <c r="S167" s="559"/>
      <c r="T167" s="93"/>
      <c r="U167" s="606"/>
      <c r="V167" s="93"/>
      <c r="W167" s="606"/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56" t="s">
        <v>339</v>
      </c>
      <c r="C168" s="669"/>
      <c r="D168" s="669"/>
      <c r="E168" s="670"/>
      <c r="F168" s="336">
        <f>0.6*X2</f>
        <v>774</v>
      </c>
      <c r="G168" s="272">
        <f t="shared" ref="G168" si="347">+F168*$X$1</f>
        <v>774</v>
      </c>
      <c r="H168" s="90"/>
      <c r="I168" s="258"/>
      <c r="J168" s="82"/>
      <c r="K168" s="258"/>
      <c r="L168" s="576">
        <f t="shared" ref="L168" si="348">F168+150</f>
        <v>924</v>
      </c>
      <c r="M168" s="258">
        <f t="shared" ref="M168" si="349">+L168*$X$1</f>
        <v>924</v>
      </c>
      <c r="N168" s="576">
        <f t="shared" ref="N168" si="350">F168+110</f>
        <v>884</v>
      </c>
      <c r="O168" s="258">
        <f t="shared" ref="O168" si="351">+N168*$X$1</f>
        <v>884</v>
      </c>
      <c r="P168" s="576">
        <f t="shared" ref="P168" si="352">F168+100</f>
        <v>874</v>
      </c>
      <c r="Q168" s="258">
        <f t="shared" ref="Q168" si="353">+P168*$X$1</f>
        <v>874</v>
      </c>
      <c r="R168" s="576">
        <f t="shared" ref="R168" si="354">F168+80</f>
        <v>854</v>
      </c>
      <c r="S168" s="258">
        <f t="shared" ref="S168" si="355">+R168*$X$1</f>
        <v>854</v>
      </c>
      <c r="T168" s="576">
        <f t="shared" ref="T168" si="356">F168+65</f>
        <v>839</v>
      </c>
      <c r="U168" s="258">
        <f t="shared" ref="U168" si="357">+T168*$X$1</f>
        <v>839</v>
      </c>
      <c r="V168" s="576">
        <f t="shared" ref="V168" si="358">F168+56</f>
        <v>830</v>
      </c>
      <c r="W168" s="258">
        <f t="shared" ref="W168" si="359">+V168*$X$1</f>
        <v>830</v>
      </c>
      <c r="X168" s="718"/>
      <c r="Y168" s="735"/>
      <c r="Z168" s="735"/>
      <c r="AA168" s="736"/>
      <c r="AB168" s="178">
        <v>370</v>
      </c>
    </row>
    <row r="169" spans="1:38" ht="12.6" customHeight="1" x14ac:dyDescent="0.2">
      <c r="A169" s="19"/>
      <c r="B169" s="1143" t="s">
        <v>500</v>
      </c>
      <c r="C169" s="1144"/>
      <c r="D169" s="1144"/>
      <c r="E169" s="1145"/>
      <c r="F169" s="468">
        <v>760</v>
      </c>
      <c r="G169" s="548">
        <f t="shared" ref="G169" si="360">+F169*$X$1</f>
        <v>760</v>
      </c>
      <c r="H169" s="552"/>
      <c r="I169" s="469"/>
      <c r="J169" s="471">
        <f>F169+200</f>
        <v>960</v>
      </c>
      <c r="K169" s="469">
        <f t="shared" ref="K169" si="361">+J169*$X$1</f>
        <v>960</v>
      </c>
      <c r="L169" s="602">
        <f t="shared" ref="L169" si="362">F169+150</f>
        <v>910</v>
      </c>
      <c r="M169" s="469">
        <f t="shared" ref="M169" si="363">+L169*$X$1</f>
        <v>910</v>
      </c>
      <c r="N169" s="602">
        <f t="shared" ref="N169" si="364">F169+110</f>
        <v>870</v>
      </c>
      <c r="O169" s="469">
        <f t="shared" ref="O169" si="365">+N169*$X$1</f>
        <v>870</v>
      </c>
      <c r="P169" s="602">
        <f t="shared" ref="P169" si="366">F169+100</f>
        <v>860</v>
      </c>
      <c r="Q169" s="469">
        <f t="shared" ref="Q169" si="367">+P169*$X$1</f>
        <v>860</v>
      </c>
      <c r="R169" s="602">
        <f t="shared" ref="R169" si="368">F169+80</f>
        <v>840</v>
      </c>
      <c r="S169" s="469">
        <f t="shared" ref="S169" si="369">+R169*$X$1</f>
        <v>840</v>
      </c>
      <c r="T169" s="602">
        <f t="shared" ref="T169" si="370">F169+65</f>
        <v>825</v>
      </c>
      <c r="U169" s="469">
        <f t="shared" ref="U169" si="371">+T169*$X$1</f>
        <v>825</v>
      </c>
      <c r="V169" s="602">
        <f t="shared" ref="V169" si="372">F169+56</f>
        <v>816</v>
      </c>
      <c r="W169" s="469">
        <f t="shared" ref="W169" si="373">+V169*$X$1</f>
        <v>816</v>
      </c>
      <c r="X169" s="718"/>
      <c r="Y169" s="735"/>
      <c r="Z169" s="735"/>
      <c r="AA169" s="736"/>
      <c r="AB169" s="354">
        <v>373</v>
      </c>
    </row>
    <row r="170" spans="1:38" ht="12.6" customHeight="1" x14ac:dyDescent="0.2">
      <c r="A170" s="19"/>
      <c r="B170" s="656" t="s">
        <v>171</v>
      </c>
      <c r="C170" s="669"/>
      <c r="D170" s="669"/>
      <c r="E170" s="670"/>
      <c r="F170" s="334">
        <f>1.36*X2</f>
        <v>1754.4</v>
      </c>
      <c r="G170" s="272">
        <f>+F170*$X$1</f>
        <v>1754.4</v>
      </c>
      <c r="H170" s="90"/>
      <c r="I170" s="258"/>
      <c r="J170" s="82">
        <f>F170+200</f>
        <v>1954.4</v>
      </c>
      <c r="K170" s="258">
        <f t="shared" ref="K170:K173" si="374">+J170*$X$1</f>
        <v>1954.4</v>
      </c>
      <c r="L170" s="576">
        <f t="shared" ref="L170" si="375">F170+150</f>
        <v>1904.4</v>
      </c>
      <c r="M170" s="258">
        <f t="shared" ref="M170:M173" si="376">+L170*$X$1</f>
        <v>1904.4</v>
      </c>
      <c r="N170" s="576">
        <f t="shared" ref="N170" si="377">F170+110</f>
        <v>1864.4</v>
      </c>
      <c r="O170" s="258">
        <f t="shared" ref="O170" si="378">+N170*$X$1</f>
        <v>1864.4</v>
      </c>
      <c r="P170" s="576">
        <f t="shared" ref="P170" si="379">F170+100</f>
        <v>1854.4</v>
      </c>
      <c r="Q170" s="258">
        <f t="shared" ref="Q170:Q173" si="380">+P170*$X$1</f>
        <v>1854.4</v>
      </c>
      <c r="R170" s="576">
        <f t="shared" ref="R170" si="381">F170+80</f>
        <v>1834.4</v>
      </c>
      <c r="S170" s="258">
        <f t="shared" ref="S170" si="382">+R170*$X$1</f>
        <v>1834.4</v>
      </c>
      <c r="T170" s="576">
        <f t="shared" ref="T170" si="383">F170+65</f>
        <v>1819.4</v>
      </c>
      <c r="U170" s="258">
        <f t="shared" ref="U170:U173" si="384">+T170*$X$1</f>
        <v>1819.4</v>
      </c>
      <c r="V170" s="576">
        <f t="shared" ref="V170" si="385">F170+56</f>
        <v>1810.4</v>
      </c>
      <c r="W170" s="258">
        <f t="shared" ref="W170:W173" si="386">+V170*$X$1</f>
        <v>1810.4</v>
      </c>
      <c r="X170" s="718"/>
      <c r="Y170" s="735"/>
      <c r="Z170" s="735"/>
      <c r="AA170" s="736"/>
      <c r="AB170" s="178">
        <v>375</v>
      </c>
    </row>
    <row r="171" spans="1:38" ht="12.6" customHeight="1" x14ac:dyDescent="0.2">
      <c r="A171" s="19"/>
      <c r="B171" s="659" t="s">
        <v>172</v>
      </c>
      <c r="C171" s="707"/>
      <c r="D171" s="707"/>
      <c r="E171" s="708"/>
      <c r="F171" s="333">
        <f>4.67*X2</f>
        <v>6024.3</v>
      </c>
      <c r="G171" s="235">
        <f>+F171*$X$1</f>
        <v>6024.3</v>
      </c>
      <c r="H171" s="559">
        <f>F171+600</f>
        <v>6624.3</v>
      </c>
      <c r="I171" s="257">
        <f t="shared" ref="I171:I173" si="387">+H171*$X$1</f>
        <v>6624.3</v>
      </c>
      <c r="J171" s="559">
        <f>F171+200</f>
        <v>6224.3</v>
      </c>
      <c r="K171" s="257">
        <f t="shared" si="374"/>
        <v>6224.3</v>
      </c>
      <c r="L171" s="559">
        <f>F171+150</f>
        <v>6174.3</v>
      </c>
      <c r="M171" s="257">
        <f t="shared" si="376"/>
        <v>6174.3</v>
      </c>
      <c r="N171" s="559">
        <f>F171+100</f>
        <v>6124.3</v>
      </c>
      <c r="O171" s="257">
        <f>+N171*$X$1</f>
        <v>6124.3</v>
      </c>
      <c r="P171" s="559">
        <f>F171+90</f>
        <v>6114.3</v>
      </c>
      <c r="Q171" s="257">
        <f t="shared" si="380"/>
        <v>6114.3</v>
      </c>
      <c r="R171" s="559">
        <f>F171+70</f>
        <v>6094.3</v>
      </c>
      <c r="S171" s="257">
        <f>+R171*$X$1</f>
        <v>6094.3</v>
      </c>
      <c r="T171" s="559">
        <f>F171+56</f>
        <v>6080.3</v>
      </c>
      <c r="U171" s="257">
        <f t="shared" si="384"/>
        <v>6080.3</v>
      </c>
      <c r="V171" s="559">
        <f>F171+49</f>
        <v>6073.3</v>
      </c>
      <c r="W171" s="257">
        <f t="shared" si="386"/>
        <v>6073.3</v>
      </c>
      <c r="X171" s="697"/>
      <c r="Y171" s="849"/>
      <c r="Z171" s="849"/>
      <c r="AA171" s="681"/>
      <c r="AB171" s="178">
        <v>376</v>
      </c>
    </row>
    <row r="172" spans="1:38" ht="12.6" customHeight="1" x14ac:dyDescent="0.2">
      <c r="A172" s="94"/>
      <c r="B172" s="696" t="s">
        <v>970</v>
      </c>
      <c r="C172" s="636"/>
      <c r="D172" s="636"/>
      <c r="E172" s="637"/>
      <c r="F172" s="334">
        <f>7.9*X2</f>
        <v>10191</v>
      </c>
      <c r="G172" s="258">
        <f t="shared" ref="G172:G173" si="388">+F172*$X$1</f>
        <v>10191</v>
      </c>
      <c r="H172" s="576">
        <f>F172+900</f>
        <v>11091</v>
      </c>
      <c r="I172" s="258">
        <f t="shared" si="387"/>
        <v>11091</v>
      </c>
      <c r="J172" s="576">
        <f>F172+300</f>
        <v>10491</v>
      </c>
      <c r="K172" s="258">
        <f t="shared" si="374"/>
        <v>10491</v>
      </c>
      <c r="L172" s="576">
        <f>F172+240</f>
        <v>10431</v>
      </c>
      <c r="M172" s="258">
        <f t="shared" si="376"/>
        <v>10431</v>
      </c>
      <c r="N172" s="576">
        <f>F172+200</f>
        <v>10391</v>
      </c>
      <c r="O172" s="258">
        <f t="shared" ref="O172:O173" si="389">+N172*$X$1</f>
        <v>10391</v>
      </c>
      <c r="P172" s="576">
        <f>F172+160</f>
        <v>10351</v>
      </c>
      <c r="Q172" s="258">
        <f t="shared" si="380"/>
        <v>10351</v>
      </c>
      <c r="R172" s="576">
        <f>F172+140</f>
        <v>10331</v>
      </c>
      <c r="S172" s="258">
        <f t="shared" ref="S172:S173" si="390">+R172*$X$1</f>
        <v>10331</v>
      </c>
      <c r="T172" s="576">
        <f>F172+110</f>
        <v>10301</v>
      </c>
      <c r="U172" s="258">
        <f t="shared" si="384"/>
        <v>10301</v>
      </c>
      <c r="V172" s="576">
        <f>F172+90</f>
        <v>10281</v>
      </c>
      <c r="W172" s="258">
        <f t="shared" si="386"/>
        <v>10281</v>
      </c>
      <c r="X172" s="718"/>
      <c r="Y172" s="735"/>
      <c r="Z172" s="735"/>
      <c r="AA172" s="736"/>
      <c r="AB172" s="178">
        <v>378</v>
      </c>
    </row>
    <row r="173" spans="1:38" s="1" customFormat="1" ht="12.6" customHeight="1" x14ac:dyDescent="0.2">
      <c r="A173" s="18"/>
      <c r="B173" s="696" t="s">
        <v>1000</v>
      </c>
      <c r="C173" s="636"/>
      <c r="D173" s="636"/>
      <c r="E173" s="637"/>
      <c r="F173" s="465">
        <f>4.27*X2</f>
        <v>5508.2999999999993</v>
      </c>
      <c r="G173" s="257">
        <f t="shared" si="388"/>
        <v>5508.2999999999993</v>
      </c>
      <c r="H173" s="68">
        <f>F173+500</f>
        <v>6008.2999999999993</v>
      </c>
      <c r="I173" s="257">
        <f t="shared" si="387"/>
        <v>6008.2999999999993</v>
      </c>
      <c r="J173" s="559">
        <f>F173+210</f>
        <v>5718.2999999999993</v>
      </c>
      <c r="K173" s="257">
        <f t="shared" si="374"/>
        <v>5718.2999999999993</v>
      </c>
      <c r="L173" s="559">
        <f>F173+150</f>
        <v>5658.2999999999993</v>
      </c>
      <c r="M173" s="257">
        <f t="shared" si="376"/>
        <v>5658.2999999999993</v>
      </c>
      <c r="N173" s="559">
        <f>F173+120</f>
        <v>5628.2999999999993</v>
      </c>
      <c r="O173" s="257">
        <f t="shared" si="389"/>
        <v>5628.2999999999993</v>
      </c>
      <c r="P173" s="559">
        <f>F173+95</f>
        <v>5603.2999999999993</v>
      </c>
      <c r="Q173" s="257">
        <f t="shared" si="380"/>
        <v>5603.2999999999993</v>
      </c>
      <c r="R173" s="559">
        <f>F173+85</f>
        <v>5593.2999999999993</v>
      </c>
      <c r="S173" s="257">
        <f t="shared" si="390"/>
        <v>5593.2999999999993</v>
      </c>
      <c r="T173" s="559">
        <f>F173+77</f>
        <v>5585.2999999999993</v>
      </c>
      <c r="U173" s="257">
        <f t="shared" si="384"/>
        <v>5585.2999999999993</v>
      </c>
      <c r="V173" s="559">
        <f>F173+68</f>
        <v>5576.2999999999993</v>
      </c>
      <c r="W173" s="257">
        <f t="shared" si="386"/>
        <v>5576.2999999999993</v>
      </c>
      <c r="X173" s="599"/>
      <c r="Y173" s="600"/>
      <c r="Z173" s="600"/>
      <c r="AA173" s="601"/>
      <c r="AB173" s="178">
        <v>380</v>
      </c>
      <c r="AC173" s="4"/>
      <c r="AD173" s="4"/>
      <c r="AE173" s="4"/>
      <c r="AF173" s="4"/>
      <c r="AG173" s="4"/>
      <c r="AH173" s="433"/>
      <c r="AI173" s="4"/>
      <c r="AJ173" s="4"/>
      <c r="AK173" s="4"/>
      <c r="AL173" s="4"/>
    </row>
    <row r="174" spans="1:38" ht="12.6" customHeight="1" x14ac:dyDescent="0.2">
      <c r="A174" s="94"/>
      <c r="B174" s="696" t="s">
        <v>859</v>
      </c>
      <c r="C174" s="636"/>
      <c r="D174" s="636"/>
      <c r="E174" s="637"/>
      <c r="F174" s="334">
        <f>2.58*X2</f>
        <v>3328.2000000000003</v>
      </c>
      <c r="G174" s="258">
        <f t="shared" ref="G174" si="391">+F174*$X$1</f>
        <v>3328.2000000000003</v>
      </c>
      <c r="H174" s="406">
        <f t="shared" ref="H174:H188" si="392">F174+600</f>
        <v>3928.2000000000003</v>
      </c>
      <c r="I174" s="258">
        <f t="shared" ref="I174:I176" si="393">+H174*$X$1</f>
        <v>3928.2000000000003</v>
      </c>
      <c r="J174" s="82">
        <f t="shared" ref="J174:J183" si="394">F174+200</f>
        <v>3528.2000000000003</v>
      </c>
      <c r="K174" s="258">
        <f t="shared" ref="K174:K176" si="395">+J174*$X$1</f>
        <v>3528.2000000000003</v>
      </c>
      <c r="L174" s="406">
        <f t="shared" ref="L174:L176" si="396">F174+150</f>
        <v>3478.2000000000003</v>
      </c>
      <c r="M174" s="258">
        <f t="shared" ref="M174:M176" si="397">+L174*$X$1</f>
        <v>3478.2000000000003</v>
      </c>
      <c r="N174" s="406">
        <f t="shared" ref="N174:N176" si="398">F174+110</f>
        <v>3438.2000000000003</v>
      </c>
      <c r="O174" s="258">
        <f t="shared" ref="O174:O176" si="399">+N174*$X$1</f>
        <v>3438.2000000000003</v>
      </c>
      <c r="P174" s="406">
        <f t="shared" ref="P174:P176" si="400">F174+100</f>
        <v>3428.2000000000003</v>
      </c>
      <c r="Q174" s="258">
        <f t="shared" ref="Q174:Q176" si="401">+P174*$X$1</f>
        <v>3428.2000000000003</v>
      </c>
      <c r="R174" s="406">
        <f t="shared" ref="R174:R176" si="402">F174+80</f>
        <v>3408.2000000000003</v>
      </c>
      <c r="S174" s="258">
        <f t="shared" ref="S174:S176" si="403">+R174*$X$1</f>
        <v>3408.2000000000003</v>
      </c>
      <c r="T174" s="406">
        <f t="shared" ref="T174:T176" si="404">F174+65</f>
        <v>3393.2000000000003</v>
      </c>
      <c r="U174" s="258">
        <f t="shared" ref="U174:U176" si="405">+T174*$X$1</f>
        <v>3393.2000000000003</v>
      </c>
      <c r="V174" s="406">
        <f t="shared" ref="V174:V176" si="406">F174+56</f>
        <v>3384.2000000000003</v>
      </c>
      <c r="W174" s="258">
        <f t="shared" ref="W174:W176" si="407">+V174*$X$1</f>
        <v>3384.2000000000003</v>
      </c>
      <c r="X174" s="718"/>
      <c r="Y174" s="735"/>
      <c r="Z174" s="735"/>
      <c r="AA174" s="736"/>
      <c r="AB174" s="178">
        <v>381</v>
      </c>
    </row>
    <row r="175" spans="1:38" ht="12.6" customHeight="1" x14ac:dyDescent="0.2">
      <c r="A175" s="94"/>
      <c r="B175" s="659" t="s">
        <v>357</v>
      </c>
      <c r="C175" s="707"/>
      <c r="D175" s="707"/>
      <c r="E175" s="708"/>
      <c r="F175" s="333">
        <f>1.82*X2</f>
        <v>2347.8000000000002</v>
      </c>
      <c r="G175" s="235">
        <f t="shared" ref="G175:G178" si="408">+F175*$X$1</f>
        <v>2347.8000000000002</v>
      </c>
      <c r="H175" s="406">
        <f t="shared" si="392"/>
        <v>2947.8</v>
      </c>
      <c r="I175" s="257">
        <f t="shared" si="393"/>
        <v>2947.8</v>
      </c>
      <c r="J175" s="68">
        <f t="shared" si="394"/>
        <v>2547.8000000000002</v>
      </c>
      <c r="K175" s="257">
        <f t="shared" si="395"/>
        <v>2547.8000000000002</v>
      </c>
      <c r="L175" s="534">
        <f t="shared" si="396"/>
        <v>2497.8000000000002</v>
      </c>
      <c r="M175" s="257">
        <f t="shared" si="397"/>
        <v>2497.8000000000002</v>
      </c>
      <c r="N175" s="534">
        <f t="shared" si="398"/>
        <v>2457.8000000000002</v>
      </c>
      <c r="O175" s="257">
        <f t="shared" si="399"/>
        <v>2457.8000000000002</v>
      </c>
      <c r="P175" s="534">
        <f t="shared" si="400"/>
        <v>2447.8000000000002</v>
      </c>
      <c r="Q175" s="257">
        <f t="shared" si="401"/>
        <v>2447.8000000000002</v>
      </c>
      <c r="R175" s="534">
        <f t="shared" si="402"/>
        <v>2427.8000000000002</v>
      </c>
      <c r="S175" s="257">
        <f t="shared" si="403"/>
        <v>2427.8000000000002</v>
      </c>
      <c r="T175" s="534">
        <f t="shared" si="404"/>
        <v>2412.8000000000002</v>
      </c>
      <c r="U175" s="257">
        <f t="shared" si="405"/>
        <v>2412.8000000000002</v>
      </c>
      <c r="V175" s="534">
        <f t="shared" si="406"/>
        <v>2403.8000000000002</v>
      </c>
      <c r="W175" s="257">
        <f t="shared" si="407"/>
        <v>2403.8000000000002</v>
      </c>
      <c r="X175" s="718"/>
      <c r="Y175" s="735"/>
      <c r="Z175" s="735"/>
      <c r="AA175" s="736"/>
      <c r="AB175" s="178">
        <v>382</v>
      </c>
    </row>
    <row r="176" spans="1:38" ht="12.6" customHeight="1" x14ac:dyDescent="0.2">
      <c r="A176" s="94"/>
      <c r="B176" s="656" t="s">
        <v>867</v>
      </c>
      <c r="C176" s="669"/>
      <c r="D176" s="669"/>
      <c r="E176" s="670"/>
      <c r="F176" s="334">
        <f>29.5*X2</f>
        <v>38055</v>
      </c>
      <c r="G176" s="258">
        <f t="shared" si="408"/>
        <v>38055</v>
      </c>
      <c r="H176" s="406">
        <f t="shared" si="392"/>
        <v>38655</v>
      </c>
      <c r="I176" s="258">
        <f t="shared" si="393"/>
        <v>38655</v>
      </c>
      <c r="J176" s="82">
        <f t="shared" si="394"/>
        <v>38255</v>
      </c>
      <c r="K176" s="258">
        <f t="shared" si="395"/>
        <v>38255</v>
      </c>
      <c r="L176" s="406">
        <f t="shared" si="396"/>
        <v>38205</v>
      </c>
      <c r="M176" s="258">
        <f t="shared" si="397"/>
        <v>38205</v>
      </c>
      <c r="N176" s="406">
        <f t="shared" si="398"/>
        <v>38165</v>
      </c>
      <c r="O176" s="258">
        <f t="shared" si="399"/>
        <v>38165</v>
      </c>
      <c r="P176" s="406">
        <f t="shared" si="400"/>
        <v>38155</v>
      </c>
      <c r="Q176" s="258">
        <f t="shared" si="401"/>
        <v>38155</v>
      </c>
      <c r="R176" s="406">
        <f t="shared" si="402"/>
        <v>38135</v>
      </c>
      <c r="S176" s="258">
        <f t="shared" si="403"/>
        <v>38135</v>
      </c>
      <c r="T176" s="406">
        <f t="shared" si="404"/>
        <v>38120</v>
      </c>
      <c r="U176" s="258">
        <f t="shared" si="405"/>
        <v>38120</v>
      </c>
      <c r="V176" s="406">
        <f t="shared" si="406"/>
        <v>38111</v>
      </c>
      <c r="W176" s="258">
        <f t="shared" si="407"/>
        <v>38111</v>
      </c>
      <c r="X176" s="718"/>
      <c r="Y176" s="735"/>
      <c r="Z176" s="735"/>
      <c r="AA176" s="736"/>
      <c r="AB176" s="178">
        <v>384</v>
      </c>
    </row>
    <row r="177" spans="1:38" ht="12.6" customHeight="1" x14ac:dyDescent="0.2">
      <c r="A177" s="19"/>
      <c r="B177" s="659" t="s">
        <v>817</v>
      </c>
      <c r="C177" s="707"/>
      <c r="D177" s="707"/>
      <c r="E177" s="708"/>
      <c r="F177" s="333">
        <f>17.8*X2</f>
        <v>22962</v>
      </c>
      <c r="G177" s="235">
        <f t="shared" si="408"/>
        <v>22962</v>
      </c>
      <c r="H177" s="534">
        <f t="shared" si="392"/>
        <v>23562</v>
      </c>
      <c r="I177" s="257">
        <f t="shared" ref="I177:I181" si="409">+H177*$X$1</f>
        <v>23562</v>
      </c>
      <c r="J177" s="534">
        <f t="shared" si="394"/>
        <v>23162</v>
      </c>
      <c r="K177" s="257">
        <f t="shared" ref="K177:K181" si="410">+J177*$X$1</f>
        <v>23162</v>
      </c>
      <c r="L177" s="534">
        <f>F177+150</f>
        <v>23112</v>
      </c>
      <c r="M177" s="257">
        <f t="shared" ref="M177:M181" si="411">+L177*$X$1</f>
        <v>23112</v>
      </c>
      <c r="N177" s="534">
        <f>F177+100</f>
        <v>23062</v>
      </c>
      <c r="O177" s="257">
        <f>+N177*$X$1</f>
        <v>23062</v>
      </c>
      <c r="P177" s="534">
        <f>F177+90</f>
        <v>23052</v>
      </c>
      <c r="Q177" s="257">
        <f t="shared" ref="Q177:Q181" si="412">+P177*$X$1</f>
        <v>23052</v>
      </c>
      <c r="R177" s="534">
        <f>F177+70</f>
        <v>23032</v>
      </c>
      <c r="S177" s="257">
        <f>+R177*$X$1</f>
        <v>23032</v>
      </c>
      <c r="T177" s="534">
        <f>F177+56</f>
        <v>23018</v>
      </c>
      <c r="U177" s="257">
        <f t="shared" ref="U177:U185" si="413">+T177*$X$1</f>
        <v>23018</v>
      </c>
      <c r="V177" s="534">
        <f>F177+49</f>
        <v>23011</v>
      </c>
      <c r="W177" s="257">
        <f t="shared" ref="W177:W185" si="414">+V177*$X$1</f>
        <v>23011</v>
      </c>
      <c r="X177" s="718"/>
      <c r="Y177" s="735"/>
      <c r="Z177" s="735"/>
      <c r="AA177" s="736"/>
      <c r="AB177" s="178">
        <v>392</v>
      </c>
    </row>
    <row r="178" spans="1:38" ht="12.6" customHeight="1" x14ac:dyDescent="0.2">
      <c r="A178" s="19"/>
      <c r="B178" s="656" t="s">
        <v>879</v>
      </c>
      <c r="C178" s="669"/>
      <c r="D178" s="669"/>
      <c r="E178" s="670"/>
      <c r="F178" s="334">
        <f>50.44*X2</f>
        <v>65067.6</v>
      </c>
      <c r="G178" s="272">
        <f t="shared" si="408"/>
        <v>65067.6</v>
      </c>
      <c r="H178" s="406">
        <f t="shared" si="392"/>
        <v>65667.600000000006</v>
      </c>
      <c r="I178" s="258">
        <f t="shared" si="409"/>
        <v>65667.600000000006</v>
      </c>
      <c r="J178" s="82">
        <f t="shared" si="394"/>
        <v>65267.6</v>
      </c>
      <c r="K178" s="258">
        <f t="shared" si="410"/>
        <v>65267.6</v>
      </c>
      <c r="L178" s="406">
        <f t="shared" ref="L178:L181" si="415">F178+150</f>
        <v>65217.599999999999</v>
      </c>
      <c r="M178" s="258">
        <f t="shared" si="411"/>
        <v>65217.599999999999</v>
      </c>
      <c r="N178" s="406">
        <f t="shared" ref="N178:N181" si="416">F178+110</f>
        <v>65177.599999999999</v>
      </c>
      <c r="O178" s="258">
        <f t="shared" ref="O178:O181" si="417">+N178*$X$1</f>
        <v>65177.599999999999</v>
      </c>
      <c r="P178" s="406">
        <f t="shared" ref="P178:P181" si="418">F178+100</f>
        <v>65167.6</v>
      </c>
      <c r="Q178" s="258">
        <f t="shared" si="412"/>
        <v>65167.6</v>
      </c>
      <c r="R178" s="406">
        <f t="shared" ref="R178:R181" si="419">F178+80</f>
        <v>65147.6</v>
      </c>
      <c r="S178" s="258">
        <f t="shared" ref="S178:S181" si="420">+R178*$X$1</f>
        <v>65147.6</v>
      </c>
      <c r="T178" s="406">
        <f t="shared" ref="T178:T181" si="421">F178+65</f>
        <v>65132.6</v>
      </c>
      <c r="U178" s="258">
        <f t="shared" si="413"/>
        <v>65132.6</v>
      </c>
      <c r="V178" s="406">
        <f t="shared" ref="V178:V181" si="422">F178+56</f>
        <v>65123.6</v>
      </c>
      <c r="W178" s="258">
        <f t="shared" si="414"/>
        <v>65123.6</v>
      </c>
      <c r="X178" s="718"/>
      <c r="Y178" s="735"/>
      <c r="Z178" s="735"/>
      <c r="AA178" s="736"/>
      <c r="AB178" s="178">
        <v>393</v>
      </c>
    </row>
    <row r="179" spans="1:38" ht="12.6" customHeight="1" x14ac:dyDescent="0.2">
      <c r="A179" s="19"/>
      <c r="B179" s="659" t="s">
        <v>878</v>
      </c>
      <c r="C179" s="707"/>
      <c r="D179" s="707"/>
      <c r="E179" s="708"/>
      <c r="F179" s="333">
        <f>32.8*X2</f>
        <v>42311.999999999993</v>
      </c>
      <c r="G179" s="235">
        <f t="shared" ref="G179" si="423">+F179*$X$1</f>
        <v>42311.999999999993</v>
      </c>
      <c r="H179" s="406">
        <f t="shared" si="392"/>
        <v>42911.999999999993</v>
      </c>
      <c r="I179" s="257">
        <f t="shared" si="409"/>
        <v>42911.999999999993</v>
      </c>
      <c r="J179" s="68">
        <f t="shared" si="394"/>
        <v>42511.999999999993</v>
      </c>
      <c r="K179" s="257">
        <f t="shared" si="410"/>
        <v>42511.999999999993</v>
      </c>
      <c r="L179" s="534">
        <f t="shared" si="415"/>
        <v>42461.999999999993</v>
      </c>
      <c r="M179" s="257">
        <f t="shared" si="411"/>
        <v>42461.999999999993</v>
      </c>
      <c r="N179" s="534">
        <f t="shared" si="416"/>
        <v>42421.999999999993</v>
      </c>
      <c r="O179" s="257">
        <f t="shared" si="417"/>
        <v>42421.999999999993</v>
      </c>
      <c r="P179" s="534">
        <f t="shared" si="418"/>
        <v>42411.999999999993</v>
      </c>
      <c r="Q179" s="257">
        <f t="shared" si="412"/>
        <v>42411.999999999993</v>
      </c>
      <c r="R179" s="534">
        <f t="shared" si="419"/>
        <v>42391.999999999993</v>
      </c>
      <c r="S179" s="257">
        <f t="shared" si="420"/>
        <v>42391.999999999993</v>
      </c>
      <c r="T179" s="534">
        <f t="shared" si="421"/>
        <v>42376.999999999993</v>
      </c>
      <c r="U179" s="257">
        <f t="shared" si="413"/>
        <v>42376.999999999993</v>
      </c>
      <c r="V179" s="534">
        <f t="shared" si="422"/>
        <v>42367.999999999993</v>
      </c>
      <c r="W179" s="257">
        <f t="shared" si="414"/>
        <v>42367.999999999993</v>
      </c>
      <c r="X179" s="718"/>
      <c r="Y179" s="735"/>
      <c r="Z179" s="735"/>
      <c r="AA179" s="736"/>
      <c r="AB179" s="178">
        <v>394</v>
      </c>
    </row>
    <row r="180" spans="1:38" ht="12.6" customHeight="1" x14ac:dyDescent="0.2">
      <c r="A180" s="19"/>
      <c r="B180" s="656" t="s">
        <v>857</v>
      </c>
      <c r="C180" s="669"/>
      <c r="D180" s="669"/>
      <c r="E180" s="670"/>
      <c r="F180" s="334">
        <f>17.2*X2</f>
        <v>22188</v>
      </c>
      <c r="G180" s="272">
        <f t="shared" ref="G180:G182" si="424">+F180*$X$1</f>
        <v>22188</v>
      </c>
      <c r="H180" s="406">
        <f t="shared" si="392"/>
        <v>22788</v>
      </c>
      <c r="I180" s="258">
        <f t="shared" si="409"/>
        <v>22788</v>
      </c>
      <c r="J180" s="82">
        <f t="shared" si="394"/>
        <v>22388</v>
      </c>
      <c r="K180" s="258">
        <f t="shared" si="410"/>
        <v>22388</v>
      </c>
      <c r="L180" s="406">
        <f t="shared" si="415"/>
        <v>22338</v>
      </c>
      <c r="M180" s="258">
        <f t="shared" si="411"/>
        <v>22338</v>
      </c>
      <c r="N180" s="406">
        <f t="shared" si="416"/>
        <v>22298</v>
      </c>
      <c r="O180" s="258">
        <f t="shared" si="417"/>
        <v>22298</v>
      </c>
      <c r="P180" s="406">
        <f t="shared" si="418"/>
        <v>22288</v>
      </c>
      <c r="Q180" s="258">
        <f t="shared" si="412"/>
        <v>22288</v>
      </c>
      <c r="R180" s="406">
        <f t="shared" si="419"/>
        <v>22268</v>
      </c>
      <c r="S180" s="258">
        <f t="shared" si="420"/>
        <v>22268</v>
      </c>
      <c r="T180" s="406">
        <f t="shared" si="421"/>
        <v>22253</v>
      </c>
      <c r="U180" s="258">
        <f t="shared" si="413"/>
        <v>22253</v>
      </c>
      <c r="V180" s="406">
        <f t="shared" si="422"/>
        <v>22244</v>
      </c>
      <c r="W180" s="258">
        <f t="shared" si="414"/>
        <v>22244</v>
      </c>
      <c r="X180" s="718"/>
      <c r="Y180" s="735"/>
      <c r="Z180" s="735"/>
      <c r="AA180" s="736"/>
      <c r="AB180" s="178">
        <v>395</v>
      </c>
    </row>
    <row r="181" spans="1:38" ht="12.6" customHeight="1" x14ac:dyDescent="0.2">
      <c r="A181" s="19"/>
      <c r="B181" s="659" t="s">
        <v>891</v>
      </c>
      <c r="C181" s="707"/>
      <c r="D181" s="707"/>
      <c r="E181" s="708"/>
      <c r="F181" s="333">
        <f>21.95*X2</f>
        <v>28315.5</v>
      </c>
      <c r="G181" s="235">
        <f t="shared" ref="G181" si="425">+F181*$X$1</f>
        <v>28315.5</v>
      </c>
      <c r="H181" s="406">
        <f t="shared" si="392"/>
        <v>28915.5</v>
      </c>
      <c r="I181" s="257">
        <f t="shared" si="409"/>
        <v>28915.5</v>
      </c>
      <c r="J181" s="68">
        <f t="shared" si="394"/>
        <v>28515.5</v>
      </c>
      <c r="K181" s="257">
        <f t="shared" si="410"/>
        <v>28515.5</v>
      </c>
      <c r="L181" s="534">
        <f t="shared" si="415"/>
        <v>28465.5</v>
      </c>
      <c r="M181" s="257">
        <f t="shared" si="411"/>
        <v>28465.5</v>
      </c>
      <c r="N181" s="534">
        <f t="shared" si="416"/>
        <v>28425.5</v>
      </c>
      <c r="O181" s="257">
        <f t="shared" si="417"/>
        <v>28425.5</v>
      </c>
      <c r="P181" s="534">
        <f t="shared" si="418"/>
        <v>28415.5</v>
      </c>
      <c r="Q181" s="257">
        <f t="shared" si="412"/>
        <v>28415.5</v>
      </c>
      <c r="R181" s="534">
        <f t="shared" si="419"/>
        <v>28395.5</v>
      </c>
      <c r="S181" s="257">
        <f t="shared" si="420"/>
        <v>28395.5</v>
      </c>
      <c r="T181" s="534">
        <f t="shared" si="421"/>
        <v>28380.5</v>
      </c>
      <c r="U181" s="257">
        <f t="shared" si="413"/>
        <v>28380.5</v>
      </c>
      <c r="V181" s="534">
        <f t="shared" si="422"/>
        <v>28371.5</v>
      </c>
      <c r="W181" s="257">
        <f t="shared" si="414"/>
        <v>28371.5</v>
      </c>
      <c r="X181" s="718"/>
      <c r="Y181" s="735"/>
      <c r="Z181" s="735"/>
      <c r="AA181" s="736"/>
      <c r="AB181" s="178">
        <v>396</v>
      </c>
    </row>
    <row r="182" spans="1:38" ht="12.6" customHeight="1" x14ac:dyDescent="0.2">
      <c r="A182" s="19"/>
      <c r="B182" s="656" t="s">
        <v>855</v>
      </c>
      <c r="C182" s="669"/>
      <c r="D182" s="669"/>
      <c r="E182" s="670"/>
      <c r="F182" s="334">
        <f>19.4*X2</f>
        <v>25025.999999999996</v>
      </c>
      <c r="G182" s="272">
        <f t="shared" si="424"/>
        <v>25025.999999999996</v>
      </c>
      <c r="H182" s="406">
        <f t="shared" si="392"/>
        <v>25625.999999999996</v>
      </c>
      <c r="I182" s="258">
        <f t="shared" ref="I182:I184" si="426">+H182*$X$1</f>
        <v>25625.999999999996</v>
      </c>
      <c r="J182" s="406">
        <f t="shared" si="394"/>
        <v>25225.999999999996</v>
      </c>
      <c r="K182" s="258">
        <f t="shared" ref="K182:K184" si="427">+J182*$X$1</f>
        <v>25225.999999999996</v>
      </c>
      <c r="L182" s="406">
        <f>F182+150</f>
        <v>25175.999999999996</v>
      </c>
      <c r="M182" s="258">
        <f t="shared" ref="M182:M184" si="428">+L182*$X$1</f>
        <v>25175.999999999996</v>
      </c>
      <c r="N182" s="406">
        <f>F182+100</f>
        <v>25125.999999999996</v>
      </c>
      <c r="O182" s="258">
        <f>+N182*$X$1</f>
        <v>25125.999999999996</v>
      </c>
      <c r="P182" s="406">
        <f>F182+90</f>
        <v>25115.999999999996</v>
      </c>
      <c r="Q182" s="258">
        <f t="shared" ref="Q182:Q184" si="429">+P182*$X$1</f>
        <v>25115.999999999996</v>
      </c>
      <c r="R182" s="406">
        <f>F182+70</f>
        <v>25095.999999999996</v>
      </c>
      <c r="S182" s="258">
        <f>+R182*$X$1</f>
        <v>25095.999999999996</v>
      </c>
      <c r="T182" s="406">
        <f>F182+56</f>
        <v>25081.999999999996</v>
      </c>
      <c r="U182" s="258">
        <f t="shared" ref="U182:U184" si="430">+T182*$X$1</f>
        <v>25081.999999999996</v>
      </c>
      <c r="V182" s="406">
        <f>F182+49</f>
        <v>25074.999999999996</v>
      </c>
      <c r="W182" s="258">
        <f t="shared" ref="W182:W184" si="431">+V182*$X$1</f>
        <v>25074.999999999996</v>
      </c>
      <c r="X182" s="718"/>
      <c r="Y182" s="735"/>
      <c r="Z182" s="735"/>
      <c r="AA182" s="736"/>
      <c r="AB182" s="178">
        <v>397</v>
      </c>
    </row>
    <row r="183" spans="1:38" ht="12.6" customHeight="1" x14ac:dyDescent="0.2">
      <c r="A183" s="19"/>
      <c r="B183" s="659" t="s">
        <v>856</v>
      </c>
      <c r="C183" s="707"/>
      <c r="D183" s="707"/>
      <c r="E183" s="708"/>
      <c r="F183" s="333">
        <f>15.4*X2</f>
        <v>19866</v>
      </c>
      <c r="G183" s="235">
        <f t="shared" ref="G183:G185" si="432">+F183*$X$1</f>
        <v>19866</v>
      </c>
      <c r="H183" s="534">
        <f t="shared" si="392"/>
        <v>20466</v>
      </c>
      <c r="I183" s="257">
        <f t="shared" si="426"/>
        <v>20466</v>
      </c>
      <c r="J183" s="534">
        <f t="shared" si="394"/>
        <v>20066</v>
      </c>
      <c r="K183" s="257">
        <f t="shared" si="427"/>
        <v>20066</v>
      </c>
      <c r="L183" s="534">
        <f>F183+150</f>
        <v>20016</v>
      </c>
      <c r="M183" s="257">
        <f t="shared" si="428"/>
        <v>20016</v>
      </c>
      <c r="N183" s="534">
        <f>F183+100</f>
        <v>19966</v>
      </c>
      <c r="O183" s="257">
        <f>+N183*$X$1</f>
        <v>19966</v>
      </c>
      <c r="P183" s="534">
        <f>F183+90</f>
        <v>19956</v>
      </c>
      <c r="Q183" s="257">
        <f t="shared" si="429"/>
        <v>19956</v>
      </c>
      <c r="R183" s="534">
        <f>F183+70</f>
        <v>19936</v>
      </c>
      <c r="S183" s="257">
        <f>+R183*$X$1</f>
        <v>19936</v>
      </c>
      <c r="T183" s="534">
        <f>F183+56</f>
        <v>19922</v>
      </c>
      <c r="U183" s="257">
        <f t="shared" si="430"/>
        <v>19922</v>
      </c>
      <c r="V183" s="534">
        <f>F183+49</f>
        <v>19915</v>
      </c>
      <c r="W183" s="257">
        <f t="shared" si="431"/>
        <v>19915</v>
      </c>
      <c r="X183" s="718"/>
      <c r="Y183" s="735"/>
      <c r="Z183" s="735"/>
      <c r="AA183" s="736"/>
      <c r="AB183" s="178">
        <v>398</v>
      </c>
    </row>
    <row r="184" spans="1:38" s="1" customFormat="1" ht="12.6" customHeight="1" x14ac:dyDescent="0.2">
      <c r="A184" s="18"/>
      <c r="B184" s="656" t="s">
        <v>881</v>
      </c>
      <c r="C184" s="669"/>
      <c r="D184" s="669"/>
      <c r="E184" s="670"/>
      <c r="F184" s="503">
        <f>25.63*X2</f>
        <v>33062.699999999997</v>
      </c>
      <c r="G184" s="258">
        <f t="shared" si="432"/>
        <v>33062.699999999997</v>
      </c>
      <c r="H184" s="82">
        <f t="shared" si="392"/>
        <v>33662.699999999997</v>
      </c>
      <c r="I184" s="258">
        <f t="shared" si="426"/>
        <v>33662.699999999997</v>
      </c>
      <c r="J184" s="406">
        <f>F184+220</f>
        <v>33282.699999999997</v>
      </c>
      <c r="K184" s="258">
        <f t="shared" si="427"/>
        <v>33282.699999999997</v>
      </c>
      <c r="L184" s="406">
        <f>F184+170</f>
        <v>33232.699999999997</v>
      </c>
      <c r="M184" s="258">
        <f t="shared" si="428"/>
        <v>33232.699999999997</v>
      </c>
      <c r="N184" s="406">
        <f>F184+120</f>
        <v>33182.699999999997</v>
      </c>
      <c r="O184" s="258">
        <f t="shared" ref="O184" si="433">+N184*$X$1</f>
        <v>33182.699999999997</v>
      </c>
      <c r="P184" s="406">
        <f>F184+110</f>
        <v>33172.699999999997</v>
      </c>
      <c r="Q184" s="258">
        <f t="shared" si="429"/>
        <v>33172.699999999997</v>
      </c>
      <c r="R184" s="406">
        <f>F184+95</f>
        <v>33157.699999999997</v>
      </c>
      <c r="S184" s="258">
        <f t="shared" ref="S184" si="434">+R184*$X$1</f>
        <v>33157.699999999997</v>
      </c>
      <c r="T184" s="406">
        <f>F184+85</f>
        <v>33147.699999999997</v>
      </c>
      <c r="U184" s="258">
        <f t="shared" si="430"/>
        <v>33147.699999999997</v>
      </c>
      <c r="V184" s="406">
        <f>F184+76</f>
        <v>33138.699999999997</v>
      </c>
      <c r="W184" s="258">
        <f t="shared" si="431"/>
        <v>33138.699999999997</v>
      </c>
      <c r="X184" s="521"/>
      <c r="Y184" s="522"/>
      <c r="Z184" s="522"/>
      <c r="AA184" s="523"/>
      <c r="AB184" s="178">
        <v>399</v>
      </c>
      <c r="AC184" s="4"/>
      <c r="AD184" s="4"/>
      <c r="AE184" s="4"/>
      <c r="AF184" s="4"/>
      <c r="AG184" s="4"/>
      <c r="AH184" s="116"/>
      <c r="AI184" s="4"/>
      <c r="AJ184" s="4"/>
      <c r="AK184" s="4"/>
      <c r="AL184" s="4"/>
    </row>
    <row r="185" spans="1:38" ht="12.6" customHeight="1" x14ac:dyDescent="0.2">
      <c r="A185" s="19"/>
      <c r="B185" s="659" t="s">
        <v>880</v>
      </c>
      <c r="C185" s="707"/>
      <c r="D185" s="707"/>
      <c r="E185" s="708"/>
      <c r="F185" s="333">
        <f>28.77*X2</f>
        <v>37113.300000000003</v>
      </c>
      <c r="G185" s="235">
        <f t="shared" si="432"/>
        <v>37113.300000000003</v>
      </c>
      <c r="H185" s="534">
        <f t="shared" si="392"/>
        <v>37713.300000000003</v>
      </c>
      <c r="I185" s="257">
        <f t="shared" ref="I185:I188" si="435">+H185*$X$1</f>
        <v>37713.300000000003</v>
      </c>
      <c r="J185" s="68">
        <f t="shared" ref="J185:J190" si="436">F185+200</f>
        <v>37313.300000000003</v>
      </c>
      <c r="K185" s="257">
        <f t="shared" ref="K185:K188" si="437">+J185*$X$1</f>
        <v>37313.300000000003</v>
      </c>
      <c r="L185" s="534">
        <f t="shared" ref="L185" si="438">F185+150</f>
        <v>37263.300000000003</v>
      </c>
      <c r="M185" s="257">
        <f t="shared" ref="M185:M188" si="439">+L185*$X$1</f>
        <v>37263.300000000003</v>
      </c>
      <c r="N185" s="534">
        <f t="shared" ref="N185" si="440">F185+110</f>
        <v>37223.300000000003</v>
      </c>
      <c r="O185" s="257">
        <f t="shared" ref="O185" si="441">+N185*$X$1</f>
        <v>37223.300000000003</v>
      </c>
      <c r="P185" s="534">
        <f t="shared" ref="P185" si="442">F185+100</f>
        <v>37213.300000000003</v>
      </c>
      <c r="Q185" s="257">
        <f t="shared" ref="Q185:Q188" si="443">+P185*$X$1</f>
        <v>37213.300000000003</v>
      </c>
      <c r="R185" s="534">
        <f t="shared" ref="R185" si="444">F185+80</f>
        <v>37193.300000000003</v>
      </c>
      <c r="S185" s="257">
        <f t="shared" ref="S185" si="445">+R185*$X$1</f>
        <v>37193.300000000003</v>
      </c>
      <c r="T185" s="534">
        <f t="shared" ref="T185" si="446">F185+65</f>
        <v>37178.300000000003</v>
      </c>
      <c r="U185" s="257">
        <f t="shared" si="413"/>
        <v>37178.300000000003</v>
      </c>
      <c r="V185" s="534">
        <f t="shared" ref="V185" si="447">F185+56</f>
        <v>37169.300000000003</v>
      </c>
      <c r="W185" s="257">
        <f t="shared" si="414"/>
        <v>37169.300000000003</v>
      </c>
      <c r="X185" s="718"/>
      <c r="Y185" s="735"/>
      <c r="Z185" s="735"/>
      <c r="AA185" s="736"/>
      <c r="AB185" s="178">
        <v>402</v>
      </c>
    </row>
    <row r="186" spans="1:38" ht="12.6" customHeight="1" x14ac:dyDescent="0.2">
      <c r="A186" s="19"/>
      <c r="B186" s="662" t="s">
        <v>555</v>
      </c>
      <c r="C186" s="663"/>
      <c r="D186" s="663"/>
      <c r="E186" s="663"/>
      <c r="F186" s="334">
        <f>13.317*X2</f>
        <v>17178.93</v>
      </c>
      <c r="G186" s="272">
        <f t="shared" ref="G186" si="448">+F186*$X$1</f>
        <v>17178.93</v>
      </c>
      <c r="H186" s="406">
        <f t="shared" si="392"/>
        <v>17778.93</v>
      </c>
      <c r="I186" s="258">
        <f t="shared" ref="I186" si="449">+H186*$X$1</f>
        <v>17778.93</v>
      </c>
      <c r="J186" s="406">
        <f t="shared" si="436"/>
        <v>17378.93</v>
      </c>
      <c r="K186" s="258">
        <f t="shared" si="437"/>
        <v>17378.93</v>
      </c>
      <c r="L186" s="406">
        <f>F186+150</f>
        <v>17328.93</v>
      </c>
      <c r="M186" s="258">
        <f t="shared" ref="M186" si="450">+L186*$X$1</f>
        <v>17328.93</v>
      </c>
      <c r="N186" s="406">
        <f>F186+100</f>
        <v>17278.93</v>
      </c>
      <c r="O186" s="258">
        <f>+N186*$X$1</f>
        <v>17278.93</v>
      </c>
      <c r="P186" s="406">
        <f>F186+90</f>
        <v>17268.93</v>
      </c>
      <c r="Q186" s="258">
        <f t="shared" ref="Q186" si="451">+P186*$X$1</f>
        <v>17268.93</v>
      </c>
      <c r="R186" s="406">
        <f>F186+70</f>
        <v>17248.93</v>
      </c>
      <c r="S186" s="258">
        <f>+R186*$X$1</f>
        <v>17248.93</v>
      </c>
      <c r="T186" s="406">
        <f>F186+56</f>
        <v>17234.93</v>
      </c>
      <c r="U186" s="258">
        <f t="shared" ref="U186" si="452">+T186*$X$1</f>
        <v>17234.93</v>
      </c>
      <c r="V186" s="406">
        <f>F186+49</f>
        <v>17227.93</v>
      </c>
      <c r="W186" s="258">
        <f t="shared" ref="W186" si="453">+V186*$X$1</f>
        <v>17227.93</v>
      </c>
      <c r="X186" s="680"/>
      <c r="Y186" s="849"/>
      <c r="Z186" s="849"/>
      <c r="AA186" s="681"/>
      <c r="AB186" s="178" t="s">
        <v>556</v>
      </c>
    </row>
    <row r="187" spans="1:38" ht="12.6" customHeight="1" x14ac:dyDescent="0.2">
      <c r="A187" s="19"/>
      <c r="B187" s="710" t="s">
        <v>564</v>
      </c>
      <c r="C187" s="794"/>
      <c r="D187" s="794"/>
      <c r="E187" s="794"/>
      <c r="F187" s="333">
        <f>17.78*X2</f>
        <v>22936.2</v>
      </c>
      <c r="G187" s="235">
        <f t="shared" ref="G187" si="454">+F187*$X$1</f>
        <v>22936.2</v>
      </c>
      <c r="H187" s="534">
        <f t="shared" si="392"/>
        <v>23536.2</v>
      </c>
      <c r="I187" s="257">
        <f t="shared" si="435"/>
        <v>23536.2</v>
      </c>
      <c r="J187" s="534">
        <f t="shared" si="436"/>
        <v>23136.2</v>
      </c>
      <c r="K187" s="257">
        <f t="shared" si="437"/>
        <v>23136.2</v>
      </c>
      <c r="L187" s="534">
        <f>F187+150</f>
        <v>23086.2</v>
      </c>
      <c r="M187" s="257">
        <f t="shared" si="439"/>
        <v>23086.2</v>
      </c>
      <c r="N187" s="534">
        <f>F187+100</f>
        <v>23036.2</v>
      </c>
      <c r="O187" s="257">
        <f>+N187*$X$1</f>
        <v>23036.2</v>
      </c>
      <c r="P187" s="534">
        <f>F187+90</f>
        <v>23026.2</v>
      </c>
      <c r="Q187" s="257">
        <f t="shared" si="443"/>
        <v>23026.2</v>
      </c>
      <c r="R187" s="534">
        <f>F187+70</f>
        <v>23006.2</v>
      </c>
      <c r="S187" s="257">
        <f>+R187*$X$1</f>
        <v>23006.2</v>
      </c>
      <c r="T187" s="534">
        <f>F187+56</f>
        <v>22992.2</v>
      </c>
      <c r="U187" s="257">
        <f t="shared" ref="U187:U188" si="455">+T187*$X$1</f>
        <v>22992.2</v>
      </c>
      <c r="V187" s="534">
        <f>F187+49</f>
        <v>22985.200000000001</v>
      </c>
      <c r="W187" s="257">
        <f t="shared" ref="W187:W188" si="456">+V187*$X$1</f>
        <v>22985.200000000001</v>
      </c>
      <c r="X187" s="166"/>
      <c r="Y187" s="168"/>
      <c r="Z187" s="168"/>
      <c r="AA187" s="166"/>
      <c r="AB187" s="178" t="s">
        <v>563</v>
      </c>
    </row>
    <row r="188" spans="1:38" ht="12.6" customHeight="1" x14ac:dyDescent="0.2">
      <c r="A188" s="19"/>
      <c r="B188" s="662" t="s">
        <v>558</v>
      </c>
      <c r="C188" s="663"/>
      <c r="D188" s="663"/>
      <c r="E188" s="663"/>
      <c r="F188" s="334">
        <f>12.84*X2</f>
        <v>16563.599999999999</v>
      </c>
      <c r="G188" s="272">
        <f t="shared" ref="G188" si="457">+F188*$X$1</f>
        <v>16563.599999999999</v>
      </c>
      <c r="H188" s="406">
        <f t="shared" si="392"/>
        <v>17163.599999999999</v>
      </c>
      <c r="I188" s="258">
        <f t="shared" si="435"/>
        <v>17163.599999999999</v>
      </c>
      <c r="J188" s="82">
        <f t="shared" si="436"/>
        <v>16763.599999999999</v>
      </c>
      <c r="K188" s="258">
        <f t="shared" si="437"/>
        <v>16763.599999999999</v>
      </c>
      <c r="L188" s="406">
        <f t="shared" ref="L188" si="458">F188+150</f>
        <v>16713.599999999999</v>
      </c>
      <c r="M188" s="258">
        <f t="shared" si="439"/>
        <v>16713.599999999999</v>
      </c>
      <c r="N188" s="406">
        <f t="shared" ref="N188" si="459">F188+110</f>
        <v>16673.599999999999</v>
      </c>
      <c r="O188" s="258">
        <f t="shared" ref="O188" si="460">+N188*$X$1</f>
        <v>16673.599999999999</v>
      </c>
      <c r="P188" s="406">
        <f t="shared" ref="P188" si="461">F188+100</f>
        <v>16663.599999999999</v>
      </c>
      <c r="Q188" s="258">
        <f t="shared" si="443"/>
        <v>16663.599999999999</v>
      </c>
      <c r="R188" s="406">
        <f t="shared" ref="R188" si="462">F188+80</f>
        <v>16643.599999999999</v>
      </c>
      <c r="S188" s="258">
        <f t="shared" ref="S188" si="463">+R188*$X$1</f>
        <v>16643.599999999999</v>
      </c>
      <c r="T188" s="406">
        <f t="shared" ref="T188" si="464">F188+65</f>
        <v>16628.599999999999</v>
      </c>
      <c r="U188" s="258">
        <f t="shared" si="455"/>
        <v>16628.599999999999</v>
      </c>
      <c r="V188" s="406">
        <f t="shared" ref="V188" si="465">F188+56</f>
        <v>16619.599999999999</v>
      </c>
      <c r="W188" s="258">
        <f t="shared" si="456"/>
        <v>16619.599999999999</v>
      </c>
      <c r="X188" s="718"/>
      <c r="Y188" s="735"/>
      <c r="Z188" s="735"/>
      <c r="AA188" s="736"/>
      <c r="AB188" s="178" t="s">
        <v>557</v>
      </c>
    </row>
    <row r="189" spans="1:38" ht="12.6" customHeight="1" x14ac:dyDescent="0.2">
      <c r="A189" s="19"/>
      <c r="B189" s="710" t="s">
        <v>318</v>
      </c>
      <c r="C189" s="794"/>
      <c r="D189" s="794"/>
      <c r="E189" s="794"/>
      <c r="F189" s="333">
        <f>15.93*X2</f>
        <v>20549.7</v>
      </c>
      <c r="G189" s="235">
        <f t="shared" ref="G189:G190" si="466">+F189*$X$1</f>
        <v>20549.7</v>
      </c>
      <c r="H189" s="534"/>
      <c r="I189" s="257"/>
      <c r="J189" s="68">
        <f t="shared" si="436"/>
        <v>20749.7</v>
      </c>
      <c r="K189" s="257">
        <f t="shared" ref="K189" si="467">+J189*$X$1</f>
        <v>20749.7</v>
      </c>
      <c r="L189" s="534">
        <f t="shared" ref="L189" si="468">F189+150</f>
        <v>20699.7</v>
      </c>
      <c r="M189" s="257">
        <f t="shared" ref="M189" si="469">+L189*$X$1</f>
        <v>20699.7</v>
      </c>
      <c r="N189" s="534">
        <f t="shared" ref="N189" si="470">F189+110</f>
        <v>20659.7</v>
      </c>
      <c r="O189" s="257">
        <f t="shared" ref="O189" si="471">+N189*$X$1</f>
        <v>20659.7</v>
      </c>
      <c r="P189" s="534">
        <f t="shared" ref="P189" si="472">F189+100</f>
        <v>20649.7</v>
      </c>
      <c r="Q189" s="257">
        <f t="shared" ref="Q189" si="473">+P189*$X$1</f>
        <v>20649.7</v>
      </c>
      <c r="R189" s="534">
        <f t="shared" ref="R189" si="474">F189+80</f>
        <v>20629.7</v>
      </c>
      <c r="S189" s="257">
        <f t="shared" ref="S189" si="475">+R189*$X$1</f>
        <v>20629.7</v>
      </c>
      <c r="T189" s="534">
        <f t="shared" ref="T189" si="476">F189+65</f>
        <v>20614.7</v>
      </c>
      <c r="U189" s="257">
        <f t="shared" ref="U189" si="477">+T189*$X$1</f>
        <v>20614.7</v>
      </c>
      <c r="V189" s="68"/>
      <c r="W189" s="68"/>
      <c r="X189" s="718"/>
      <c r="Y189" s="735"/>
      <c r="Z189" s="735"/>
      <c r="AA189" s="736"/>
      <c r="AB189" s="178">
        <v>405</v>
      </c>
    </row>
    <row r="190" spans="1:38" ht="12.6" customHeight="1" x14ac:dyDescent="0.2">
      <c r="A190" s="19"/>
      <c r="B190" s="662" t="s">
        <v>562</v>
      </c>
      <c r="C190" s="663"/>
      <c r="D190" s="663"/>
      <c r="E190" s="663"/>
      <c r="F190" s="334">
        <f>15.6*X2</f>
        <v>20124</v>
      </c>
      <c r="G190" s="272">
        <f t="shared" si="466"/>
        <v>20124</v>
      </c>
      <c r="H190" s="406">
        <f>F190+600</f>
        <v>20724</v>
      </c>
      <c r="I190" s="258">
        <f t="shared" ref="I190:I191" si="478">+H190*$X$1</f>
        <v>20724</v>
      </c>
      <c r="J190" s="406">
        <f t="shared" si="436"/>
        <v>20324</v>
      </c>
      <c r="K190" s="258">
        <f t="shared" ref="K190:K191" si="479">+J190*$X$1</f>
        <v>20324</v>
      </c>
      <c r="L190" s="406">
        <f>F190+150</f>
        <v>20274</v>
      </c>
      <c r="M190" s="258">
        <f t="shared" ref="M190:M191" si="480">+L190*$X$1</f>
        <v>20274</v>
      </c>
      <c r="N190" s="406">
        <f>F190+100</f>
        <v>20224</v>
      </c>
      <c r="O190" s="258">
        <f>+N190*$X$1</f>
        <v>20224</v>
      </c>
      <c r="P190" s="406">
        <f>F190+90</f>
        <v>20214</v>
      </c>
      <c r="Q190" s="258">
        <f t="shared" ref="Q190:Q191" si="481">+P190*$X$1</f>
        <v>20214</v>
      </c>
      <c r="R190" s="406">
        <f>F190+70</f>
        <v>20194</v>
      </c>
      <c r="S190" s="258">
        <f>+R190*$X$1</f>
        <v>20194</v>
      </c>
      <c r="T190" s="406">
        <f>F190+56</f>
        <v>20180</v>
      </c>
      <c r="U190" s="258">
        <f t="shared" ref="U190:U191" si="482">+T190*$X$1</f>
        <v>20180</v>
      </c>
      <c r="V190" s="406">
        <f>F190+49</f>
        <v>20173</v>
      </c>
      <c r="W190" s="258">
        <f t="shared" ref="W190:W191" si="483">+V190*$X$1</f>
        <v>20173</v>
      </c>
      <c r="X190" s="680"/>
      <c r="Y190" s="849"/>
      <c r="Z190" s="849"/>
      <c r="AA190" s="681"/>
      <c r="AB190" s="178" t="s">
        <v>561</v>
      </c>
    </row>
    <row r="191" spans="1:38" ht="12.6" customHeight="1" x14ac:dyDescent="0.2">
      <c r="A191" s="19"/>
      <c r="B191" s="654" t="s">
        <v>560</v>
      </c>
      <c r="C191" s="655"/>
      <c r="D191" s="655"/>
      <c r="E191" s="655"/>
      <c r="F191" s="333">
        <f>16.54*X2</f>
        <v>21336.6</v>
      </c>
      <c r="G191" s="235">
        <f t="shared" ref="G191" si="484">+F191*$X$1</f>
        <v>21336.6</v>
      </c>
      <c r="H191" s="68">
        <f>F191+600</f>
        <v>21936.6</v>
      </c>
      <c r="I191" s="257">
        <f t="shared" si="478"/>
        <v>21936.6</v>
      </c>
      <c r="J191" s="534">
        <f>F191+220</f>
        <v>21556.6</v>
      </c>
      <c r="K191" s="257">
        <f t="shared" si="479"/>
        <v>21556.6</v>
      </c>
      <c r="L191" s="534">
        <f>F191+170</f>
        <v>21506.6</v>
      </c>
      <c r="M191" s="257">
        <f t="shared" si="480"/>
        <v>21506.6</v>
      </c>
      <c r="N191" s="534">
        <f>F191+120</f>
        <v>21456.6</v>
      </c>
      <c r="O191" s="257">
        <f t="shared" ref="O191" si="485">+N191*$X$1</f>
        <v>21456.6</v>
      </c>
      <c r="P191" s="534">
        <f>F191+110</f>
        <v>21446.6</v>
      </c>
      <c r="Q191" s="257">
        <f t="shared" si="481"/>
        <v>21446.6</v>
      </c>
      <c r="R191" s="534">
        <f>F191+95</f>
        <v>21431.599999999999</v>
      </c>
      <c r="S191" s="257">
        <f t="shared" ref="S191" si="486">+R191*$X$1</f>
        <v>21431.599999999999</v>
      </c>
      <c r="T191" s="534">
        <f>F191+85</f>
        <v>21421.599999999999</v>
      </c>
      <c r="U191" s="257">
        <f t="shared" si="482"/>
        <v>21421.599999999999</v>
      </c>
      <c r="V191" s="534">
        <f>F191+76</f>
        <v>21412.6</v>
      </c>
      <c r="W191" s="257">
        <f t="shared" si="483"/>
        <v>21412.6</v>
      </c>
      <c r="X191" s="718"/>
      <c r="Y191" s="735"/>
      <c r="Z191" s="735"/>
      <c r="AA191" s="736"/>
      <c r="AB191" s="178" t="s">
        <v>559</v>
      </c>
    </row>
    <row r="192" spans="1:38" ht="12.6" customHeight="1" x14ac:dyDescent="0.2">
      <c r="A192" s="23"/>
      <c r="B192" s="712" t="s">
        <v>581</v>
      </c>
      <c r="C192" s="797"/>
      <c r="D192" s="797"/>
      <c r="E192" s="797"/>
      <c r="F192" s="283">
        <v>180</v>
      </c>
      <c r="G192" s="443"/>
      <c r="H192" s="326"/>
      <c r="I192" s="1146" t="s">
        <v>532</v>
      </c>
      <c r="J192" s="1147"/>
      <c r="K192" s="1147"/>
      <c r="L192" s="1147"/>
      <c r="M192" s="1148"/>
      <c r="N192" s="406">
        <f>F192+220</f>
        <v>400</v>
      </c>
      <c r="O192" s="258">
        <f t="shared" ref="O192" si="487">+N192*$X$1</f>
        <v>400</v>
      </c>
      <c r="P192" s="406">
        <f>F192+200</f>
        <v>380</v>
      </c>
      <c r="Q192" s="258">
        <f t="shared" ref="Q192" si="488">+P192*$X$1</f>
        <v>380</v>
      </c>
      <c r="R192" s="406">
        <f>F192+170</f>
        <v>350</v>
      </c>
      <c r="S192" s="258">
        <f t="shared" ref="S192" si="489">+R192*$X$1</f>
        <v>350</v>
      </c>
      <c r="T192" s="406">
        <f>F192+155</f>
        <v>335</v>
      </c>
      <c r="U192" s="258">
        <f t="shared" ref="U192" si="490">+T192*$X$1</f>
        <v>335</v>
      </c>
      <c r="V192" s="406">
        <f>F192+140</f>
        <v>320</v>
      </c>
      <c r="W192" s="258">
        <f t="shared" ref="W192" si="491">+V192*$X$1</f>
        <v>320</v>
      </c>
      <c r="X192" s="145"/>
      <c r="Y192" s="135"/>
      <c r="Z192" s="135"/>
      <c r="AA192" s="135"/>
      <c r="AB192" s="178">
        <v>415</v>
      </c>
    </row>
    <row r="193" spans="1:38" ht="12.6" customHeight="1" x14ac:dyDescent="0.2">
      <c r="A193" s="23"/>
      <c r="B193" s="654" t="s">
        <v>480</v>
      </c>
      <c r="C193" s="655"/>
      <c r="D193" s="655"/>
      <c r="E193" s="655"/>
      <c r="F193" s="273">
        <v>200</v>
      </c>
      <c r="G193" s="235"/>
      <c r="H193" s="327"/>
      <c r="I193" s="1149"/>
      <c r="J193" s="1149"/>
      <c r="K193" s="1149"/>
      <c r="L193" s="1149"/>
      <c r="M193" s="1150"/>
      <c r="N193" s="534">
        <f>F193+220</f>
        <v>420</v>
      </c>
      <c r="O193" s="257">
        <f t="shared" ref="O193:O196" si="492">+N193*$X$1</f>
        <v>420</v>
      </c>
      <c r="P193" s="534">
        <f>F193+200</f>
        <v>400</v>
      </c>
      <c r="Q193" s="257">
        <f t="shared" ref="Q193:Q196" si="493">+P193*$X$1</f>
        <v>400</v>
      </c>
      <c r="R193" s="534">
        <f>F193+170</f>
        <v>370</v>
      </c>
      <c r="S193" s="257">
        <f t="shared" ref="S193:S196" si="494">+R193*$X$1</f>
        <v>370</v>
      </c>
      <c r="T193" s="534">
        <f>F193+155</f>
        <v>355</v>
      </c>
      <c r="U193" s="257">
        <f t="shared" ref="U193:U196" si="495">+T193*$X$1</f>
        <v>355</v>
      </c>
      <c r="V193" s="534">
        <f>F193+140</f>
        <v>340</v>
      </c>
      <c r="W193" s="257">
        <f t="shared" ref="W193:W196" si="496">+V193*$X$1</f>
        <v>340</v>
      </c>
      <c r="X193" s="145"/>
      <c r="Y193" s="135"/>
      <c r="Z193" s="135"/>
      <c r="AA193" s="135"/>
      <c r="AB193" s="178">
        <v>416</v>
      </c>
    </row>
    <row r="194" spans="1:38" ht="12.6" customHeight="1" x14ac:dyDescent="0.2">
      <c r="A194" s="23"/>
      <c r="B194" s="645" t="s">
        <v>481</v>
      </c>
      <c r="C194" s="646"/>
      <c r="D194" s="646"/>
      <c r="E194" s="646"/>
      <c r="F194" s="283">
        <v>193</v>
      </c>
      <c r="G194" s="272"/>
      <c r="H194" s="327"/>
      <c r="I194" s="1149"/>
      <c r="J194" s="1149"/>
      <c r="K194" s="1149"/>
      <c r="L194" s="1149"/>
      <c r="M194" s="1150"/>
      <c r="N194" s="406">
        <f>F194+220</f>
        <v>413</v>
      </c>
      <c r="O194" s="258">
        <f t="shared" si="492"/>
        <v>413</v>
      </c>
      <c r="P194" s="406">
        <f>F194+200</f>
        <v>393</v>
      </c>
      <c r="Q194" s="258">
        <f t="shared" si="493"/>
        <v>393</v>
      </c>
      <c r="R194" s="406">
        <f>F194+170</f>
        <v>363</v>
      </c>
      <c r="S194" s="258">
        <f t="shared" si="494"/>
        <v>363</v>
      </c>
      <c r="T194" s="406">
        <f>F194+155</f>
        <v>348</v>
      </c>
      <c r="U194" s="258">
        <f t="shared" si="495"/>
        <v>348</v>
      </c>
      <c r="V194" s="406">
        <f>F194+140</f>
        <v>333</v>
      </c>
      <c r="W194" s="258">
        <f t="shared" si="496"/>
        <v>333</v>
      </c>
      <c r="X194" s="145"/>
      <c r="Y194" s="135"/>
      <c r="Z194" s="135"/>
      <c r="AA194" s="135"/>
      <c r="AB194" s="178">
        <v>417</v>
      </c>
    </row>
    <row r="195" spans="1:38" ht="12.6" customHeight="1" x14ac:dyDescent="0.2">
      <c r="A195" s="23"/>
      <c r="B195" s="654" t="s">
        <v>482</v>
      </c>
      <c r="C195" s="655"/>
      <c r="D195" s="655"/>
      <c r="E195" s="655"/>
      <c r="F195" s="273">
        <v>193</v>
      </c>
      <c r="G195" s="235"/>
      <c r="H195" s="328"/>
      <c r="I195" s="1151"/>
      <c r="J195" s="1151"/>
      <c r="K195" s="1151"/>
      <c r="L195" s="1151"/>
      <c r="M195" s="1152"/>
      <c r="N195" s="534">
        <f>F195+220</f>
        <v>413</v>
      </c>
      <c r="O195" s="257">
        <f t="shared" si="492"/>
        <v>413</v>
      </c>
      <c r="P195" s="534">
        <f>F195+200</f>
        <v>393</v>
      </c>
      <c r="Q195" s="257">
        <f t="shared" si="493"/>
        <v>393</v>
      </c>
      <c r="R195" s="534">
        <f>F195+170</f>
        <v>363</v>
      </c>
      <c r="S195" s="257">
        <f t="shared" si="494"/>
        <v>363</v>
      </c>
      <c r="T195" s="534">
        <f>F195+155</f>
        <v>348</v>
      </c>
      <c r="U195" s="257">
        <f t="shared" si="495"/>
        <v>348</v>
      </c>
      <c r="V195" s="534">
        <f>F195+140</f>
        <v>333</v>
      </c>
      <c r="W195" s="257">
        <f t="shared" si="496"/>
        <v>333</v>
      </c>
      <c r="X195" s="145"/>
      <c r="Y195" s="135"/>
      <c r="Z195" s="135"/>
      <c r="AA195" s="135"/>
      <c r="AB195" s="178">
        <v>418</v>
      </c>
    </row>
    <row r="196" spans="1:38" ht="12.6" customHeight="1" x14ac:dyDescent="0.2">
      <c r="A196" s="23"/>
      <c r="B196" s="645" t="s">
        <v>173</v>
      </c>
      <c r="C196" s="646"/>
      <c r="D196" s="646"/>
      <c r="E196" s="646"/>
      <c r="F196" s="336">
        <v>896</v>
      </c>
      <c r="G196" s="283">
        <f t="shared" ref="G196:G209" si="497">+F196*$X$1</f>
        <v>896</v>
      </c>
      <c r="H196" s="256"/>
      <c r="I196" s="310"/>
      <c r="J196" s="108"/>
      <c r="K196" s="442"/>
      <c r="L196" s="406">
        <f>F196+170</f>
        <v>1066</v>
      </c>
      <c r="M196" s="258">
        <f t="shared" ref="M196" si="498">+L196*$X$1</f>
        <v>1066</v>
      </c>
      <c r="N196" s="406">
        <f>F196+120</f>
        <v>1016</v>
      </c>
      <c r="O196" s="258">
        <f t="shared" si="492"/>
        <v>1016</v>
      </c>
      <c r="P196" s="406">
        <f>F196+110</f>
        <v>1006</v>
      </c>
      <c r="Q196" s="258">
        <f t="shared" si="493"/>
        <v>1006</v>
      </c>
      <c r="R196" s="406">
        <f>F196+95</f>
        <v>991</v>
      </c>
      <c r="S196" s="258">
        <f t="shared" si="494"/>
        <v>991</v>
      </c>
      <c r="T196" s="406">
        <f>F196+85</f>
        <v>981</v>
      </c>
      <c r="U196" s="258">
        <f t="shared" si="495"/>
        <v>981</v>
      </c>
      <c r="V196" s="406">
        <f>F196+76</f>
        <v>972</v>
      </c>
      <c r="W196" s="258">
        <f t="shared" si="496"/>
        <v>972</v>
      </c>
      <c r="X196" s="858"/>
      <c r="Y196" s="859"/>
      <c r="Z196" s="859"/>
      <c r="AA196" s="860"/>
      <c r="AB196" s="365">
        <v>421</v>
      </c>
    </row>
    <row r="197" spans="1:38" ht="12.6" customHeight="1" x14ac:dyDescent="0.2">
      <c r="A197" s="23"/>
      <c r="B197" s="654" t="s">
        <v>537</v>
      </c>
      <c r="C197" s="655"/>
      <c r="D197" s="655"/>
      <c r="E197" s="655"/>
      <c r="F197" s="337">
        <v>813</v>
      </c>
      <c r="G197" s="273">
        <f t="shared" si="497"/>
        <v>813</v>
      </c>
      <c r="H197" s="970" t="s">
        <v>567</v>
      </c>
      <c r="I197" s="971"/>
      <c r="J197" s="971"/>
      <c r="K197" s="972"/>
      <c r="L197" s="534">
        <f>F197+220</f>
        <v>1033</v>
      </c>
      <c r="M197" s="257">
        <f t="shared" ref="M197" si="499">+L197*$X$1</f>
        <v>1033</v>
      </c>
      <c r="N197" s="534">
        <f>F197+150</f>
        <v>963</v>
      </c>
      <c r="O197" s="257">
        <f t="shared" ref="O197" si="500">+N197*$X$1</f>
        <v>963</v>
      </c>
      <c r="P197" s="534">
        <f>F197+130</f>
        <v>943</v>
      </c>
      <c r="Q197" s="257">
        <f t="shared" ref="Q197" si="501">+P197*$X$1</f>
        <v>943</v>
      </c>
      <c r="R197" s="534">
        <f>F197+115</f>
        <v>928</v>
      </c>
      <c r="S197" s="257">
        <f t="shared" ref="S197" si="502">+R197*$X$1</f>
        <v>928</v>
      </c>
      <c r="T197" s="93">
        <f>F197+108</f>
        <v>921</v>
      </c>
      <c r="U197" s="235">
        <f t="shared" ref="U197" si="503">+T197*$X$1</f>
        <v>921</v>
      </c>
      <c r="V197" s="534">
        <f>F197+101</f>
        <v>914</v>
      </c>
      <c r="W197" s="257">
        <f t="shared" ref="W197" si="504">+V197*$X$1</f>
        <v>914</v>
      </c>
      <c r="X197" s="858"/>
      <c r="Y197" s="859"/>
      <c r="Z197" s="859"/>
      <c r="AA197" s="860"/>
      <c r="AB197" s="365" t="s">
        <v>657</v>
      </c>
    </row>
    <row r="198" spans="1:38" ht="12.6" customHeight="1" x14ac:dyDescent="0.2">
      <c r="A198" s="23"/>
      <c r="B198" s="645" t="s">
        <v>534</v>
      </c>
      <c r="C198" s="646"/>
      <c r="D198" s="646"/>
      <c r="E198" s="646"/>
      <c r="F198" s="336">
        <v>813</v>
      </c>
      <c r="G198" s="283">
        <f t="shared" si="497"/>
        <v>813</v>
      </c>
      <c r="H198" s="973"/>
      <c r="I198" s="974"/>
      <c r="J198" s="974"/>
      <c r="K198" s="975"/>
      <c r="L198" s="406">
        <f t="shared" ref="L198:L201" si="505">F198+220</f>
        <v>1033</v>
      </c>
      <c r="M198" s="258">
        <f t="shared" ref="M198:M200" si="506">+L198*$X$1</f>
        <v>1033</v>
      </c>
      <c r="N198" s="534">
        <f t="shared" ref="N198:N201" si="507">F198+150</f>
        <v>963</v>
      </c>
      <c r="O198" s="258">
        <f t="shared" ref="O198:O200" si="508">+N198*$X$1</f>
        <v>963</v>
      </c>
      <c r="P198" s="406">
        <f t="shared" ref="P198:P201" si="509">F198+130</f>
        <v>943</v>
      </c>
      <c r="Q198" s="258">
        <f t="shared" ref="Q198:Q201" si="510">+P198*$X$1</f>
        <v>943</v>
      </c>
      <c r="R198" s="534">
        <f t="shared" ref="R198:R201" si="511">F198+115</f>
        <v>928</v>
      </c>
      <c r="S198" s="258">
        <f t="shared" ref="S198:S200" si="512">+R198*$X$1</f>
        <v>928</v>
      </c>
      <c r="T198" s="93">
        <f t="shared" ref="T198:T201" si="513">F198+108</f>
        <v>921</v>
      </c>
      <c r="U198" s="272">
        <f t="shared" ref="U198:U200" si="514">+T198*$X$1</f>
        <v>921</v>
      </c>
      <c r="V198" s="534">
        <f t="shared" ref="V198:V201" si="515">F198+101</f>
        <v>914</v>
      </c>
      <c r="W198" s="258">
        <f t="shared" ref="W198:W200" si="516">+V198*$X$1</f>
        <v>914</v>
      </c>
      <c r="X198" s="858"/>
      <c r="Y198" s="859"/>
      <c r="Z198" s="859"/>
      <c r="AA198" s="860"/>
      <c r="AB198" s="365" t="s">
        <v>652</v>
      </c>
    </row>
    <row r="199" spans="1:38" ht="12.6" customHeight="1" x14ac:dyDescent="0.2">
      <c r="A199" s="23"/>
      <c r="B199" s="654" t="s">
        <v>533</v>
      </c>
      <c r="C199" s="655"/>
      <c r="D199" s="655"/>
      <c r="E199" s="655"/>
      <c r="F199" s="337">
        <v>813</v>
      </c>
      <c r="G199" s="273">
        <f t="shared" si="497"/>
        <v>813</v>
      </c>
      <c r="H199" s="973"/>
      <c r="I199" s="974"/>
      <c r="J199" s="974"/>
      <c r="K199" s="975"/>
      <c r="L199" s="534">
        <f t="shared" si="505"/>
        <v>1033</v>
      </c>
      <c r="M199" s="257">
        <f t="shared" si="506"/>
        <v>1033</v>
      </c>
      <c r="N199" s="534">
        <f t="shared" si="507"/>
        <v>963</v>
      </c>
      <c r="O199" s="257">
        <f t="shared" si="508"/>
        <v>963</v>
      </c>
      <c r="P199" s="534">
        <f t="shared" si="509"/>
        <v>943</v>
      </c>
      <c r="Q199" s="257">
        <f t="shared" si="510"/>
        <v>943</v>
      </c>
      <c r="R199" s="534">
        <f t="shared" si="511"/>
        <v>928</v>
      </c>
      <c r="S199" s="257">
        <f t="shared" si="512"/>
        <v>928</v>
      </c>
      <c r="T199" s="93">
        <f t="shared" si="513"/>
        <v>921</v>
      </c>
      <c r="U199" s="235">
        <f t="shared" si="514"/>
        <v>921</v>
      </c>
      <c r="V199" s="534">
        <f t="shared" si="515"/>
        <v>914</v>
      </c>
      <c r="W199" s="257">
        <f t="shared" si="516"/>
        <v>914</v>
      </c>
      <c r="X199" s="858"/>
      <c r="Y199" s="859"/>
      <c r="Z199" s="859"/>
      <c r="AA199" s="860"/>
      <c r="AB199" s="365" t="s">
        <v>654</v>
      </c>
    </row>
    <row r="200" spans="1:38" ht="12.6" customHeight="1" x14ac:dyDescent="0.2">
      <c r="A200" s="23"/>
      <c r="B200" s="645" t="s">
        <v>536</v>
      </c>
      <c r="C200" s="646"/>
      <c r="D200" s="646"/>
      <c r="E200" s="646"/>
      <c r="F200" s="336">
        <v>813</v>
      </c>
      <c r="G200" s="283">
        <f t="shared" si="497"/>
        <v>813</v>
      </c>
      <c r="H200" s="973"/>
      <c r="I200" s="974"/>
      <c r="J200" s="974"/>
      <c r="K200" s="975"/>
      <c r="L200" s="406">
        <f t="shared" si="505"/>
        <v>1033</v>
      </c>
      <c r="M200" s="258">
        <f t="shared" si="506"/>
        <v>1033</v>
      </c>
      <c r="N200" s="534">
        <f t="shared" si="507"/>
        <v>963</v>
      </c>
      <c r="O200" s="258">
        <f t="shared" si="508"/>
        <v>963</v>
      </c>
      <c r="P200" s="406">
        <f t="shared" si="509"/>
        <v>943</v>
      </c>
      <c r="Q200" s="258">
        <f t="shared" si="510"/>
        <v>943</v>
      </c>
      <c r="R200" s="534">
        <f t="shared" si="511"/>
        <v>928</v>
      </c>
      <c r="S200" s="258">
        <f t="shared" si="512"/>
        <v>928</v>
      </c>
      <c r="T200" s="93">
        <f t="shared" si="513"/>
        <v>921</v>
      </c>
      <c r="U200" s="272">
        <f t="shared" si="514"/>
        <v>921</v>
      </c>
      <c r="V200" s="534">
        <f t="shared" si="515"/>
        <v>914</v>
      </c>
      <c r="W200" s="258">
        <f t="shared" si="516"/>
        <v>914</v>
      </c>
      <c r="X200" s="948"/>
      <c r="Y200" s="949"/>
      <c r="Z200" s="949"/>
      <c r="AA200" s="950"/>
      <c r="AB200" s="365" t="s">
        <v>653</v>
      </c>
    </row>
    <row r="201" spans="1:38" ht="12.6" customHeight="1" x14ac:dyDescent="0.2">
      <c r="A201" s="23"/>
      <c r="B201" s="654" t="s">
        <v>656</v>
      </c>
      <c r="C201" s="655"/>
      <c r="D201" s="655"/>
      <c r="E201" s="655"/>
      <c r="F201" s="337">
        <v>890</v>
      </c>
      <c r="G201" s="273">
        <f t="shared" ref="G201" si="517">+F201*$X$1</f>
        <v>890</v>
      </c>
      <c r="H201" s="973"/>
      <c r="I201" s="974"/>
      <c r="J201" s="974"/>
      <c r="K201" s="975"/>
      <c r="L201" s="534">
        <f t="shared" si="505"/>
        <v>1110</v>
      </c>
      <c r="M201" s="257">
        <f t="shared" ref="M201" si="518">+L201*$X$1</f>
        <v>1110</v>
      </c>
      <c r="N201" s="534">
        <f t="shared" si="507"/>
        <v>1040</v>
      </c>
      <c r="O201" s="257">
        <f t="shared" ref="O201" si="519">+N201*$X$1</f>
        <v>1040</v>
      </c>
      <c r="P201" s="534">
        <f t="shared" si="509"/>
        <v>1020</v>
      </c>
      <c r="Q201" s="257">
        <f t="shared" si="510"/>
        <v>1020</v>
      </c>
      <c r="R201" s="534">
        <f t="shared" si="511"/>
        <v>1005</v>
      </c>
      <c r="S201" s="257">
        <f t="shared" ref="S201" si="520">+R201*$X$1</f>
        <v>1005</v>
      </c>
      <c r="T201" s="93">
        <f t="shared" si="513"/>
        <v>998</v>
      </c>
      <c r="U201" s="235">
        <f t="shared" ref="U201" si="521">+T201*$X$1</f>
        <v>998</v>
      </c>
      <c r="V201" s="534">
        <f t="shared" si="515"/>
        <v>991</v>
      </c>
      <c r="W201" s="257">
        <f t="shared" ref="W201" si="522">+V201*$X$1</f>
        <v>991</v>
      </c>
      <c r="X201" s="858"/>
      <c r="Y201" s="859"/>
      <c r="Z201" s="859"/>
      <c r="AA201" s="860"/>
      <c r="AB201" s="365" t="s">
        <v>655</v>
      </c>
    </row>
    <row r="202" spans="1:38" ht="12.6" customHeight="1" x14ac:dyDescent="0.2">
      <c r="A202" s="23"/>
      <c r="B202" s="645" t="s">
        <v>535</v>
      </c>
      <c r="C202" s="646"/>
      <c r="D202" s="646"/>
      <c r="E202" s="646"/>
      <c r="F202" s="336">
        <v>906</v>
      </c>
      <c r="G202" s="283">
        <f t="shared" si="497"/>
        <v>906</v>
      </c>
      <c r="H202" s="976"/>
      <c r="I202" s="977"/>
      <c r="J202" s="977"/>
      <c r="K202" s="978"/>
      <c r="L202" s="406">
        <f>F202+250</f>
        <v>1156</v>
      </c>
      <c r="M202" s="258">
        <f t="shared" ref="M202:M206" si="523">+L202*$X$1</f>
        <v>1156</v>
      </c>
      <c r="N202" s="406">
        <f>F202+180</f>
        <v>1086</v>
      </c>
      <c r="O202" s="258">
        <f t="shared" ref="O202:O206" si="524">+N202*$X$1</f>
        <v>1086</v>
      </c>
      <c r="P202" s="406">
        <f>F202+160</f>
        <v>1066</v>
      </c>
      <c r="Q202" s="258">
        <f t="shared" ref="Q202:Q206" si="525">+P202*$X$1</f>
        <v>1066</v>
      </c>
      <c r="R202" s="406">
        <f>F202+145</f>
        <v>1051</v>
      </c>
      <c r="S202" s="258">
        <f t="shared" ref="S202:S206" si="526">+R202*$X$1</f>
        <v>1051</v>
      </c>
      <c r="T202" s="92">
        <f>F202+135</f>
        <v>1041</v>
      </c>
      <c r="U202" s="272">
        <f t="shared" ref="U202:U206" si="527">+T202*$X$1</f>
        <v>1041</v>
      </c>
      <c r="V202" s="406">
        <f>F202+130</f>
        <v>1036</v>
      </c>
      <c r="W202" s="258">
        <f t="shared" ref="W202:W206" si="528">+V202*$X$1</f>
        <v>1036</v>
      </c>
      <c r="X202" s="858"/>
      <c r="Y202" s="859"/>
      <c r="Z202" s="859"/>
      <c r="AA202" s="860"/>
      <c r="AB202" s="365" t="s">
        <v>651</v>
      </c>
    </row>
    <row r="203" spans="1:38" ht="12.6" customHeight="1" x14ac:dyDescent="0.2">
      <c r="A203" s="94"/>
      <c r="B203" s="737" t="s">
        <v>870</v>
      </c>
      <c r="C203" s="738"/>
      <c r="D203" s="738"/>
      <c r="E203" s="738"/>
      <c r="F203" s="441">
        <f>0.89*X2</f>
        <v>1148.0999999999999</v>
      </c>
      <c r="G203" s="567">
        <f t="shared" si="497"/>
        <v>1148.0999999999999</v>
      </c>
      <c r="H203" s="342"/>
      <c r="I203" s="294"/>
      <c r="J203" s="529"/>
      <c r="K203" s="294"/>
      <c r="L203" s="534">
        <f t="shared" ref="L203:L206" si="529">F203+150</f>
        <v>1298.0999999999999</v>
      </c>
      <c r="M203" s="257">
        <f t="shared" si="523"/>
        <v>1298.0999999999999</v>
      </c>
      <c r="N203" s="534">
        <f t="shared" ref="N203:N206" si="530">F203+110</f>
        <v>1258.0999999999999</v>
      </c>
      <c r="O203" s="257">
        <f t="shared" si="524"/>
        <v>1258.0999999999999</v>
      </c>
      <c r="P203" s="534">
        <f t="shared" ref="P203:P206" si="531">F203+100</f>
        <v>1248.0999999999999</v>
      </c>
      <c r="Q203" s="257">
        <f t="shared" si="525"/>
        <v>1248.0999999999999</v>
      </c>
      <c r="R203" s="534">
        <f t="shared" ref="R203:R206" si="532">F203+80</f>
        <v>1228.0999999999999</v>
      </c>
      <c r="S203" s="257">
        <f t="shared" si="526"/>
        <v>1228.0999999999999</v>
      </c>
      <c r="T203" s="534">
        <f t="shared" ref="T203:T206" si="533">F203+65</f>
        <v>1213.0999999999999</v>
      </c>
      <c r="U203" s="257">
        <f t="shared" si="527"/>
        <v>1213.0999999999999</v>
      </c>
      <c r="V203" s="534">
        <f t="shared" ref="V203:V206" si="534">F203+56</f>
        <v>1204.0999999999999</v>
      </c>
      <c r="W203" s="257">
        <f t="shared" si="528"/>
        <v>1204.0999999999999</v>
      </c>
      <c r="X203" s="135"/>
      <c r="Y203" s="144"/>
      <c r="Z203" s="135"/>
      <c r="AA203" s="135"/>
      <c r="AB203" s="178">
        <v>425</v>
      </c>
    </row>
    <row r="204" spans="1:38" ht="12.6" customHeight="1" x14ac:dyDescent="0.2">
      <c r="A204" s="94"/>
      <c r="B204" s="645" t="s">
        <v>775</v>
      </c>
      <c r="C204" s="709"/>
      <c r="D204" s="709"/>
      <c r="E204" s="709"/>
      <c r="F204" s="334">
        <f>0.64*X2</f>
        <v>825.6</v>
      </c>
      <c r="G204" s="258">
        <f t="shared" ref="G204" si="535">+F204*$X$1</f>
        <v>825.6</v>
      </c>
      <c r="H204" s="90"/>
      <c r="I204" s="293"/>
      <c r="J204" s="528"/>
      <c r="K204" s="293"/>
      <c r="L204" s="406">
        <f t="shared" si="529"/>
        <v>975.6</v>
      </c>
      <c r="M204" s="258">
        <f t="shared" si="523"/>
        <v>975.6</v>
      </c>
      <c r="N204" s="406">
        <f t="shared" si="530"/>
        <v>935.6</v>
      </c>
      <c r="O204" s="258">
        <f t="shared" si="524"/>
        <v>935.6</v>
      </c>
      <c r="P204" s="406">
        <f t="shared" si="531"/>
        <v>925.6</v>
      </c>
      <c r="Q204" s="258">
        <f t="shared" si="525"/>
        <v>925.6</v>
      </c>
      <c r="R204" s="406">
        <f t="shared" si="532"/>
        <v>905.6</v>
      </c>
      <c r="S204" s="258">
        <f t="shared" si="526"/>
        <v>905.6</v>
      </c>
      <c r="T204" s="406">
        <f t="shared" si="533"/>
        <v>890.6</v>
      </c>
      <c r="U204" s="258">
        <f t="shared" si="527"/>
        <v>890.6</v>
      </c>
      <c r="V204" s="406">
        <f t="shared" si="534"/>
        <v>881.6</v>
      </c>
      <c r="W204" s="258">
        <f t="shared" si="528"/>
        <v>881.6</v>
      </c>
      <c r="X204" s="135"/>
      <c r="Y204" s="144"/>
      <c r="Z204" s="135"/>
      <c r="AA204" s="135"/>
      <c r="AB204" s="178">
        <v>426</v>
      </c>
    </row>
    <row r="205" spans="1:38" ht="12.6" customHeight="1" x14ac:dyDescent="0.2">
      <c r="A205" s="94"/>
      <c r="B205" s="654" t="s">
        <v>450</v>
      </c>
      <c r="C205" s="655"/>
      <c r="D205" s="655"/>
      <c r="E205" s="655"/>
      <c r="F205" s="333">
        <f>0.63*X2</f>
        <v>812.7</v>
      </c>
      <c r="G205" s="257">
        <f t="shared" si="497"/>
        <v>812.7</v>
      </c>
      <c r="H205" s="342"/>
      <c r="I205" s="294"/>
      <c r="J205" s="529"/>
      <c r="K205" s="294"/>
      <c r="L205" s="534">
        <f t="shared" si="529"/>
        <v>962.7</v>
      </c>
      <c r="M205" s="257">
        <f t="shared" si="523"/>
        <v>962.7</v>
      </c>
      <c r="N205" s="534">
        <f t="shared" si="530"/>
        <v>922.7</v>
      </c>
      <c r="O205" s="257">
        <f t="shared" si="524"/>
        <v>922.7</v>
      </c>
      <c r="P205" s="534">
        <f t="shared" si="531"/>
        <v>912.7</v>
      </c>
      <c r="Q205" s="257">
        <f t="shared" si="525"/>
        <v>912.7</v>
      </c>
      <c r="R205" s="534">
        <f t="shared" si="532"/>
        <v>892.7</v>
      </c>
      <c r="S205" s="257">
        <f t="shared" si="526"/>
        <v>892.7</v>
      </c>
      <c r="T205" s="534">
        <f t="shared" si="533"/>
        <v>877.7</v>
      </c>
      <c r="U205" s="257">
        <f t="shared" si="527"/>
        <v>877.7</v>
      </c>
      <c r="V205" s="534">
        <f t="shared" si="534"/>
        <v>868.7</v>
      </c>
      <c r="W205" s="257">
        <f t="shared" si="528"/>
        <v>868.7</v>
      </c>
      <c r="X205" s="135"/>
      <c r="Y205" s="144"/>
      <c r="Z205" s="135"/>
      <c r="AA205" s="135"/>
      <c r="AB205" s="178" t="s">
        <v>499</v>
      </c>
    </row>
    <row r="206" spans="1:38" ht="12.6" customHeight="1" x14ac:dyDescent="0.2">
      <c r="A206" s="94"/>
      <c r="B206" s="776" t="s">
        <v>440</v>
      </c>
      <c r="C206" s="788"/>
      <c r="D206" s="788"/>
      <c r="E206" s="788"/>
      <c r="F206" s="473">
        <f>0.51*X2</f>
        <v>657.9</v>
      </c>
      <c r="G206" s="469">
        <f t="shared" ref="G206:G207" si="536">+F206*$X$1</f>
        <v>657.9</v>
      </c>
      <c r="H206" s="552"/>
      <c r="I206" s="589"/>
      <c r="J206" s="634"/>
      <c r="K206" s="589"/>
      <c r="L206" s="628">
        <f t="shared" si="529"/>
        <v>807.9</v>
      </c>
      <c r="M206" s="469">
        <f t="shared" si="523"/>
        <v>807.9</v>
      </c>
      <c r="N206" s="628">
        <f t="shared" si="530"/>
        <v>767.9</v>
      </c>
      <c r="O206" s="469">
        <f t="shared" si="524"/>
        <v>767.9</v>
      </c>
      <c r="P206" s="628">
        <f t="shared" si="531"/>
        <v>757.9</v>
      </c>
      <c r="Q206" s="469">
        <f t="shared" si="525"/>
        <v>757.9</v>
      </c>
      <c r="R206" s="628">
        <f t="shared" si="532"/>
        <v>737.9</v>
      </c>
      <c r="S206" s="469">
        <f t="shared" si="526"/>
        <v>737.9</v>
      </c>
      <c r="T206" s="628">
        <f t="shared" si="533"/>
        <v>722.9</v>
      </c>
      <c r="U206" s="469">
        <f t="shared" si="527"/>
        <v>722.9</v>
      </c>
      <c r="V206" s="628">
        <f t="shared" si="534"/>
        <v>713.9</v>
      </c>
      <c r="W206" s="469">
        <f t="shared" si="528"/>
        <v>713.9</v>
      </c>
      <c r="X206" s="135"/>
      <c r="Y206" s="144"/>
      <c r="Z206" s="135"/>
      <c r="AA206" s="135"/>
      <c r="AB206" s="178">
        <v>428</v>
      </c>
    </row>
    <row r="207" spans="1:38" s="1" customFormat="1" ht="12.6" customHeight="1" x14ac:dyDescent="0.2">
      <c r="A207" s="18"/>
      <c r="B207" s="696" t="s">
        <v>868</v>
      </c>
      <c r="C207" s="636"/>
      <c r="D207" s="636"/>
      <c r="E207" s="637"/>
      <c r="F207" s="465">
        <f>11.67*X2</f>
        <v>15054.3</v>
      </c>
      <c r="G207" s="257">
        <f t="shared" si="536"/>
        <v>15054.3</v>
      </c>
      <c r="H207" s="68">
        <f>F207+600</f>
        <v>15654.3</v>
      </c>
      <c r="I207" s="257">
        <f t="shared" ref="I207:I208" si="537">+H207*$X$1</f>
        <v>15654.3</v>
      </c>
      <c r="J207" s="534">
        <f>F207+220</f>
        <v>15274.3</v>
      </c>
      <c r="K207" s="257">
        <f t="shared" ref="K207:K208" si="538">+J207*$X$1</f>
        <v>15274.3</v>
      </c>
      <c r="L207" s="534">
        <f>F207+170</f>
        <v>15224.3</v>
      </c>
      <c r="M207" s="257">
        <f t="shared" ref="M207:M208" si="539">+L207*$X$1</f>
        <v>15224.3</v>
      </c>
      <c r="N207" s="534">
        <f>F207+120</f>
        <v>15174.3</v>
      </c>
      <c r="O207" s="257">
        <f t="shared" ref="O207" si="540">+N207*$X$1</f>
        <v>15174.3</v>
      </c>
      <c r="P207" s="534">
        <f>F207+110</f>
        <v>15164.3</v>
      </c>
      <c r="Q207" s="257">
        <f t="shared" ref="Q207:Q208" si="541">+P207*$X$1</f>
        <v>15164.3</v>
      </c>
      <c r="R207" s="534">
        <f>F207+95</f>
        <v>15149.3</v>
      </c>
      <c r="S207" s="257">
        <f t="shared" ref="S207" si="542">+R207*$X$1</f>
        <v>15149.3</v>
      </c>
      <c r="T207" s="534">
        <f>F207+85</f>
        <v>15139.3</v>
      </c>
      <c r="U207" s="257">
        <f t="shared" ref="U207:U208" si="543">+T207*$X$1</f>
        <v>15139.3</v>
      </c>
      <c r="V207" s="534">
        <f>F207+76</f>
        <v>15130.3</v>
      </c>
      <c r="W207" s="257">
        <f t="shared" ref="W207:W208" si="544">+V207*$X$1</f>
        <v>15130.3</v>
      </c>
      <c r="X207" s="512"/>
      <c r="Y207" s="513"/>
      <c r="Z207" s="513"/>
      <c r="AA207" s="514"/>
      <c r="AB207" s="178">
        <v>430</v>
      </c>
      <c r="AC207" s="4"/>
      <c r="AD207" s="4"/>
      <c r="AE207" s="4"/>
      <c r="AF207" s="4"/>
      <c r="AG207" s="4"/>
      <c r="AH207" s="116"/>
      <c r="AI207" s="4"/>
      <c r="AJ207" s="4"/>
      <c r="AK207" s="4"/>
      <c r="AL207" s="4"/>
    </row>
    <row r="208" spans="1:38" s="1" customFormat="1" ht="12.6" customHeight="1" x14ac:dyDescent="0.2">
      <c r="A208" s="18"/>
      <c r="B208" s="696" t="s">
        <v>869</v>
      </c>
      <c r="C208" s="636"/>
      <c r="D208" s="636"/>
      <c r="E208" s="637"/>
      <c r="F208" s="503">
        <f>12.7*X2</f>
        <v>16382.999999999998</v>
      </c>
      <c r="G208" s="258">
        <f t="shared" ref="G208" si="545">+F208*$X$1</f>
        <v>16382.999999999998</v>
      </c>
      <c r="H208" s="406">
        <f>F208+600</f>
        <v>16983</v>
      </c>
      <c r="I208" s="258">
        <f t="shared" si="537"/>
        <v>16983</v>
      </c>
      <c r="J208" s="406">
        <f>F208+200</f>
        <v>16583</v>
      </c>
      <c r="K208" s="258">
        <f t="shared" si="538"/>
        <v>16583</v>
      </c>
      <c r="L208" s="406">
        <f>F208+150</f>
        <v>16533</v>
      </c>
      <c r="M208" s="258">
        <f t="shared" si="539"/>
        <v>16533</v>
      </c>
      <c r="N208" s="406">
        <f>F208+100</f>
        <v>16483</v>
      </c>
      <c r="O208" s="258">
        <f>+N208*$X$1</f>
        <v>16483</v>
      </c>
      <c r="P208" s="406">
        <f>F208+90</f>
        <v>16473</v>
      </c>
      <c r="Q208" s="258">
        <f t="shared" si="541"/>
        <v>16473</v>
      </c>
      <c r="R208" s="406">
        <f>F208+70</f>
        <v>16453</v>
      </c>
      <c r="S208" s="258">
        <f>+R208*$X$1</f>
        <v>16453</v>
      </c>
      <c r="T208" s="406">
        <f>F208+56</f>
        <v>16439</v>
      </c>
      <c r="U208" s="258">
        <f t="shared" si="543"/>
        <v>16439</v>
      </c>
      <c r="V208" s="406">
        <f>F208+49</f>
        <v>16432</v>
      </c>
      <c r="W208" s="258">
        <f t="shared" si="544"/>
        <v>16432</v>
      </c>
      <c r="X208" s="518"/>
      <c r="Y208" s="520"/>
      <c r="Z208" s="520"/>
      <c r="AA208" s="519"/>
      <c r="AB208" s="178">
        <v>431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28" ht="12.6" customHeight="1" x14ac:dyDescent="0.2">
      <c r="A209" s="17"/>
      <c r="B209" s="654" t="s">
        <v>174</v>
      </c>
      <c r="C209" s="655"/>
      <c r="D209" s="655"/>
      <c r="E209" s="655"/>
      <c r="F209" s="333">
        <f>1.53*X2</f>
        <v>1973.7</v>
      </c>
      <c r="G209" s="257">
        <f t="shared" si="497"/>
        <v>1973.7</v>
      </c>
      <c r="H209" s="534">
        <f>F209+600</f>
        <v>2573.6999999999998</v>
      </c>
      <c r="I209" s="257">
        <f t="shared" ref="I209" si="546">+H209*$X$1</f>
        <v>2573.6999999999998</v>
      </c>
      <c r="J209" s="68">
        <f>F209+200</f>
        <v>2173.6999999999998</v>
      </c>
      <c r="K209" s="257">
        <f t="shared" ref="K209" si="547">+J209*$X$1</f>
        <v>2173.6999999999998</v>
      </c>
      <c r="L209" s="534">
        <f t="shared" ref="L209" si="548">F209+150</f>
        <v>2123.6999999999998</v>
      </c>
      <c r="M209" s="257">
        <f t="shared" ref="M209" si="549">+L209*$X$1</f>
        <v>2123.6999999999998</v>
      </c>
      <c r="N209" s="534">
        <f t="shared" ref="N209" si="550">F209+110</f>
        <v>2083.6999999999998</v>
      </c>
      <c r="O209" s="257">
        <f t="shared" ref="O209" si="551">+N209*$X$1</f>
        <v>2083.6999999999998</v>
      </c>
      <c r="P209" s="534">
        <f t="shared" ref="P209" si="552">F209+100</f>
        <v>2073.6999999999998</v>
      </c>
      <c r="Q209" s="257">
        <f t="shared" ref="Q209" si="553">+P209*$X$1</f>
        <v>2073.6999999999998</v>
      </c>
      <c r="R209" s="534">
        <f t="shared" ref="R209" si="554">F209+80</f>
        <v>2053.6999999999998</v>
      </c>
      <c r="S209" s="257">
        <f t="shared" ref="S209" si="555">+R209*$X$1</f>
        <v>2053.6999999999998</v>
      </c>
      <c r="T209" s="534">
        <f t="shared" ref="T209" si="556">F209+65</f>
        <v>2038.7</v>
      </c>
      <c r="U209" s="257">
        <f t="shared" ref="U209" si="557">+T209*$X$1</f>
        <v>2038.7</v>
      </c>
      <c r="V209" s="534">
        <f t="shared" ref="V209" si="558">F209+56</f>
        <v>2029.7</v>
      </c>
      <c r="W209" s="257">
        <f t="shared" ref="W209" si="559">+V209*$X$1</f>
        <v>2029.7</v>
      </c>
      <c r="X209" s="135"/>
      <c r="Y209" s="144"/>
      <c r="Z209" s="135"/>
      <c r="AA209" s="135"/>
      <c r="AB209" s="178">
        <v>442</v>
      </c>
    </row>
    <row r="210" spans="1:28" ht="12.6" customHeight="1" x14ac:dyDescent="0.2">
      <c r="A210" s="17"/>
      <c r="B210" s="645" t="s">
        <v>333</v>
      </c>
      <c r="C210" s="679"/>
      <c r="D210" s="679"/>
      <c r="E210" s="679"/>
      <c r="F210" s="334">
        <f>1.98*X2</f>
        <v>2554.1999999999998</v>
      </c>
      <c r="G210" s="444">
        <f t="shared" ref="G210:G212" si="560">+F210*$X$1</f>
        <v>2554.1999999999998</v>
      </c>
      <c r="H210" s="406"/>
      <c r="I210" s="258"/>
      <c r="J210" s="82">
        <f t="shared" ref="J210:J216" si="561">F210+200</f>
        <v>2754.2</v>
      </c>
      <c r="K210" s="258">
        <f t="shared" ref="K210" si="562">+J210*$X$1</f>
        <v>2754.2</v>
      </c>
      <c r="L210" s="406">
        <f t="shared" ref="L210" si="563">F210+150</f>
        <v>2704.2</v>
      </c>
      <c r="M210" s="258">
        <f t="shared" ref="M210" si="564">+L210*$X$1</f>
        <v>2704.2</v>
      </c>
      <c r="N210" s="406">
        <f t="shared" ref="N210" si="565">F210+110</f>
        <v>2664.2</v>
      </c>
      <c r="O210" s="258">
        <f t="shared" ref="O210" si="566">+N210*$X$1</f>
        <v>2664.2</v>
      </c>
      <c r="P210" s="406"/>
      <c r="Q210" s="258"/>
      <c r="R210" s="406"/>
      <c r="S210" s="258"/>
      <c r="T210" s="406"/>
      <c r="U210" s="258"/>
      <c r="V210" s="406"/>
      <c r="W210" s="258"/>
      <c r="X210" s="135"/>
      <c r="Y210" s="144"/>
      <c r="Z210" s="135"/>
      <c r="AA210" s="135"/>
      <c r="AB210" s="178">
        <v>465</v>
      </c>
    </row>
    <row r="211" spans="1:28" ht="12.6" customHeight="1" x14ac:dyDescent="0.2">
      <c r="A211" s="17"/>
      <c r="B211" s="654" t="s">
        <v>741</v>
      </c>
      <c r="C211" s="798"/>
      <c r="D211" s="798"/>
      <c r="E211" s="798"/>
      <c r="F211" s="333">
        <f>1.38*X2</f>
        <v>1780.1999999999998</v>
      </c>
      <c r="G211" s="302">
        <f t="shared" ref="G211" si="567">+F211*$X$1</f>
        <v>1780.1999999999998</v>
      </c>
      <c r="H211" s="534"/>
      <c r="I211" s="257"/>
      <c r="J211" s="68">
        <f t="shared" si="561"/>
        <v>1980.1999999999998</v>
      </c>
      <c r="K211" s="257">
        <f t="shared" ref="K211:K216" si="568">+J211*$X$1</f>
        <v>1980.1999999999998</v>
      </c>
      <c r="L211" s="534">
        <f t="shared" ref="L211:L216" si="569">F211+150</f>
        <v>1930.1999999999998</v>
      </c>
      <c r="M211" s="257">
        <f t="shared" ref="M211:M216" si="570">+L211*$X$1</f>
        <v>1930.1999999999998</v>
      </c>
      <c r="N211" s="534">
        <f t="shared" ref="N211:N216" si="571">F211+110</f>
        <v>1890.1999999999998</v>
      </c>
      <c r="O211" s="257">
        <f t="shared" ref="O211:O216" si="572">+N211*$X$1</f>
        <v>1890.1999999999998</v>
      </c>
      <c r="P211" s="534">
        <f t="shared" ref="P211:P216" si="573">F211+100</f>
        <v>1880.1999999999998</v>
      </c>
      <c r="Q211" s="257">
        <f t="shared" ref="Q211:Q216" si="574">+P211*$X$1</f>
        <v>1880.1999999999998</v>
      </c>
      <c r="R211" s="534">
        <f t="shared" ref="R211:R216" si="575">F211+80</f>
        <v>1860.1999999999998</v>
      </c>
      <c r="S211" s="257">
        <f t="shared" ref="S211:S216" si="576">+R211*$X$1</f>
        <v>1860.1999999999998</v>
      </c>
      <c r="T211" s="534">
        <f t="shared" ref="T211:T216" si="577">F211+65</f>
        <v>1845.1999999999998</v>
      </c>
      <c r="U211" s="257">
        <f t="shared" ref="U211:U216" si="578">+T211*$X$1</f>
        <v>1845.1999999999998</v>
      </c>
      <c r="V211" s="534">
        <f t="shared" ref="V211:V216" si="579">F211+56</f>
        <v>1836.1999999999998</v>
      </c>
      <c r="W211" s="257">
        <f t="shared" ref="W211:W216" si="580">+V211*$X$1</f>
        <v>1836.1999999999998</v>
      </c>
      <c r="X211" s="135"/>
      <c r="Y211" s="144"/>
      <c r="Z211" s="135"/>
      <c r="AA211" s="135"/>
      <c r="AB211" s="178">
        <v>466</v>
      </c>
    </row>
    <row r="212" spans="1:28" ht="12.6" customHeight="1" x14ac:dyDescent="0.2">
      <c r="A212" s="17"/>
      <c r="B212" s="712" t="s">
        <v>573</v>
      </c>
      <c r="C212" s="713"/>
      <c r="D212" s="713"/>
      <c r="E212" s="713"/>
      <c r="F212" s="336">
        <f>1*X2</f>
        <v>1290</v>
      </c>
      <c r="G212" s="303">
        <f t="shared" si="560"/>
        <v>1290</v>
      </c>
      <c r="H212" s="406"/>
      <c r="I212" s="258"/>
      <c r="J212" s="82">
        <f t="shared" si="561"/>
        <v>1490</v>
      </c>
      <c r="K212" s="258">
        <f t="shared" si="568"/>
        <v>1490</v>
      </c>
      <c r="L212" s="406">
        <f t="shared" si="569"/>
        <v>1440</v>
      </c>
      <c r="M212" s="258">
        <f t="shared" si="570"/>
        <v>1440</v>
      </c>
      <c r="N212" s="406">
        <f t="shared" si="571"/>
        <v>1400</v>
      </c>
      <c r="O212" s="258">
        <f t="shared" si="572"/>
        <v>1400</v>
      </c>
      <c r="P212" s="406">
        <f t="shared" si="573"/>
        <v>1390</v>
      </c>
      <c r="Q212" s="258">
        <f t="shared" si="574"/>
        <v>1390</v>
      </c>
      <c r="R212" s="406">
        <f t="shared" si="575"/>
        <v>1370</v>
      </c>
      <c r="S212" s="258">
        <f t="shared" si="576"/>
        <v>1370</v>
      </c>
      <c r="T212" s="406">
        <f t="shared" si="577"/>
        <v>1355</v>
      </c>
      <c r="U212" s="258">
        <f t="shared" si="578"/>
        <v>1355</v>
      </c>
      <c r="V212" s="406">
        <f t="shared" si="579"/>
        <v>1346</v>
      </c>
      <c r="W212" s="258">
        <f t="shared" si="580"/>
        <v>1346</v>
      </c>
      <c r="X212" s="135"/>
      <c r="Y212" s="135"/>
      <c r="Z212" s="135"/>
      <c r="AA212" s="135"/>
      <c r="AB212" s="178">
        <v>528</v>
      </c>
    </row>
    <row r="213" spans="1:28" ht="12.6" customHeight="1" x14ac:dyDescent="0.2">
      <c r="A213" s="17"/>
      <c r="B213" s="659" t="s">
        <v>334</v>
      </c>
      <c r="C213" s="822"/>
      <c r="D213" s="822"/>
      <c r="E213" s="823"/>
      <c r="F213" s="273">
        <v>4293</v>
      </c>
      <c r="G213" s="279">
        <f t="shared" ref="G213:G218" si="581">+F213*$X$1</f>
        <v>4293</v>
      </c>
      <c r="H213" s="534"/>
      <c r="I213" s="257"/>
      <c r="J213" s="68">
        <f t="shared" si="561"/>
        <v>4493</v>
      </c>
      <c r="K213" s="257">
        <f t="shared" si="568"/>
        <v>4493</v>
      </c>
      <c r="L213" s="534">
        <f t="shared" si="569"/>
        <v>4443</v>
      </c>
      <c r="M213" s="257">
        <f t="shared" si="570"/>
        <v>4443</v>
      </c>
      <c r="N213" s="534">
        <f t="shared" si="571"/>
        <v>4403</v>
      </c>
      <c r="O213" s="257">
        <f t="shared" si="572"/>
        <v>4403</v>
      </c>
      <c r="P213" s="534">
        <f t="shared" si="573"/>
        <v>4393</v>
      </c>
      <c r="Q213" s="257">
        <f t="shared" si="574"/>
        <v>4393</v>
      </c>
      <c r="R213" s="534">
        <f t="shared" si="575"/>
        <v>4373</v>
      </c>
      <c r="S213" s="257">
        <f t="shared" si="576"/>
        <v>4373</v>
      </c>
      <c r="T213" s="534">
        <f t="shared" si="577"/>
        <v>4358</v>
      </c>
      <c r="U213" s="257">
        <f t="shared" si="578"/>
        <v>4358</v>
      </c>
      <c r="V213" s="534">
        <f t="shared" si="579"/>
        <v>4349</v>
      </c>
      <c r="W213" s="257">
        <f t="shared" si="580"/>
        <v>4349</v>
      </c>
      <c r="X213" s="135"/>
      <c r="Y213" s="135"/>
      <c r="Z213" s="135"/>
      <c r="AA213" s="135"/>
      <c r="AB213" s="178"/>
    </row>
    <row r="214" spans="1:28" ht="12.6" customHeight="1" x14ac:dyDescent="0.2">
      <c r="A214" s="17"/>
      <c r="B214" s="696" t="s">
        <v>1026</v>
      </c>
      <c r="C214" s="636"/>
      <c r="D214" s="636"/>
      <c r="E214" s="637"/>
      <c r="F214" s="336">
        <f>1.09*X2</f>
        <v>1406.1000000000001</v>
      </c>
      <c r="G214" s="303">
        <f t="shared" si="581"/>
        <v>1406.1000000000001</v>
      </c>
      <c r="H214" s="576"/>
      <c r="I214" s="258"/>
      <c r="J214" s="82">
        <f>F214+220</f>
        <v>1626.1000000000001</v>
      </c>
      <c r="K214" s="258">
        <f t="shared" si="568"/>
        <v>1626.1000000000001</v>
      </c>
      <c r="L214" s="576">
        <f>F214+160</f>
        <v>1566.1000000000001</v>
      </c>
      <c r="M214" s="258">
        <f t="shared" si="570"/>
        <v>1566.1000000000001</v>
      </c>
      <c r="N214" s="576">
        <f>F214+120</f>
        <v>1526.1000000000001</v>
      </c>
      <c r="O214" s="258">
        <f t="shared" si="572"/>
        <v>1526.1000000000001</v>
      </c>
      <c r="P214" s="576">
        <f>F214+110</f>
        <v>1516.1000000000001</v>
      </c>
      <c r="Q214" s="258">
        <f t="shared" si="574"/>
        <v>1516.1000000000001</v>
      </c>
      <c r="R214" s="576">
        <f>F214+90</f>
        <v>1496.1000000000001</v>
      </c>
      <c r="S214" s="258">
        <f t="shared" si="576"/>
        <v>1496.1000000000001</v>
      </c>
      <c r="T214" s="576">
        <f>F214+80</f>
        <v>1486.1000000000001</v>
      </c>
      <c r="U214" s="258">
        <f t="shared" si="578"/>
        <v>1486.1000000000001</v>
      </c>
      <c r="V214" s="576">
        <f>F214+70</f>
        <v>1476.1000000000001</v>
      </c>
      <c r="W214" s="258">
        <f t="shared" si="580"/>
        <v>1476.1000000000001</v>
      </c>
      <c r="X214" s="135"/>
      <c r="Y214" s="135"/>
      <c r="Z214" s="135"/>
      <c r="AA214" s="135"/>
      <c r="AB214" s="178">
        <v>534</v>
      </c>
    </row>
    <row r="215" spans="1:28" ht="12.6" customHeight="1" x14ac:dyDescent="0.2">
      <c r="A215" s="17"/>
      <c r="B215" s="696" t="s">
        <v>964</v>
      </c>
      <c r="C215" s="636"/>
      <c r="D215" s="636"/>
      <c r="E215" s="637"/>
      <c r="F215" s="273">
        <v>140</v>
      </c>
      <c r="G215" s="279">
        <f t="shared" ref="G215" si="582">+F215*$X$1</f>
        <v>140</v>
      </c>
      <c r="H215" s="559"/>
      <c r="I215" s="257"/>
      <c r="J215" s="68"/>
      <c r="K215" s="257"/>
      <c r="L215" s="559"/>
      <c r="M215" s="257"/>
      <c r="N215" s="559">
        <f>F215+120</f>
        <v>260</v>
      </c>
      <c r="O215" s="257">
        <f t="shared" ref="O215" si="583">+N215*$X$1</f>
        <v>260</v>
      </c>
      <c r="P215" s="559">
        <f>F215+110</f>
        <v>250</v>
      </c>
      <c r="Q215" s="257">
        <f t="shared" ref="Q215" si="584">+P215*$X$1</f>
        <v>250</v>
      </c>
      <c r="R215" s="559">
        <f>F215+90</f>
        <v>230</v>
      </c>
      <c r="S215" s="257">
        <f t="shared" ref="S215" si="585">+R215*$X$1</f>
        <v>230</v>
      </c>
      <c r="T215" s="559">
        <f>F215+80</f>
        <v>220</v>
      </c>
      <c r="U215" s="257">
        <f t="shared" ref="U215" si="586">+T215*$X$1</f>
        <v>220</v>
      </c>
      <c r="V215" s="559">
        <f>F215+70</f>
        <v>210</v>
      </c>
      <c r="W215" s="257">
        <f t="shared" ref="W215" si="587">+V215*$X$1</f>
        <v>210</v>
      </c>
      <c r="X215" s="135"/>
      <c r="Y215" s="135"/>
      <c r="Z215" s="135"/>
      <c r="AA215" s="135"/>
      <c r="AB215" s="178">
        <v>537</v>
      </c>
    </row>
    <row r="216" spans="1:28" ht="12.6" customHeight="1" x14ac:dyDescent="0.2">
      <c r="A216" s="17"/>
      <c r="B216" s="656" t="s">
        <v>335</v>
      </c>
      <c r="C216" s="669"/>
      <c r="D216" s="669"/>
      <c r="E216" s="670"/>
      <c r="F216" s="283">
        <v>1333</v>
      </c>
      <c r="G216" s="278">
        <f t="shared" si="581"/>
        <v>1333</v>
      </c>
      <c r="H216" s="576"/>
      <c r="I216" s="258"/>
      <c r="J216" s="82">
        <f t="shared" si="561"/>
        <v>1533</v>
      </c>
      <c r="K216" s="258">
        <f t="shared" si="568"/>
        <v>1533</v>
      </c>
      <c r="L216" s="576">
        <f t="shared" si="569"/>
        <v>1483</v>
      </c>
      <c r="M216" s="258">
        <f t="shared" si="570"/>
        <v>1483</v>
      </c>
      <c r="N216" s="576">
        <f t="shared" si="571"/>
        <v>1443</v>
      </c>
      <c r="O216" s="258">
        <f t="shared" si="572"/>
        <v>1443</v>
      </c>
      <c r="P216" s="576">
        <f t="shared" si="573"/>
        <v>1433</v>
      </c>
      <c r="Q216" s="258">
        <f t="shared" si="574"/>
        <v>1433</v>
      </c>
      <c r="R216" s="576">
        <f t="shared" si="575"/>
        <v>1413</v>
      </c>
      <c r="S216" s="258">
        <f t="shared" si="576"/>
        <v>1413</v>
      </c>
      <c r="T216" s="576">
        <f t="shared" si="577"/>
        <v>1398</v>
      </c>
      <c r="U216" s="258">
        <f t="shared" si="578"/>
        <v>1398</v>
      </c>
      <c r="V216" s="576">
        <f t="shared" si="579"/>
        <v>1389</v>
      </c>
      <c r="W216" s="258">
        <f t="shared" si="580"/>
        <v>1389</v>
      </c>
      <c r="X216" s="135"/>
      <c r="Y216" s="135"/>
      <c r="Z216" s="135"/>
      <c r="AA216" s="135"/>
      <c r="AB216" s="178"/>
    </row>
    <row r="217" spans="1:28" ht="12.6" customHeight="1" x14ac:dyDescent="0.2">
      <c r="A217" s="17"/>
      <c r="B217" s="643" t="s">
        <v>175</v>
      </c>
      <c r="C217" s="714"/>
      <c r="D217" s="714"/>
      <c r="E217" s="714"/>
      <c r="F217" s="273">
        <v>210</v>
      </c>
      <c r="G217" s="311">
        <f>+F217*$X$1</f>
        <v>210</v>
      </c>
      <c r="H217" s="996" t="s">
        <v>326</v>
      </c>
      <c r="I217" s="996"/>
      <c r="J217" s="997"/>
      <c r="K217" s="997"/>
      <c r="L217" s="997"/>
      <c r="M217" s="998"/>
      <c r="N217" s="559">
        <f t="shared" ref="N217" si="588">F217+110</f>
        <v>320</v>
      </c>
      <c r="O217" s="257">
        <f t="shared" ref="O217" si="589">+N217*$X$1</f>
        <v>320</v>
      </c>
      <c r="P217" s="559">
        <f t="shared" ref="P217" si="590">F217+100</f>
        <v>310</v>
      </c>
      <c r="Q217" s="257">
        <f t="shared" ref="Q217" si="591">+P217*$X$1</f>
        <v>310</v>
      </c>
      <c r="R217" s="559">
        <f t="shared" ref="R217" si="592">F217+80</f>
        <v>290</v>
      </c>
      <c r="S217" s="257">
        <f t="shared" ref="S217" si="593">+R217*$X$1</f>
        <v>290</v>
      </c>
      <c r="T217" s="559">
        <f t="shared" ref="T217" si="594">F217+65</f>
        <v>275</v>
      </c>
      <c r="U217" s="257">
        <f t="shared" ref="U217" si="595">+T217*$X$1</f>
        <v>275</v>
      </c>
      <c r="V217" s="559">
        <f t="shared" ref="V217" si="596">F217+56</f>
        <v>266</v>
      </c>
      <c r="W217" s="257">
        <f t="shared" ref="W217" si="597">+V217*$X$1</f>
        <v>266</v>
      </c>
      <c r="X217" s="135"/>
      <c r="Y217" s="135"/>
      <c r="Z217" s="135"/>
      <c r="AA217" s="135"/>
      <c r="AB217" s="178">
        <v>539</v>
      </c>
    </row>
    <row r="218" spans="1:28" ht="12.6" customHeight="1" x14ac:dyDescent="0.2">
      <c r="A218" s="17"/>
      <c r="B218" s="712" t="s">
        <v>433</v>
      </c>
      <c r="C218" s="713"/>
      <c r="D218" s="713"/>
      <c r="E218" s="713"/>
      <c r="F218" s="283">
        <v>530</v>
      </c>
      <c r="G218" s="303">
        <f t="shared" si="581"/>
        <v>530</v>
      </c>
      <c r="H218" s="251"/>
      <c r="I218" s="251"/>
      <c r="J218" s="82"/>
      <c r="K218" s="258"/>
      <c r="L218" s="576"/>
      <c r="M218" s="258"/>
      <c r="N218" s="576"/>
      <c r="O218" s="258"/>
      <c r="P218" s="576"/>
      <c r="Q218" s="258"/>
      <c r="R218" s="576"/>
      <c r="S218" s="258"/>
      <c r="T218" s="576">
        <f t="shared" ref="T218:T219" si="598">F218+65</f>
        <v>595</v>
      </c>
      <c r="U218" s="258">
        <f t="shared" ref="U218:U220" si="599">+T218*$X$1</f>
        <v>595</v>
      </c>
      <c r="V218" s="576">
        <f t="shared" ref="V218:V219" si="600">F218+56</f>
        <v>586</v>
      </c>
      <c r="W218" s="258">
        <f t="shared" ref="W218:W220" si="601">+V218*$X$1</f>
        <v>586</v>
      </c>
      <c r="X218" s="135"/>
      <c r="Y218" s="135"/>
      <c r="Z218" s="135"/>
      <c r="AA218" s="135"/>
      <c r="AB218" s="178">
        <v>540</v>
      </c>
    </row>
    <row r="219" spans="1:28" ht="12.6" customHeight="1" x14ac:dyDescent="0.2">
      <c r="A219" s="17"/>
      <c r="B219" s="643" t="s">
        <v>435</v>
      </c>
      <c r="C219" s="644"/>
      <c r="D219" s="644"/>
      <c r="E219" s="644"/>
      <c r="F219" s="273">
        <v>902</v>
      </c>
      <c r="G219" s="274">
        <f t="shared" ref="G219" si="602">+F219*$X$1</f>
        <v>902</v>
      </c>
      <c r="H219" s="252"/>
      <c r="I219" s="252"/>
      <c r="J219" s="68"/>
      <c r="K219" s="257"/>
      <c r="L219" s="559"/>
      <c r="M219" s="257"/>
      <c r="N219" s="559"/>
      <c r="O219" s="257"/>
      <c r="P219" s="559"/>
      <c r="Q219" s="257"/>
      <c r="R219" s="559"/>
      <c r="S219" s="257"/>
      <c r="T219" s="559">
        <f t="shared" si="598"/>
        <v>967</v>
      </c>
      <c r="U219" s="257">
        <f t="shared" si="599"/>
        <v>967</v>
      </c>
      <c r="V219" s="559">
        <f t="shared" si="600"/>
        <v>958</v>
      </c>
      <c r="W219" s="257">
        <f t="shared" si="601"/>
        <v>958</v>
      </c>
      <c r="X219" s="135"/>
      <c r="Y219" s="135"/>
      <c r="Z219" s="135"/>
      <c r="AA219" s="135"/>
      <c r="AB219" s="178" t="s">
        <v>516</v>
      </c>
    </row>
    <row r="220" spans="1:28" ht="12.6" customHeight="1" x14ac:dyDescent="0.2">
      <c r="A220" s="17"/>
      <c r="B220" s="656" t="s">
        <v>388</v>
      </c>
      <c r="C220" s="669"/>
      <c r="D220" s="669"/>
      <c r="E220" s="670"/>
      <c r="F220" s="336">
        <f>18.74*X2</f>
        <v>24174.6</v>
      </c>
      <c r="G220" s="303">
        <f t="shared" ref="G220" si="603">+F220*$X$1</f>
        <v>24174.6</v>
      </c>
      <c r="H220" s="576">
        <f>F220+650</f>
        <v>24824.6</v>
      </c>
      <c r="I220" s="258">
        <f>+H220*$X$1</f>
        <v>24824.6</v>
      </c>
      <c r="J220" s="82">
        <f>F220+220</f>
        <v>24394.6</v>
      </c>
      <c r="K220" s="258">
        <f t="shared" ref="K220" si="604">+J220*$X$1</f>
        <v>24394.6</v>
      </c>
      <c r="L220" s="576">
        <f>F220+160</f>
        <v>24334.6</v>
      </c>
      <c r="M220" s="258">
        <f t="shared" ref="M220" si="605">+L220*$X$1</f>
        <v>24334.6</v>
      </c>
      <c r="N220" s="576">
        <f>F220+120</f>
        <v>24294.6</v>
      </c>
      <c r="O220" s="258">
        <f t="shared" ref="O220" si="606">+N220*$X$1</f>
        <v>24294.6</v>
      </c>
      <c r="P220" s="576">
        <f>F220+110</f>
        <v>24284.6</v>
      </c>
      <c r="Q220" s="258">
        <f t="shared" ref="Q220" si="607">+P220*$X$1</f>
        <v>24284.6</v>
      </c>
      <c r="R220" s="576">
        <f>F220+90</f>
        <v>24264.6</v>
      </c>
      <c r="S220" s="258">
        <f t="shared" ref="S220" si="608">+R220*$X$1</f>
        <v>24264.6</v>
      </c>
      <c r="T220" s="576">
        <f>F220+80</f>
        <v>24254.6</v>
      </c>
      <c r="U220" s="258">
        <f t="shared" si="599"/>
        <v>24254.6</v>
      </c>
      <c r="V220" s="576">
        <f>F220+70</f>
        <v>24244.6</v>
      </c>
      <c r="W220" s="258">
        <f t="shared" si="601"/>
        <v>24244.6</v>
      </c>
      <c r="X220" s="135"/>
      <c r="Y220" s="135"/>
      <c r="Z220" s="135"/>
      <c r="AA220" s="135"/>
      <c r="AB220" s="178">
        <v>542</v>
      </c>
    </row>
    <row r="221" spans="1:28" ht="12.6" customHeight="1" x14ac:dyDescent="0.2">
      <c r="A221" s="17"/>
      <c r="B221" s="654" t="s">
        <v>434</v>
      </c>
      <c r="C221" s="655"/>
      <c r="D221" s="655"/>
      <c r="E221" s="655"/>
      <c r="F221" s="257"/>
      <c r="G221" s="257"/>
      <c r="H221" s="559"/>
      <c r="I221" s="559"/>
      <c r="J221" s="559"/>
      <c r="K221" s="257"/>
      <c r="L221" s="559"/>
      <c r="M221" s="257"/>
      <c r="N221" s="559"/>
      <c r="O221" s="257"/>
      <c r="P221" s="559"/>
      <c r="Q221" s="257"/>
      <c r="R221" s="559"/>
      <c r="S221" s="257"/>
      <c r="T221" s="559"/>
      <c r="U221" s="257"/>
      <c r="V221" s="68"/>
      <c r="W221" s="308"/>
      <c r="X221" s="135"/>
      <c r="Y221" s="135"/>
      <c r="Z221" s="135"/>
      <c r="AA221" s="135"/>
      <c r="AB221" s="178">
        <v>544</v>
      </c>
    </row>
    <row r="222" spans="1:28" ht="12.6" customHeight="1" x14ac:dyDescent="0.2">
      <c r="A222" s="17"/>
      <c r="B222" s="712" t="s">
        <v>1001</v>
      </c>
      <c r="C222" s="1180"/>
      <c r="D222" s="1180"/>
      <c r="E222" s="1180"/>
      <c r="F222" s="283">
        <v>894</v>
      </c>
      <c r="G222" s="258">
        <f t="shared" ref="G222:G228" si="609">+F222*$X$1</f>
        <v>894</v>
      </c>
      <c r="H222" s="251"/>
      <c r="I222" s="251"/>
      <c r="J222" s="576"/>
      <c r="K222" s="258"/>
      <c r="L222" s="576"/>
      <c r="M222" s="258"/>
      <c r="N222" s="576">
        <f>F222+110</f>
        <v>1004</v>
      </c>
      <c r="O222" s="258">
        <f t="shared" ref="O222:O229" si="610">+N222*$X$1</f>
        <v>1004</v>
      </c>
      <c r="P222" s="576">
        <f>F222+130</f>
        <v>1024</v>
      </c>
      <c r="Q222" s="258">
        <f t="shared" ref="Q222" si="611">+P222*$X$1</f>
        <v>1024</v>
      </c>
      <c r="R222" s="576">
        <f>F222+110</f>
        <v>1004</v>
      </c>
      <c r="S222" s="258">
        <f t="shared" ref="S222" si="612">+R222*$X$1</f>
        <v>1004</v>
      </c>
      <c r="T222" s="576">
        <f>F222+90</f>
        <v>984</v>
      </c>
      <c r="U222" s="258">
        <f t="shared" ref="U222" si="613">+T222*$X$1</f>
        <v>984</v>
      </c>
      <c r="V222" s="576">
        <f>F222+75</f>
        <v>969</v>
      </c>
      <c r="W222" s="258">
        <f t="shared" ref="W222" si="614">+V222*$X$1</f>
        <v>969</v>
      </c>
      <c r="X222" s="119"/>
      <c r="Y222" s="119"/>
      <c r="Z222" s="119"/>
      <c r="AA222" s="119"/>
      <c r="AB222" s="178">
        <v>547</v>
      </c>
    </row>
    <row r="223" spans="1:28" ht="12.6" customHeight="1" x14ac:dyDescent="0.2">
      <c r="A223" s="17"/>
      <c r="B223" s="643" t="s">
        <v>1002</v>
      </c>
      <c r="C223" s="1195"/>
      <c r="D223" s="1195"/>
      <c r="E223" s="1195"/>
      <c r="F223" s="273">
        <v>2039</v>
      </c>
      <c r="G223" s="257">
        <f t="shared" ref="G223" si="615">+F223*$X$1</f>
        <v>2039</v>
      </c>
      <c r="H223" s="252"/>
      <c r="I223" s="252"/>
      <c r="J223" s="559"/>
      <c r="K223" s="257"/>
      <c r="L223" s="559"/>
      <c r="M223" s="257"/>
      <c r="N223" s="559">
        <f>F223+110</f>
        <v>2149</v>
      </c>
      <c r="O223" s="257">
        <f t="shared" ref="O223" si="616">+N223*$X$1</f>
        <v>2149</v>
      </c>
      <c r="P223" s="559">
        <f>F223+130</f>
        <v>2169</v>
      </c>
      <c r="Q223" s="257">
        <f t="shared" ref="Q223" si="617">+P223*$X$1</f>
        <v>2169</v>
      </c>
      <c r="R223" s="559">
        <f>F223+110</f>
        <v>2149</v>
      </c>
      <c r="S223" s="257">
        <f t="shared" ref="S223" si="618">+R223*$X$1</f>
        <v>2149</v>
      </c>
      <c r="T223" s="559">
        <f>F223+90</f>
        <v>2129</v>
      </c>
      <c r="U223" s="257">
        <f t="shared" ref="U223" si="619">+T223*$X$1</f>
        <v>2129</v>
      </c>
      <c r="V223" s="559">
        <f>F223+75</f>
        <v>2114</v>
      </c>
      <c r="W223" s="257">
        <f t="shared" ref="W223" si="620">+V223*$X$1</f>
        <v>2114</v>
      </c>
      <c r="X223" s="119"/>
      <c r="Y223" s="119"/>
      <c r="Z223" s="119"/>
      <c r="AA223" s="119"/>
      <c r="AB223" s="178" t="s">
        <v>1003</v>
      </c>
    </row>
    <row r="224" spans="1:28" ht="12.6" customHeight="1" x14ac:dyDescent="0.2">
      <c r="A224" s="17"/>
      <c r="B224" s="656" t="s">
        <v>336</v>
      </c>
      <c r="C224" s="1161"/>
      <c r="D224" s="1161"/>
      <c r="E224" s="1162"/>
      <c r="F224" s="258">
        <v>4195</v>
      </c>
      <c r="G224" s="258">
        <f t="shared" si="609"/>
        <v>4195</v>
      </c>
      <c r="H224" s="251"/>
      <c r="I224" s="251"/>
      <c r="J224" s="82">
        <f>F224+250</f>
        <v>4445</v>
      </c>
      <c r="K224" s="258">
        <f t="shared" ref="K224" si="621">+J224*$X$1</f>
        <v>4445</v>
      </c>
      <c r="L224" s="576">
        <f>F224+200</f>
        <v>4395</v>
      </c>
      <c r="M224" s="258">
        <f t="shared" ref="M224" si="622">+L224*$X$1</f>
        <v>4395</v>
      </c>
      <c r="N224" s="576">
        <f>F224+160</f>
        <v>4355</v>
      </c>
      <c r="O224" s="258">
        <f t="shared" ref="O224" si="623">+N224*$X$1</f>
        <v>4355</v>
      </c>
      <c r="P224" s="576">
        <f>F224+130</f>
        <v>4325</v>
      </c>
      <c r="Q224" s="258">
        <f t="shared" ref="Q224" si="624">+P224*$X$1</f>
        <v>4325</v>
      </c>
      <c r="R224" s="576">
        <f>F224+110</f>
        <v>4305</v>
      </c>
      <c r="S224" s="258">
        <f t="shared" ref="S224" si="625">+R224*$X$1</f>
        <v>4305</v>
      </c>
      <c r="T224" s="576">
        <f>F224+90</f>
        <v>4285</v>
      </c>
      <c r="U224" s="258">
        <f t="shared" ref="U224" si="626">+T224*$X$1</f>
        <v>4285</v>
      </c>
      <c r="V224" s="576">
        <f>F224+75</f>
        <v>4270</v>
      </c>
      <c r="W224" s="258">
        <f t="shared" ref="W224" si="627">+V224*$X$1</f>
        <v>4270</v>
      </c>
      <c r="X224" s="119"/>
      <c r="Y224" s="119"/>
      <c r="Z224" s="119"/>
      <c r="AA224" s="119"/>
      <c r="AB224" s="369"/>
    </row>
    <row r="225" spans="1:34" ht="12.6" customHeight="1" x14ac:dyDescent="0.2">
      <c r="A225" s="17"/>
      <c r="B225" s="659" t="s">
        <v>448</v>
      </c>
      <c r="C225" s="707"/>
      <c r="D225" s="707"/>
      <c r="E225" s="708"/>
      <c r="F225" s="273">
        <v>1186</v>
      </c>
      <c r="G225" s="257">
        <f t="shared" si="609"/>
        <v>1186</v>
      </c>
      <c r="H225" s="252"/>
      <c r="I225" s="252"/>
      <c r="J225" s="68">
        <f t="shared" ref="J225" si="628">F225+200</f>
        <v>1386</v>
      </c>
      <c r="K225" s="257">
        <f t="shared" ref="K225:K229" si="629">+J225*$X$1</f>
        <v>1386</v>
      </c>
      <c r="L225" s="559">
        <f t="shared" ref="L225" si="630">F225+150</f>
        <v>1336</v>
      </c>
      <c r="M225" s="257">
        <f t="shared" ref="M225:M229" si="631">+L225*$X$1</f>
        <v>1336</v>
      </c>
      <c r="N225" s="559">
        <f t="shared" ref="N225" si="632">F225+110</f>
        <v>1296</v>
      </c>
      <c r="O225" s="257">
        <f t="shared" si="610"/>
        <v>1296</v>
      </c>
      <c r="P225" s="559">
        <f t="shared" ref="P225" si="633">F225+100</f>
        <v>1286</v>
      </c>
      <c r="Q225" s="257">
        <f t="shared" ref="Q225:Q229" si="634">+P225*$X$1</f>
        <v>1286</v>
      </c>
      <c r="R225" s="559">
        <f t="shared" ref="R225" si="635">F225+80</f>
        <v>1266</v>
      </c>
      <c r="S225" s="257">
        <f t="shared" ref="S225:S229" si="636">+R225*$X$1</f>
        <v>1266</v>
      </c>
      <c r="T225" s="559">
        <f t="shared" ref="T225" si="637">F225+65</f>
        <v>1251</v>
      </c>
      <c r="U225" s="257">
        <f t="shared" ref="U225:U229" si="638">+T225*$X$1</f>
        <v>1251</v>
      </c>
      <c r="V225" s="559">
        <f t="shared" ref="V225" si="639">F225+56</f>
        <v>1242</v>
      </c>
      <c r="W225" s="257">
        <f t="shared" ref="W225:W229" si="640">+V225*$X$1</f>
        <v>1242</v>
      </c>
      <c r="X225" s="135"/>
      <c r="Y225" s="135"/>
      <c r="Z225" s="135"/>
      <c r="AA225" s="135"/>
      <c r="AB225" s="178">
        <v>550</v>
      </c>
    </row>
    <row r="226" spans="1:34" ht="12.6" customHeight="1" x14ac:dyDescent="0.2">
      <c r="A226" s="17"/>
      <c r="B226" s="656" t="s">
        <v>408</v>
      </c>
      <c r="C226" s="1161"/>
      <c r="D226" s="1161"/>
      <c r="E226" s="1162"/>
      <c r="F226" s="258">
        <v>4038</v>
      </c>
      <c r="G226" s="258">
        <f t="shared" si="609"/>
        <v>4038</v>
      </c>
      <c r="H226" s="251"/>
      <c r="I226" s="251"/>
      <c r="J226" s="82">
        <f>F226+250</f>
        <v>4288</v>
      </c>
      <c r="K226" s="258">
        <f t="shared" ref="K226" si="641">+J226*$X$1</f>
        <v>4288</v>
      </c>
      <c r="L226" s="576">
        <f>F226+200</f>
        <v>4238</v>
      </c>
      <c r="M226" s="258">
        <f t="shared" ref="M226" si="642">+L226*$X$1</f>
        <v>4238</v>
      </c>
      <c r="N226" s="576">
        <f>F226+160</f>
        <v>4198</v>
      </c>
      <c r="O226" s="258">
        <f t="shared" ref="O226" si="643">+N226*$X$1</f>
        <v>4198</v>
      </c>
      <c r="P226" s="576">
        <f>F226+130</f>
        <v>4168</v>
      </c>
      <c r="Q226" s="258">
        <f t="shared" ref="Q226" si="644">+P226*$X$1</f>
        <v>4168</v>
      </c>
      <c r="R226" s="576">
        <f>F226+110</f>
        <v>4148</v>
      </c>
      <c r="S226" s="258">
        <f t="shared" ref="S226" si="645">+R226*$X$1</f>
        <v>4148</v>
      </c>
      <c r="T226" s="576">
        <f>F226+90</f>
        <v>4128</v>
      </c>
      <c r="U226" s="258">
        <f t="shared" ref="U226" si="646">+T226*$X$1</f>
        <v>4128</v>
      </c>
      <c r="V226" s="576">
        <f>F226+75</f>
        <v>4113</v>
      </c>
      <c r="W226" s="258">
        <f t="shared" ref="W226" si="647">+V226*$X$1</f>
        <v>4113</v>
      </c>
      <c r="X226" s="119"/>
      <c r="Y226" s="119"/>
      <c r="Z226" s="119"/>
      <c r="AA226" s="119"/>
      <c r="AB226" s="178">
        <v>551</v>
      </c>
    </row>
    <row r="227" spans="1:34" ht="12.6" customHeight="1" x14ac:dyDescent="0.2">
      <c r="A227" s="17"/>
      <c r="B227" s="758" t="s">
        <v>406</v>
      </c>
      <c r="C227" s="759"/>
      <c r="D227" s="759"/>
      <c r="E227" s="760"/>
      <c r="F227" s="273">
        <v>4510</v>
      </c>
      <c r="G227" s="257">
        <f t="shared" si="609"/>
        <v>4510</v>
      </c>
      <c r="H227" s="252"/>
      <c r="I227" s="252"/>
      <c r="J227" s="68">
        <f>F227+250</f>
        <v>4760</v>
      </c>
      <c r="K227" s="257">
        <f t="shared" ref="K227" si="648">+J227*$X$1</f>
        <v>4760</v>
      </c>
      <c r="L227" s="559">
        <f>F227+200</f>
        <v>4710</v>
      </c>
      <c r="M227" s="257">
        <f t="shared" ref="M227" si="649">+L227*$X$1</f>
        <v>4710</v>
      </c>
      <c r="N227" s="559">
        <f>F227+160</f>
        <v>4670</v>
      </c>
      <c r="O227" s="257">
        <f t="shared" ref="O227" si="650">+N227*$X$1</f>
        <v>4670</v>
      </c>
      <c r="P227" s="559">
        <f>F227+130</f>
        <v>4640</v>
      </c>
      <c r="Q227" s="257">
        <f t="shared" ref="Q227" si="651">+P227*$X$1</f>
        <v>4640</v>
      </c>
      <c r="R227" s="559">
        <f>F227+110</f>
        <v>4620</v>
      </c>
      <c r="S227" s="257">
        <f t="shared" ref="S227" si="652">+R227*$X$1</f>
        <v>4620</v>
      </c>
      <c r="T227" s="559">
        <f>F227+90</f>
        <v>4600</v>
      </c>
      <c r="U227" s="257">
        <f t="shared" ref="U227" si="653">+T227*$X$1</f>
        <v>4600</v>
      </c>
      <c r="V227" s="559">
        <f>F227+75</f>
        <v>4585</v>
      </c>
      <c r="W227" s="257">
        <f t="shared" ref="W227" si="654">+V227*$X$1</f>
        <v>4585</v>
      </c>
      <c r="X227" s="119"/>
      <c r="Y227" s="119"/>
      <c r="Z227" s="119"/>
      <c r="AA227" s="119"/>
      <c r="AB227" s="178" t="s">
        <v>405</v>
      </c>
    </row>
    <row r="228" spans="1:34" ht="12.6" customHeight="1" x14ac:dyDescent="0.2">
      <c r="A228" s="17"/>
      <c r="B228" s="986" t="s">
        <v>407</v>
      </c>
      <c r="C228" s="987"/>
      <c r="D228" s="987"/>
      <c r="E228" s="988"/>
      <c r="F228" s="283">
        <v>4900</v>
      </c>
      <c r="G228" s="258">
        <f t="shared" si="609"/>
        <v>4900</v>
      </c>
      <c r="H228" s="251"/>
      <c r="I228" s="251"/>
      <c r="J228" s="82">
        <f>F228+250</f>
        <v>5150</v>
      </c>
      <c r="K228" s="258">
        <f t="shared" ref="K228" si="655">+J228*$X$1</f>
        <v>5150</v>
      </c>
      <c r="L228" s="576">
        <f>F228+200</f>
        <v>5100</v>
      </c>
      <c r="M228" s="258">
        <f t="shared" ref="M228" si="656">+L228*$X$1</f>
        <v>5100</v>
      </c>
      <c r="N228" s="576">
        <f>F228+160</f>
        <v>5060</v>
      </c>
      <c r="O228" s="258">
        <f t="shared" ref="O228" si="657">+N228*$X$1</f>
        <v>5060</v>
      </c>
      <c r="P228" s="576">
        <f>F228+130</f>
        <v>5030</v>
      </c>
      <c r="Q228" s="258">
        <f t="shared" ref="Q228" si="658">+P228*$X$1</f>
        <v>5030</v>
      </c>
      <c r="R228" s="576">
        <f>F228+110</f>
        <v>5010</v>
      </c>
      <c r="S228" s="258">
        <f t="shared" ref="S228" si="659">+R228*$X$1</f>
        <v>5010</v>
      </c>
      <c r="T228" s="576">
        <f>F228+90</f>
        <v>4990</v>
      </c>
      <c r="U228" s="258">
        <f t="shared" ref="U228" si="660">+T228*$X$1</f>
        <v>4990</v>
      </c>
      <c r="V228" s="576">
        <f>F228+75</f>
        <v>4975</v>
      </c>
      <c r="W228" s="258">
        <f t="shared" ref="W228" si="661">+V228*$X$1</f>
        <v>4975</v>
      </c>
      <c r="X228" s="119"/>
      <c r="Y228" s="119"/>
      <c r="Z228" s="119"/>
      <c r="AA228" s="119"/>
      <c r="AB228" s="178" t="s">
        <v>409</v>
      </c>
    </row>
    <row r="229" spans="1:34" ht="12.6" customHeight="1" x14ac:dyDescent="0.2">
      <c r="A229" s="17"/>
      <c r="B229" s="654" t="s">
        <v>372</v>
      </c>
      <c r="C229" s="798"/>
      <c r="D229" s="798"/>
      <c r="E229" s="798"/>
      <c r="F229" s="257">
        <v>4312</v>
      </c>
      <c r="G229" s="257">
        <f t="shared" ref="G229" si="662">+F229*$X$1</f>
        <v>4312</v>
      </c>
      <c r="H229" s="252"/>
      <c r="I229" s="252"/>
      <c r="J229" s="68">
        <f>F229+250</f>
        <v>4562</v>
      </c>
      <c r="K229" s="257">
        <f t="shared" si="629"/>
        <v>4562</v>
      </c>
      <c r="L229" s="559">
        <f>F229+200</f>
        <v>4512</v>
      </c>
      <c r="M229" s="257">
        <f t="shared" si="631"/>
        <v>4512</v>
      </c>
      <c r="N229" s="559">
        <f>F229+160</f>
        <v>4472</v>
      </c>
      <c r="O229" s="257">
        <f t="shared" si="610"/>
        <v>4472</v>
      </c>
      <c r="P229" s="559">
        <f>F229+130</f>
        <v>4442</v>
      </c>
      <c r="Q229" s="257">
        <f t="shared" si="634"/>
        <v>4442</v>
      </c>
      <c r="R229" s="559">
        <f>F229+110</f>
        <v>4422</v>
      </c>
      <c r="S229" s="257">
        <f t="shared" si="636"/>
        <v>4422</v>
      </c>
      <c r="T229" s="559">
        <f>F229+90</f>
        <v>4402</v>
      </c>
      <c r="U229" s="257">
        <f t="shared" si="638"/>
        <v>4402</v>
      </c>
      <c r="V229" s="559">
        <f>F229+75</f>
        <v>4387</v>
      </c>
      <c r="W229" s="257">
        <f t="shared" si="640"/>
        <v>4387</v>
      </c>
      <c r="X229" s="119"/>
      <c r="Y229" s="119"/>
      <c r="Z229" s="119"/>
      <c r="AA229" s="119"/>
      <c r="AB229" s="178">
        <v>553</v>
      </c>
    </row>
    <row r="230" spans="1:34" ht="12.6" customHeight="1" x14ac:dyDescent="0.2">
      <c r="A230" s="17"/>
      <c r="B230" s="1197" t="s">
        <v>330</v>
      </c>
      <c r="C230" s="1198"/>
      <c r="D230" s="1198"/>
      <c r="E230" s="1198"/>
      <c r="F230" s="469">
        <v>240</v>
      </c>
      <c r="G230" s="469">
        <f t="shared" ref="G230:G233" si="663">+F230*$X$1</f>
        <v>240</v>
      </c>
      <c r="H230" s="470"/>
      <c r="I230" s="472"/>
      <c r="J230" s="532">
        <f>F230+200</f>
        <v>440</v>
      </c>
      <c r="K230" s="469">
        <f t="shared" ref="K230" si="664">+J230*$X$1</f>
        <v>440</v>
      </c>
      <c r="L230" s="532">
        <f>F230+150</f>
        <v>390</v>
      </c>
      <c r="M230" s="469">
        <f>+L230*$X$1</f>
        <v>390</v>
      </c>
      <c r="N230" s="532">
        <f>F230+110</f>
        <v>350</v>
      </c>
      <c r="O230" s="469">
        <f>+N230*$X$1</f>
        <v>350</v>
      </c>
      <c r="P230" s="532"/>
      <c r="Q230" s="1153" t="s">
        <v>141</v>
      </c>
      <c r="R230" s="1154"/>
      <c r="S230" s="1154"/>
      <c r="T230" s="1154"/>
      <c r="U230" s="1154"/>
      <c r="V230" s="1154"/>
      <c r="W230" s="1154"/>
      <c r="X230" s="135"/>
      <c r="Y230" s="135"/>
      <c r="Z230" s="135"/>
      <c r="AA230" s="135"/>
      <c r="AB230" s="178">
        <v>618</v>
      </c>
    </row>
    <row r="231" spans="1:34" ht="12.6" customHeight="1" x14ac:dyDescent="0.2">
      <c r="A231" s="94"/>
      <c r="B231" s="776" t="s">
        <v>443</v>
      </c>
      <c r="C231" s="788"/>
      <c r="D231" s="788"/>
      <c r="E231" s="788"/>
      <c r="F231" s="469">
        <v>880</v>
      </c>
      <c r="G231" s="469">
        <f t="shared" si="663"/>
        <v>880</v>
      </c>
      <c r="H231" s="532"/>
      <c r="I231" s="469"/>
      <c r="J231" s="470"/>
      <c r="K231" s="472"/>
      <c r="L231" s="532">
        <f>F231+160</f>
        <v>1040</v>
      </c>
      <c r="M231" s="469">
        <f t="shared" ref="M231:M235" si="665">+L231*$X$1</f>
        <v>1040</v>
      </c>
      <c r="N231" s="532"/>
      <c r="O231" s="469"/>
      <c r="P231" s="532">
        <f>F231+5.1</f>
        <v>885.1</v>
      </c>
      <c r="Q231" s="1153" t="s">
        <v>141</v>
      </c>
      <c r="R231" s="1154"/>
      <c r="S231" s="1154"/>
      <c r="T231" s="1154"/>
      <c r="U231" s="1154"/>
      <c r="V231" s="1154"/>
      <c r="W231" s="1154"/>
      <c r="X231" s="120"/>
      <c r="Y231" s="135"/>
      <c r="Z231" s="135"/>
      <c r="AA231" s="135"/>
      <c r="AB231" s="178">
        <v>621</v>
      </c>
    </row>
    <row r="232" spans="1:34" ht="12.6" customHeight="1" x14ac:dyDescent="0.2">
      <c r="A232" s="20"/>
      <c r="B232" s="645" t="s">
        <v>176</v>
      </c>
      <c r="C232" s="679"/>
      <c r="D232" s="679"/>
      <c r="E232" s="679"/>
      <c r="F232" s="334">
        <f>2.93*X2</f>
        <v>3779.7000000000003</v>
      </c>
      <c r="G232" s="258">
        <f>+F232*$X$1</f>
        <v>3779.7000000000003</v>
      </c>
      <c r="H232" s="256"/>
      <c r="I232" s="306"/>
      <c r="J232" s="82">
        <f t="shared" ref="J232:J235" si="666">F232+200</f>
        <v>3979.7000000000003</v>
      </c>
      <c r="K232" s="258">
        <f t="shared" ref="K232:K235" si="667">+J232*$X$1</f>
        <v>3979.7000000000003</v>
      </c>
      <c r="L232" s="576">
        <f t="shared" ref="L232:L235" si="668">F232+150</f>
        <v>3929.7000000000003</v>
      </c>
      <c r="M232" s="258">
        <f t="shared" si="665"/>
        <v>3929.7000000000003</v>
      </c>
      <c r="N232" s="576">
        <f t="shared" ref="N232:N235" si="669">F232+110</f>
        <v>3889.7000000000003</v>
      </c>
      <c r="O232" s="258">
        <f t="shared" ref="O232:O235" si="670">+N232*$X$1</f>
        <v>3889.7000000000003</v>
      </c>
      <c r="P232" s="576">
        <f t="shared" ref="P232:P235" si="671">F232+100</f>
        <v>3879.7000000000003</v>
      </c>
      <c r="Q232" s="258">
        <f t="shared" ref="Q232:Q235" si="672">+P232*$X$1</f>
        <v>3879.7000000000003</v>
      </c>
      <c r="R232" s="576">
        <f t="shared" ref="R232:R235" si="673">F232+80</f>
        <v>3859.7000000000003</v>
      </c>
      <c r="S232" s="258">
        <f t="shared" ref="S232:S235" si="674">+R232*$X$1</f>
        <v>3859.7000000000003</v>
      </c>
      <c r="T232" s="576">
        <f t="shared" ref="T232:T235" si="675">F232+65</f>
        <v>3844.7000000000003</v>
      </c>
      <c r="U232" s="258">
        <f t="shared" ref="U232:U235" si="676">+T232*$X$1</f>
        <v>3844.7000000000003</v>
      </c>
      <c r="V232" s="576">
        <f t="shared" ref="V232:V235" si="677">F232+56</f>
        <v>3835.7000000000003</v>
      </c>
      <c r="W232" s="258">
        <f t="shared" ref="W232:W235" si="678">+V232*$X$1</f>
        <v>3835.7000000000003</v>
      </c>
      <c r="X232" s="135"/>
      <c r="Y232" s="144"/>
      <c r="Z232" s="135"/>
      <c r="AA232" s="135"/>
      <c r="AB232" s="178">
        <v>624</v>
      </c>
    </row>
    <row r="233" spans="1:34" ht="12.6" customHeight="1" x14ac:dyDescent="0.2">
      <c r="A233" s="20"/>
      <c r="B233" s="737" t="s">
        <v>177</v>
      </c>
      <c r="C233" s="1131"/>
      <c r="D233" s="1131"/>
      <c r="E233" s="1131"/>
      <c r="F233" s="333">
        <f>5.057*X2</f>
        <v>6523.5300000000007</v>
      </c>
      <c r="G233" s="257">
        <f t="shared" si="663"/>
        <v>6523.5300000000007</v>
      </c>
      <c r="H233" s="282"/>
      <c r="I233" s="305"/>
      <c r="J233" s="68">
        <f t="shared" si="666"/>
        <v>6723.5300000000007</v>
      </c>
      <c r="K233" s="257">
        <f t="shared" si="667"/>
        <v>6723.5300000000007</v>
      </c>
      <c r="L233" s="559">
        <f t="shared" si="668"/>
        <v>6673.5300000000007</v>
      </c>
      <c r="M233" s="257">
        <f t="shared" si="665"/>
        <v>6673.5300000000007</v>
      </c>
      <c r="N233" s="559">
        <f t="shared" si="669"/>
        <v>6633.5300000000007</v>
      </c>
      <c r="O233" s="257">
        <f t="shared" si="670"/>
        <v>6633.5300000000007</v>
      </c>
      <c r="P233" s="559">
        <f t="shared" si="671"/>
        <v>6623.5300000000007</v>
      </c>
      <c r="Q233" s="257">
        <f t="shared" si="672"/>
        <v>6623.5300000000007</v>
      </c>
      <c r="R233" s="559">
        <f t="shared" si="673"/>
        <v>6603.5300000000007</v>
      </c>
      <c r="S233" s="257">
        <f t="shared" si="674"/>
        <v>6603.5300000000007</v>
      </c>
      <c r="T233" s="559">
        <f t="shared" si="675"/>
        <v>6588.5300000000007</v>
      </c>
      <c r="U233" s="257">
        <f t="shared" si="676"/>
        <v>6588.5300000000007</v>
      </c>
      <c r="V233" s="559">
        <f t="shared" si="677"/>
        <v>6579.5300000000007</v>
      </c>
      <c r="W233" s="257">
        <f t="shared" si="678"/>
        <v>6579.5300000000007</v>
      </c>
      <c r="X233" s="135"/>
      <c r="Y233" s="144"/>
      <c r="Z233" s="135"/>
      <c r="AA233" s="135"/>
      <c r="AB233" s="178" t="s">
        <v>178</v>
      </c>
    </row>
    <row r="234" spans="1:34" ht="12.6" customHeight="1" x14ac:dyDescent="0.2">
      <c r="A234" s="20"/>
      <c r="B234" s="656" t="s">
        <v>179</v>
      </c>
      <c r="C234" s="669"/>
      <c r="D234" s="669"/>
      <c r="E234" s="670"/>
      <c r="F234" s="334">
        <f>5.6*X2</f>
        <v>7223.9999999999991</v>
      </c>
      <c r="G234" s="258">
        <f t="shared" ref="G234:G235" si="679">+F234*$X$1</f>
        <v>7223.9999999999991</v>
      </c>
      <c r="H234" s="256"/>
      <c r="I234" s="306"/>
      <c r="J234" s="82">
        <f t="shared" si="666"/>
        <v>7423.9999999999991</v>
      </c>
      <c r="K234" s="258">
        <f t="shared" si="667"/>
        <v>7423.9999999999991</v>
      </c>
      <c r="L234" s="576">
        <f t="shared" si="668"/>
        <v>7373.9999999999991</v>
      </c>
      <c r="M234" s="258">
        <f t="shared" si="665"/>
        <v>7373.9999999999991</v>
      </c>
      <c r="N234" s="576">
        <f t="shared" si="669"/>
        <v>7333.9999999999991</v>
      </c>
      <c r="O234" s="258">
        <f t="shared" si="670"/>
        <v>7333.9999999999991</v>
      </c>
      <c r="P234" s="576">
        <f t="shared" si="671"/>
        <v>7323.9999999999991</v>
      </c>
      <c r="Q234" s="258">
        <f t="shared" si="672"/>
        <v>7323.9999999999991</v>
      </c>
      <c r="R234" s="576">
        <f t="shared" si="673"/>
        <v>7303.9999999999991</v>
      </c>
      <c r="S234" s="258">
        <f t="shared" si="674"/>
        <v>7303.9999999999991</v>
      </c>
      <c r="T234" s="576">
        <f t="shared" si="675"/>
        <v>7288.9999999999991</v>
      </c>
      <c r="U234" s="258">
        <f t="shared" si="676"/>
        <v>7288.9999999999991</v>
      </c>
      <c r="V234" s="576">
        <f t="shared" si="677"/>
        <v>7279.9999999999991</v>
      </c>
      <c r="W234" s="258">
        <f t="shared" si="678"/>
        <v>7279.9999999999991</v>
      </c>
      <c r="X234" s="135"/>
      <c r="Y234" s="144"/>
      <c r="Z234" s="135"/>
      <c r="AA234" s="135"/>
      <c r="AB234" s="178">
        <v>629</v>
      </c>
    </row>
    <row r="235" spans="1:34" ht="12.6" customHeight="1" x14ac:dyDescent="0.2">
      <c r="A235" s="20"/>
      <c r="B235" s="659" t="s">
        <v>375</v>
      </c>
      <c r="C235" s="707"/>
      <c r="D235" s="707"/>
      <c r="E235" s="708"/>
      <c r="F235" s="333">
        <f>8.55*X2</f>
        <v>11029.500000000002</v>
      </c>
      <c r="G235" s="257">
        <f t="shared" si="679"/>
        <v>11029.500000000002</v>
      </c>
      <c r="H235" s="282"/>
      <c r="I235" s="305"/>
      <c r="J235" s="68">
        <f t="shared" si="666"/>
        <v>11229.500000000002</v>
      </c>
      <c r="K235" s="257">
        <f t="shared" si="667"/>
        <v>11229.500000000002</v>
      </c>
      <c r="L235" s="559">
        <f t="shared" si="668"/>
        <v>11179.500000000002</v>
      </c>
      <c r="M235" s="257">
        <f t="shared" si="665"/>
        <v>11179.500000000002</v>
      </c>
      <c r="N235" s="559">
        <f t="shared" si="669"/>
        <v>11139.500000000002</v>
      </c>
      <c r="O235" s="257">
        <f t="shared" si="670"/>
        <v>11139.500000000002</v>
      </c>
      <c r="P235" s="559">
        <f t="shared" si="671"/>
        <v>11129.500000000002</v>
      </c>
      <c r="Q235" s="257">
        <f t="shared" si="672"/>
        <v>11129.500000000002</v>
      </c>
      <c r="R235" s="559">
        <f t="shared" si="673"/>
        <v>11109.500000000002</v>
      </c>
      <c r="S235" s="257">
        <f t="shared" si="674"/>
        <v>11109.500000000002</v>
      </c>
      <c r="T235" s="559">
        <f t="shared" si="675"/>
        <v>11094.500000000002</v>
      </c>
      <c r="U235" s="257">
        <f t="shared" si="676"/>
        <v>11094.500000000002</v>
      </c>
      <c r="V235" s="559">
        <f t="shared" si="677"/>
        <v>11085.500000000002</v>
      </c>
      <c r="W235" s="257">
        <f t="shared" si="678"/>
        <v>11085.500000000002</v>
      </c>
      <c r="X235" s="135"/>
      <c r="Y235" s="144"/>
      <c r="Z235" s="135"/>
      <c r="AA235" s="135"/>
      <c r="AB235" s="178">
        <v>630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1179" t="s">
        <v>11</v>
      </c>
      <c r="C239" s="1164" t="s">
        <v>12</v>
      </c>
      <c r="D239" s="1165"/>
      <c r="E239" s="1165"/>
      <c r="F239" s="729" t="s">
        <v>13</v>
      </c>
      <c r="G239" s="729" t="s">
        <v>13</v>
      </c>
      <c r="H239" s="700" t="s">
        <v>742</v>
      </c>
      <c r="I239" s="700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647" t="s">
        <v>14</v>
      </c>
      <c r="Y239" s="648"/>
      <c r="Z239" s="648"/>
      <c r="AA239" s="649"/>
      <c r="AB239" s="692" t="s">
        <v>15</v>
      </c>
      <c r="AF239" s="694" t="s">
        <v>3</v>
      </c>
      <c r="AG239" s="695"/>
      <c r="AH239" s="695"/>
    </row>
    <row r="240" spans="1:34" ht="11.25" customHeight="1" x14ac:dyDescent="0.2">
      <c r="A240" s="17"/>
      <c r="B240" s="1179"/>
      <c r="C240" s="1165"/>
      <c r="D240" s="1165"/>
      <c r="E240" s="1165"/>
      <c r="F240" s="730"/>
      <c r="G240" s="730"/>
      <c r="H240" s="421"/>
      <c r="I240" s="413" t="s">
        <v>267</v>
      </c>
      <c r="J240" s="415"/>
      <c r="K240" s="413" t="s">
        <v>17</v>
      </c>
      <c r="L240" s="416"/>
      <c r="M240" s="416" t="s">
        <v>18</v>
      </c>
      <c r="N240" s="416"/>
      <c r="O240" s="413" t="s">
        <v>19</v>
      </c>
      <c r="P240" s="416"/>
      <c r="Q240" s="416" t="s">
        <v>268</v>
      </c>
      <c r="R240" s="416"/>
      <c r="S240" s="416" t="s">
        <v>20</v>
      </c>
      <c r="T240" s="416"/>
      <c r="U240" s="416" t="s">
        <v>21</v>
      </c>
      <c r="V240" s="416"/>
      <c r="W240" s="416" t="s">
        <v>22</v>
      </c>
      <c r="X240" s="650"/>
      <c r="Y240" s="651"/>
      <c r="Z240" s="651"/>
      <c r="AA240" s="652"/>
      <c r="AB240" s="693"/>
    </row>
    <row r="241" spans="1:28" ht="12.6" customHeight="1" x14ac:dyDescent="0.2">
      <c r="A241" s="20"/>
      <c r="B241" s="659" t="s">
        <v>495</v>
      </c>
      <c r="C241" s="707"/>
      <c r="D241" s="707"/>
      <c r="E241" s="708"/>
      <c r="F241" s="333">
        <f>0.96*X2</f>
        <v>1238.3999999999999</v>
      </c>
      <c r="G241" s="257">
        <f t="shared" ref="G241" si="680">+F241*$X$1</f>
        <v>1238.3999999999999</v>
      </c>
      <c r="H241" s="583"/>
      <c r="I241" s="305"/>
      <c r="J241" s="68">
        <f>F241+200</f>
        <v>1438.3999999999999</v>
      </c>
      <c r="K241" s="257">
        <f>+J241*$X$1</f>
        <v>1438.3999999999999</v>
      </c>
      <c r="L241" s="559">
        <f>F241+150</f>
        <v>1388.3999999999999</v>
      </c>
      <c r="M241" s="257">
        <f>+L241*$X$1</f>
        <v>1388.3999999999999</v>
      </c>
      <c r="N241" s="559">
        <f>F241+110</f>
        <v>1348.3999999999999</v>
      </c>
      <c r="O241" s="257">
        <f>+N241*$X$1</f>
        <v>1348.3999999999999</v>
      </c>
      <c r="P241" s="559">
        <f>F241+100</f>
        <v>1338.3999999999999</v>
      </c>
      <c r="Q241" s="257">
        <f>+P241*$X$1</f>
        <v>1338.3999999999999</v>
      </c>
      <c r="R241" s="559">
        <f>F241+80</f>
        <v>1318.3999999999999</v>
      </c>
      <c r="S241" s="257">
        <f>+R241*$X$1</f>
        <v>1318.3999999999999</v>
      </c>
      <c r="T241" s="559">
        <f>F241+65</f>
        <v>1303.3999999999999</v>
      </c>
      <c r="U241" s="257">
        <f>+T241*$X$1</f>
        <v>1303.3999999999999</v>
      </c>
      <c r="V241" s="559">
        <f>F241+56</f>
        <v>1294.3999999999999</v>
      </c>
      <c r="W241" s="257">
        <f>+V241*$X$1</f>
        <v>1294.3999999999999</v>
      </c>
      <c r="X241" s="135"/>
      <c r="Y241" s="144"/>
      <c r="Z241" s="135"/>
      <c r="AA241" s="135"/>
      <c r="AB241" s="178">
        <v>631</v>
      </c>
    </row>
    <row r="242" spans="1:28" ht="12.6" customHeight="1" x14ac:dyDescent="0.2">
      <c r="A242" s="20"/>
      <c r="B242" s="656" t="s">
        <v>832</v>
      </c>
      <c r="C242" s="669"/>
      <c r="D242" s="669"/>
      <c r="E242" s="670"/>
      <c r="F242" s="334">
        <f>2.69*X2</f>
        <v>3470.1</v>
      </c>
      <c r="G242" s="258">
        <f t="shared" ref="G242" si="681">+F242*$X$1</f>
        <v>3470.1</v>
      </c>
      <c r="H242" s="251"/>
      <c r="I242" s="306"/>
      <c r="J242" s="82">
        <f>F242+200</f>
        <v>3670.1</v>
      </c>
      <c r="K242" s="258">
        <f>+J242*$X$1</f>
        <v>3670.1</v>
      </c>
      <c r="L242" s="576">
        <f>F242+150</f>
        <v>3620.1</v>
      </c>
      <c r="M242" s="258">
        <f>+L242*$X$1</f>
        <v>3620.1</v>
      </c>
      <c r="N242" s="576">
        <f>F242+110</f>
        <v>3580.1</v>
      </c>
      <c r="O242" s="258">
        <f>+N242*$X$1</f>
        <v>3580.1</v>
      </c>
      <c r="P242" s="576">
        <f>F242+100</f>
        <v>3570.1</v>
      </c>
      <c r="Q242" s="258">
        <f>+P242*$X$1</f>
        <v>3570.1</v>
      </c>
      <c r="R242" s="576">
        <f>F242+80</f>
        <v>3550.1</v>
      </c>
      <c r="S242" s="258">
        <f>+R242*$X$1</f>
        <v>3550.1</v>
      </c>
      <c r="T242" s="576">
        <f>F242+65</f>
        <v>3535.1</v>
      </c>
      <c r="U242" s="258">
        <f>+T242*$X$1</f>
        <v>3535.1</v>
      </c>
      <c r="V242" s="576">
        <f>F242+56</f>
        <v>3526.1</v>
      </c>
      <c r="W242" s="258">
        <f>+V242*$X$1</f>
        <v>3526.1</v>
      </c>
      <c r="X242" s="135"/>
      <c r="Y242" s="144"/>
      <c r="Z242" s="135"/>
      <c r="AA242" s="135"/>
      <c r="AB242" s="178">
        <v>633</v>
      </c>
    </row>
    <row r="243" spans="1:28" ht="12.6" customHeight="1" x14ac:dyDescent="0.2">
      <c r="A243" s="20"/>
      <c r="B243" s="659" t="s">
        <v>461</v>
      </c>
      <c r="C243" s="707"/>
      <c r="D243" s="707"/>
      <c r="E243" s="708"/>
      <c r="F243" s="333">
        <f>1.36*X2</f>
        <v>1754.4</v>
      </c>
      <c r="G243" s="257">
        <f>+F243*$X$1</f>
        <v>1754.4</v>
      </c>
      <c r="H243" s="582"/>
      <c r="I243" s="305"/>
      <c r="J243" s="68">
        <f>F243+200</f>
        <v>1954.4</v>
      </c>
      <c r="K243" s="257">
        <f>+J243*$X$1</f>
        <v>1954.4</v>
      </c>
      <c r="L243" s="559">
        <f>F243+150</f>
        <v>1904.4</v>
      </c>
      <c r="M243" s="257">
        <f>+L243*$X$1</f>
        <v>1904.4</v>
      </c>
      <c r="N243" s="559">
        <f>F243+110</f>
        <v>1864.4</v>
      </c>
      <c r="O243" s="257">
        <f>+N243*$X$1</f>
        <v>1864.4</v>
      </c>
      <c r="P243" s="559">
        <f>F243+100</f>
        <v>1854.4</v>
      </c>
      <c r="Q243" s="257">
        <f>+P243*$X$1</f>
        <v>1854.4</v>
      </c>
      <c r="R243" s="559">
        <f>F243+80</f>
        <v>1834.4</v>
      </c>
      <c r="S243" s="257">
        <f>+R243*$X$1</f>
        <v>1834.4</v>
      </c>
      <c r="T243" s="559">
        <f>F243+65</f>
        <v>1819.4</v>
      </c>
      <c r="U243" s="257">
        <f>+T243*$X$1</f>
        <v>1819.4</v>
      </c>
      <c r="V243" s="559">
        <f>F243+56</f>
        <v>1810.4</v>
      </c>
      <c r="W243" s="257">
        <f>+V243*$X$1</f>
        <v>1810.4</v>
      </c>
      <c r="X243" s="135"/>
      <c r="Y243" s="144"/>
      <c r="Z243" s="135"/>
      <c r="AA243" s="135"/>
      <c r="AB243" s="178">
        <v>640</v>
      </c>
    </row>
    <row r="244" spans="1:28" ht="12.6" customHeight="1" x14ac:dyDescent="0.2">
      <c r="A244" s="17"/>
      <c r="B244" s="645" t="s">
        <v>180</v>
      </c>
      <c r="C244" s="646"/>
      <c r="D244" s="646"/>
      <c r="E244" s="646"/>
      <c r="F244" s="334">
        <f>2.7*X2</f>
        <v>3483.0000000000005</v>
      </c>
      <c r="G244" s="258">
        <f>+F244*$X$1</f>
        <v>3483.0000000000005</v>
      </c>
      <c r="H244" s="573">
        <f>F244+600</f>
        <v>4083.0000000000005</v>
      </c>
      <c r="I244" s="258">
        <f t="shared" ref="I244" si="682">+H244*$X$1</f>
        <v>4083.0000000000005</v>
      </c>
      <c r="J244" s="573">
        <f>F244+200</f>
        <v>3683.0000000000005</v>
      </c>
      <c r="K244" s="258">
        <f t="shared" ref="K244" si="683">+J244*$X$1</f>
        <v>3683.0000000000005</v>
      </c>
      <c r="L244" s="573">
        <f>F244+150</f>
        <v>3633.0000000000005</v>
      </c>
      <c r="M244" s="258">
        <f t="shared" ref="M244" si="684">+L244*$X$1</f>
        <v>3633.0000000000005</v>
      </c>
      <c r="N244" s="573">
        <f>F244+100</f>
        <v>3583.0000000000005</v>
      </c>
      <c r="O244" s="258">
        <f>+N244*$X$1</f>
        <v>3583.0000000000005</v>
      </c>
      <c r="P244" s="573">
        <f>F244+90</f>
        <v>3573.0000000000005</v>
      </c>
      <c r="Q244" s="258">
        <f t="shared" ref="Q244" si="685">+P244*$X$1</f>
        <v>3573.0000000000005</v>
      </c>
      <c r="R244" s="573">
        <f>F244+70</f>
        <v>3553.0000000000005</v>
      </c>
      <c r="S244" s="258">
        <f>+R244*$X$1</f>
        <v>3553.0000000000005</v>
      </c>
      <c r="T244" s="573">
        <f>F244+56</f>
        <v>3539.0000000000005</v>
      </c>
      <c r="U244" s="258">
        <f t="shared" ref="U244" si="686">+T244*$X$1</f>
        <v>3539.0000000000005</v>
      </c>
      <c r="V244" s="573">
        <f>F244+49</f>
        <v>3532.0000000000005</v>
      </c>
      <c r="W244" s="258">
        <f t="shared" ref="W244" si="687">+V244*$X$1</f>
        <v>3532.0000000000005</v>
      </c>
      <c r="X244" s="680"/>
      <c r="Y244" s="849"/>
      <c r="Z244" s="849"/>
      <c r="AA244" s="681"/>
      <c r="AB244" s="178">
        <v>705</v>
      </c>
    </row>
    <row r="245" spans="1:28" ht="12.6" customHeight="1" x14ac:dyDescent="0.2">
      <c r="A245" s="17"/>
      <c r="B245" s="654" t="s">
        <v>473</v>
      </c>
      <c r="C245" s="655"/>
      <c r="D245" s="655"/>
      <c r="E245" s="655"/>
      <c r="F245" s="257">
        <v>9800</v>
      </c>
      <c r="G245" s="257">
        <f t="shared" ref="G245:G246" si="688">+F245*$X$1</f>
        <v>9800</v>
      </c>
      <c r="H245" s="559">
        <f>F245+600</f>
        <v>10400</v>
      </c>
      <c r="I245" s="257">
        <f t="shared" ref="I245:I246" si="689">+H245*$X$1</f>
        <v>10400</v>
      </c>
      <c r="J245" s="559">
        <f>F245+260</f>
        <v>10060</v>
      </c>
      <c r="K245" s="257">
        <f t="shared" ref="K245:K246" si="690">+J245*$X$1</f>
        <v>10060</v>
      </c>
      <c r="L245" s="559">
        <f>F245+230</f>
        <v>10030</v>
      </c>
      <c r="M245" s="257">
        <f t="shared" ref="M245:M246" si="691">+L245*$X$1</f>
        <v>10030</v>
      </c>
      <c r="N245" s="559">
        <f>F245+200</f>
        <v>10000</v>
      </c>
      <c r="O245" s="257">
        <f t="shared" ref="O245:O246" si="692">+N245*$X$1</f>
        <v>10000</v>
      </c>
      <c r="P245" s="559">
        <f>F245+170</f>
        <v>9970</v>
      </c>
      <c r="Q245" s="257">
        <f t="shared" ref="Q245:Q246" si="693">+P245*$X$1</f>
        <v>9970</v>
      </c>
      <c r="R245" s="559">
        <f>F245+150</f>
        <v>9950</v>
      </c>
      <c r="S245" s="257">
        <f t="shared" ref="S245:S246" si="694">+R245*$X$1</f>
        <v>9950</v>
      </c>
      <c r="T245" s="93">
        <f>F245+130</f>
        <v>9930</v>
      </c>
      <c r="U245" s="235">
        <f t="shared" ref="U245:U246" si="695">+T245*$X$1</f>
        <v>9930</v>
      </c>
      <c r="V245" s="93">
        <f>F245+110</f>
        <v>9910</v>
      </c>
      <c r="W245" s="235">
        <f t="shared" ref="W245:W246" si="696">+V245*$X$1</f>
        <v>9910</v>
      </c>
      <c r="X245" s="653"/>
      <c r="Y245" s="638"/>
      <c r="Z245" s="638"/>
      <c r="AA245" s="640"/>
      <c r="AB245" s="178">
        <v>815</v>
      </c>
    </row>
    <row r="246" spans="1:28" ht="12.6" customHeight="1" x14ac:dyDescent="0.2">
      <c r="A246" s="17"/>
      <c r="B246" s="671" t="s">
        <v>959</v>
      </c>
      <c r="C246" s="672"/>
      <c r="D246" s="672"/>
      <c r="E246" s="672"/>
      <c r="F246" s="334">
        <f>5.54*X2</f>
        <v>7146.6</v>
      </c>
      <c r="G246" s="258">
        <f t="shared" si="688"/>
        <v>7146.6</v>
      </c>
      <c r="H246" s="573">
        <f t="shared" ref="H246" si="697">F246+600</f>
        <v>7746.6</v>
      </c>
      <c r="I246" s="258">
        <f t="shared" si="689"/>
        <v>7746.6</v>
      </c>
      <c r="J246" s="573">
        <f t="shared" ref="J246" si="698">F246+260</f>
        <v>7406.6</v>
      </c>
      <c r="K246" s="258">
        <f t="shared" si="690"/>
        <v>7406.6</v>
      </c>
      <c r="L246" s="573">
        <f t="shared" ref="L246" si="699">F246+230</f>
        <v>7376.6</v>
      </c>
      <c r="M246" s="258">
        <f t="shared" si="691"/>
        <v>7376.6</v>
      </c>
      <c r="N246" s="573">
        <f t="shared" ref="N246" si="700">F246+200</f>
        <v>7346.6</v>
      </c>
      <c r="O246" s="258">
        <f t="shared" si="692"/>
        <v>7346.6</v>
      </c>
      <c r="P246" s="573">
        <f t="shared" ref="P246" si="701">F246+170</f>
        <v>7316.6</v>
      </c>
      <c r="Q246" s="258">
        <f t="shared" si="693"/>
        <v>7316.6</v>
      </c>
      <c r="R246" s="573">
        <f t="shared" ref="R246" si="702">F246+150</f>
        <v>7296.6</v>
      </c>
      <c r="S246" s="258">
        <f t="shared" si="694"/>
        <v>7296.6</v>
      </c>
      <c r="T246" s="92">
        <f t="shared" ref="T246" si="703">F246+130</f>
        <v>7276.6</v>
      </c>
      <c r="U246" s="272">
        <f t="shared" si="695"/>
        <v>7276.6</v>
      </c>
      <c r="V246" s="92">
        <f t="shared" ref="V246" si="704">F246+110</f>
        <v>7256.6</v>
      </c>
      <c r="W246" s="272">
        <f t="shared" si="696"/>
        <v>7256.6</v>
      </c>
      <c r="X246" s="653"/>
      <c r="Y246" s="638"/>
      <c r="Z246" s="638"/>
      <c r="AA246" s="640"/>
      <c r="AB246" s="178">
        <v>816</v>
      </c>
    </row>
    <row r="247" spans="1:28" ht="12.6" customHeight="1" x14ac:dyDescent="0.2">
      <c r="A247" s="17"/>
      <c r="B247" s="671" t="s">
        <v>862</v>
      </c>
      <c r="C247" s="704"/>
      <c r="D247" s="704"/>
      <c r="E247" s="704"/>
      <c r="F247" s="333">
        <f>32.25*X2</f>
        <v>41602.5</v>
      </c>
      <c r="G247" s="257">
        <f>+F247*$X$1</f>
        <v>41602.5</v>
      </c>
      <c r="H247" s="559">
        <f>F247+600</f>
        <v>42202.5</v>
      </c>
      <c r="I247" s="257">
        <f t="shared" ref="I247" si="705">+H247*$X$1</f>
        <v>42202.5</v>
      </c>
      <c r="J247" s="559">
        <f>F247+260</f>
        <v>41862.5</v>
      </c>
      <c r="K247" s="257">
        <f t="shared" ref="K247" si="706">+J247*$X$1</f>
        <v>41862.5</v>
      </c>
      <c r="L247" s="559">
        <f>F247+230</f>
        <v>41832.5</v>
      </c>
      <c r="M247" s="257">
        <f t="shared" ref="M247" si="707">+L247*$X$1</f>
        <v>41832.5</v>
      </c>
      <c r="N247" s="559">
        <f>F247+200</f>
        <v>41802.5</v>
      </c>
      <c r="O247" s="257">
        <f t="shared" ref="O247" si="708">+N247*$X$1</f>
        <v>41802.5</v>
      </c>
      <c r="P247" s="559">
        <f>F247+170</f>
        <v>41772.5</v>
      </c>
      <c r="Q247" s="257">
        <f t="shared" ref="Q247" si="709">+P247*$X$1</f>
        <v>41772.5</v>
      </c>
      <c r="R247" s="559">
        <f>F247+150</f>
        <v>41752.5</v>
      </c>
      <c r="S247" s="257">
        <f t="shared" ref="S247" si="710">+R247*$X$1</f>
        <v>41752.5</v>
      </c>
      <c r="T247" s="93">
        <f>F247+130</f>
        <v>41732.5</v>
      </c>
      <c r="U247" s="235">
        <f t="shared" ref="U247" si="711">+T247*$X$1</f>
        <v>41732.5</v>
      </c>
      <c r="V247" s="93">
        <f>F247+110</f>
        <v>41712.5</v>
      </c>
      <c r="W247" s="235">
        <f t="shared" ref="W247" si="712">+V247*$X$1</f>
        <v>41712.5</v>
      </c>
      <c r="X247" s="653"/>
      <c r="Y247" s="638"/>
      <c r="Z247" s="638"/>
      <c r="AA247" s="640"/>
      <c r="AB247" s="178">
        <v>817</v>
      </c>
    </row>
    <row r="248" spans="1:28" ht="12.6" customHeight="1" x14ac:dyDescent="0.2">
      <c r="A248" s="17"/>
      <c r="B248" s="671" t="s">
        <v>863</v>
      </c>
      <c r="C248" s="704"/>
      <c r="D248" s="704"/>
      <c r="E248" s="704"/>
      <c r="F248" s="334">
        <f>16.1*X2</f>
        <v>20769.000000000004</v>
      </c>
      <c r="G248" s="258">
        <f>+F248*$X$1</f>
        <v>20769.000000000004</v>
      </c>
      <c r="H248" s="573">
        <f>F248+600</f>
        <v>21369.000000000004</v>
      </c>
      <c r="I248" s="258">
        <f t="shared" ref="I248" si="713">+H248*$X$1</f>
        <v>21369.000000000004</v>
      </c>
      <c r="J248" s="573">
        <f>F248+260</f>
        <v>21029.000000000004</v>
      </c>
      <c r="K248" s="258">
        <f t="shared" ref="K248" si="714">+J248*$X$1</f>
        <v>21029.000000000004</v>
      </c>
      <c r="L248" s="573">
        <f>F248+230</f>
        <v>20999.000000000004</v>
      </c>
      <c r="M248" s="258">
        <f t="shared" ref="M248" si="715">+L248*$X$1</f>
        <v>20999.000000000004</v>
      </c>
      <c r="N248" s="573">
        <f>F248+200</f>
        <v>20969.000000000004</v>
      </c>
      <c r="O248" s="258">
        <f t="shared" ref="O248" si="716">+N248*$X$1</f>
        <v>20969.000000000004</v>
      </c>
      <c r="P248" s="573">
        <f>F248+170</f>
        <v>20939.000000000004</v>
      </c>
      <c r="Q248" s="258">
        <f t="shared" ref="Q248" si="717">+P248*$X$1</f>
        <v>20939.000000000004</v>
      </c>
      <c r="R248" s="573">
        <f>F248+150</f>
        <v>20919.000000000004</v>
      </c>
      <c r="S248" s="258">
        <f t="shared" ref="S248" si="718">+R248*$X$1</f>
        <v>20919.000000000004</v>
      </c>
      <c r="T248" s="92">
        <f>F248+130</f>
        <v>20899.000000000004</v>
      </c>
      <c r="U248" s="272">
        <f t="shared" ref="U248" si="719">+T248*$X$1</f>
        <v>20899.000000000004</v>
      </c>
      <c r="V248" s="92">
        <f>F248+110</f>
        <v>20879.000000000004</v>
      </c>
      <c r="W248" s="272">
        <f t="shared" ref="W248" si="720">+V248*$X$1</f>
        <v>20879.000000000004</v>
      </c>
      <c r="X248" s="653"/>
      <c r="Y248" s="638"/>
      <c r="Z248" s="638"/>
      <c r="AA248" s="640"/>
      <c r="AB248" s="178">
        <v>818</v>
      </c>
    </row>
    <row r="249" spans="1:28" ht="12.6" customHeight="1" x14ac:dyDescent="0.2">
      <c r="A249" s="17"/>
      <c r="B249" s="654" t="s">
        <v>472</v>
      </c>
      <c r="C249" s="655"/>
      <c r="D249" s="655"/>
      <c r="E249" s="655"/>
      <c r="F249" s="257">
        <v>13990</v>
      </c>
      <c r="G249" s="257">
        <f t="shared" ref="G249" si="721">+F249*$X$1</f>
        <v>13990</v>
      </c>
      <c r="H249" s="559">
        <f t="shared" ref="H249:H276" si="722">F249+600</f>
        <v>14590</v>
      </c>
      <c r="I249" s="257">
        <f t="shared" ref="I249:I276" si="723">+H249*$X$1</f>
        <v>14590</v>
      </c>
      <c r="J249" s="559">
        <f t="shared" ref="J249:J276" si="724">F249+260</f>
        <v>14250</v>
      </c>
      <c r="K249" s="257">
        <f t="shared" ref="K249:K276" si="725">+J249*$X$1</f>
        <v>14250</v>
      </c>
      <c r="L249" s="559">
        <f t="shared" ref="L249:L276" si="726">F249+230</f>
        <v>14220</v>
      </c>
      <c r="M249" s="257">
        <f t="shared" ref="M249:M276" si="727">+L249*$X$1</f>
        <v>14220</v>
      </c>
      <c r="N249" s="559">
        <f t="shared" ref="N249:N276" si="728">F249+200</f>
        <v>14190</v>
      </c>
      <c r="O249" s="257">
        <f t="shared" ref="O249:O276" si="729">+N249*$X$1</f>
        <v>14190</v>
      </c>
      <c r="P249" s="559">
        <f t="shared" ref="P249:P276" si="730">F249+170</f>
        <v>14160</v>
      </c>
      <c r="Q249" s="257">
        <f t="shared" ref="Q249:Q276" si="731">+P249*$X$1</f>
        <v>14160</v>
      </c>
      <c r="R249" s="559">
        <f t="shared" ref="R249:R276" si="732">F249+150</f>
        <v>14140</v>
      </c>
      <c r="S249" s="257">
        <f t="shared" ref="S249:S276" si="733">+R249*$X$1</f>
        <v>14140</v>
      </c>
      <c r="T249" s="93">
        <f t="shared" ref="T249:T276" si="734">F249+130</f>
        <v>14120</v>
      </c>
      <c r="U249" s="235">
        <f t="shared" ref="U249:U276" si="735">+T249*$X$1</f>
        <v>14120</v>
      </c>
      <c r="V249" s="93">
        <f t="shared" ref="V249:V276" si="736">F249+110</f>
        <v>14100</v>
      </c>
      <c r="W249" s="235">
        <f t="shared" ref="W249:W276" si="737">+V249*$X$1</f>
        <v>14100</v>
      </c>
      <c r="X249" s="653"/>
      <c r="Y249" s="638"/>
      <c r="Z249" s="638"/>
      <c r="AA249" s="640"/>
      <c r="AB249" s="178">
        <v>819</v>
      </c>
    </row>
    <row r="250" spans="1:28" ht="12.6" customHeight="1" x14ac:dyDescent="0.2">
      <c r="A250" s="17"/>
      <c r="B250" s="645" t="s">
        <v>639</v>
      </c>
      <c r="C250" s="646"/>
      <c r="D250" s="646"/>
      <c r="E250" s="646"/>
      <c r="F250" s="334">
        <f>4.3*X2</f>
        <v>5547</v>
      </c>
      <c r="G250" s="258">
        <f>+F250*$X$1</f>
        <v>5547</v>
      </c>
      <c r="H250" s="573">
        <f t="shared" si="722"/>
        <v>6147</v>
      </c>
      <c r="I250" s="258">
        <f t="shared" si="723"/>
        <v>6147</v>
      </c>
      <c r="J250" s="573">
        <f t="shared" si="724"/>
        <v>5807</v>
      </c>
      <c r="K250" s="258">
        <f t="shared" si="725"/>
        <v>5807</v>
      </c>
      <c r="L250" s="573">
        <f t="shared" si="726"/>
        <v>5777</v>
      </c>
      <c r="M250" s="258">
        <f t="shared" si="727"/>
        <v>5777</v>
      </c>
      <c r="N250" s="573">
        <f t="shared" si="728"/>
        <v>5747</v>
      </c>
      <c r="O250" s="258">
        <f t="shared" si="729"/>
        <v>5747</v>
      </c>
      <c r="P250" s="573">
        <f t="shared" si="730"/>
        <v>5717</v>
      </c>
      <c r="Q250" s="258">
        <f t="shared" si="731"/>
        <v>5717</v>
      </c>
      <c r="R250" s="573">
        <f t="shared" si="732"/>
        <v>5697</v>
      </c>
      <c r="S250" s="258">
        <f t="shared" si="733"/>
        <v>5697</v>
      </c>
      <c r="T250" s="92">
        <f t="shared" si="734"/>
        <v>5677</v>
      </c>
      <c r="U250" s="272">
        <f t="shared" si="735"/>
        <v>5677</v>
      </c>
      <c r="V250" s="92">
        <f t="shared" si="736"/>
        <v>5657</v>
      </c>
      <c r="W250" s="272">
        <f t="shared" si="737"/>
        <v>5657</v>
      </c>
      <c r="X250" s="653"/>
      <c r="Y250" s="638"/>
      <c r="Z250" s="638"/>
      <c r="AA250" s="640"/>
      <c r="AB250" s="178">
        <v>821</v>
      </c>
    </row>
    <row r="251" spans="1:28" ht="12.6" customHeight="1" x14ac:dyDescent="0.2">
      <c r="A251" s="17"/>
      <c r="B251" s="671" t="s">
        <v>816</v>
      </c>
      <c r="C251" s="672"/>
      <c r="D251" s="672"/>
      <c r="E251" s="672"/>
      <c r="F251" s="333">
        <f>12.06*X2</f>
        <v>15557.400000000001</v>
      </c>
      <c r="G251" s="257">
        <f t="shared" ref="G251" si="738">+F251*$X$1</f>
        <v>15557.400000000001</v>
      </c>
      <c r="H251" s="559">
        <f t="shared" si="722"/>
        <v>16157.400000000001</v>
      </c>
      <c r="I251" s="257">
        <f t="shared" si="723"/>
        <v>16157.400000000001</v>
      </c>
      <c r="J251" s="559">
        <f t="shared" si="724"/>
        <v>15817.400000000001</v>
      </c>
      <c r="K251" s="257">
        <f t="shared" si="725"/>
        <v>15817.400000000001</v>
      </c>
      <c r="L251" s="559">
        <f t="shared" si="726"/>
        <v>15787.400000000001</v>
      </c>
      <c r="M251" s="257">
        <f t="shared" si="727"/>
        <v>15787.400000000001</v>
      </c>
      <c r="N251" s="559">
        <f t="shared" si="728"/>
        <v>15757.400000000001</v>
      </c>
      <c r="O251" s="257">
        <f t="shared" si="729"/>
        <v>15757.400000000001</v>
      </c>
      <c r="P251" s="559">
        <f t="shared" si="730"/>
        <v>15727.400000000001</v>
      </c>
      <c r="Q251" s="257">
        <f t="shared" si="731"/>
        <v>15727.400000000001</v>
      </c>
      <c r="R251" s="559">
        <f t="shared" si="732"/>
        <v>15707.400000000001</v>
      </c>
      <c r="S251" s="257">
        <f t="shared" si="733"/>
        <v>15707.400000000001</v>
      </c>
      <c r="T251" s="93">
        <f t="shared" si="734"/>
        <v>15687.400000000001</v>
      </c>
      <c r="U251" s="235">
        <f t="shared" si="735"/>
        <v>15687.400000000001</v>
      </c>
      <c r="V251" s="93">
        <f t="shared" si="736"/>
        <v>15667.400000000001</v>
      </c>
      <c r="W251" s="235">
        <f t="shared" si="737"/>
        <v>15667.400000000001</v>
      </c>
      <c r="X251" s="653"/>
      <c r="Y251" s="638"/>
      <c r="Z251" s="638"/>
      <c r="AA251" s="640"/>
      <c r="AB251" s="178">
        <v>822</v>
      </c>
    </row>
    <row r="252" spans="1:28" ht="12.6" customHeight="1" x14ac:dyDescent="0.2">
      <c r="A252" s="17"/>
      <c r="B252" s="645" t="s">
        <v>468</v>
      </c>
      <c r="C252" s="646"/>
      <c r="D252" s="646"/>
      <c r="E252" s="646"/>
      <c r="F252" s="258">
        <v>12995</v>
      </c>
      <c r="G252" s="258">
        <f>+F252*$X$1</f>
        <v>12995</v>
      </c>
      <c r="H252" s="573">
        <f t="shared" si="722"/>
        <v>13595</v>
      </c>
      <c r="I252" s="258">
        <f t="shared" si="723"/>
        <v>13595</v>
      </c>
      <c r="J252" s="573">
        <f t="shared" si="724"/>
        <v>13255</v>
      </c>
      <c r="K252" s="258">
        <f t="shared" si="725"/>
        <v>13255</v>
      </c>
      <c r="L252" s="573">
        <f t="shared" si="726"/>
        <v>13225</v>
      </c>
      <c r="M252" s="258">
        <f t="shared" si="727"/>
        <v>13225</v>
      </c>
      <c r="N252" s="573">
        <f t="shared" si="728"/>
        <v>13195</v>
      </c>
      <c r="O252" s="258">
        <f t="shared" si="729"/>
        <v>13195</v>
      </c>
      <c r="P252" s="573">
        <f t="shared" si="730"/>
        <v>13165</v>
      </c>
      <c r="Q252" s="258">
        <f t="shared" si="731"/>
        <v>13165</v>
      </c>
      <c r="R252" s="573">
        <f t="shared" si="732"/>
        <v>13145</v>
      </c>
      <c r="S252" s="258">
        <f t="shared" si="733"/>
        <v>13145</v>
      </c>
      <c r="T252" s="92">
        <f t="shared" si="734"/>
        <v>13125</v>
      </c>
      <c r="U252" s="272">
        <f t="shared" si="735"/>
        <v>13125</v>
      </c>
      <c r="V252" s="92">
        <f t="shared" si="736"/>
        <v>13105</v>
      </c>
      <c r="W252" s="272">
        <f t="shared" si="737"/>
        <v>13105</v>
      </c>
      <c r="X252" s="653"/>
      <c r="Y252" s="638"/>
      <c r="Z252" s="638"/>
      <c r="AA252" s="640"/>
      <c r="AB252" s="178">
        <v>823</v>
      </c>
    </row>
    <row r="253" spans="1:28" ht="12.6" customHeight="1" x14ac:dyDescent="0.2">
      <c r="A253" s="17"/>
      <c r="B253" s="654" t="s">
        <v>824</v>
      </c>
      <c r="C253" s="655"/>
      <c r="D253" s="655"/>
      <c r="E253" s="655"/>
      <c r="F253" s="333">
        <f>3.2*X2</f>
        <v>4128</v>
      </c>
      <c r="G253" s="257">
        <f t="shared" ref="G253" si="739">+F253*$X$1</f>
        <v>4128</v>
      </c>
      <c r="H253" s="559">
        <f t="shared" si="722"/>
        <v>4728</v>
      </c>
      <c r="I253" s="257">
        <f t="shared" si="723"/>
        <v>4728</v>
      </c>
      <c r="J253" s="559">
        <f t="shared" si="724"/>
        <v>4388</v>
      </c>
      <c r="K253" s="257">
        <f t="shared" si="725"/>
        <v>4388</v>
      </c>
      <c r="L253" s="559">
        <f t="shared" si="726"/>
        <v>4358</v>
      </c>
      <c r="M253" s="257">
        <f t="shared" si="727"/>
        <v>4358</v>
      </c>
      <c r="N253" s="559">
        <f t="shared" si="728"/>
        <v>4328</v>
      </c>
      <c r="O253" s="257">
        <f t="shared" si="729"/>
        <v>4328</v>
      </c>
      <c r="P253" s="559">
        <f t="shared" si="730"/>
        <v>4298</v>
      </c>
      <c r="Q253" s="257">
        <f t="shared" si="731"/>
        <v>4298</v>
      </c>
      <c r="R253" s="559">
        <f t="shared" si="732"/>
        <v>4278</v>
      </c>
      <c r="S253" s="257">
        <f t="shared" si="733"/>
        <v>4278</v>
      </c>
      <c r="T253" s="93">
        <f t="shared" si="734"/>
        <v>4258</v>
      </c>
      <c r="U253" s="235">
        <f t="shared" si="735"/>
        <v>4258</v>
      </c>
      <c r="V253" s="93">
        <f t="shared" si="736"/>
        <v>4238</v>
      </c>
      <c r="W253" s="235">
        <f t="shared" si="737"/>
        <v>4238</v>
      </c>
      <c r="X253" s="653"/>
      <c r="Y253" s="638"/>
      <c r="Z253" s="638"/>
      <c r="AA253" s="640"/>
      <c r="AB253" s="178">
        <v>824</v>
      </c>
    </row>
    <row r="254" spans="1:28" ht="12.6" customHeight="1" x14ac:dyDescent="0.2">
      <c r="A254" s="17"/>
      <c r="B254" s="645" t="s">
        <v>766</v>
      </c>
      <c r="C254" s="646"/>
      <c r="D254" s="646"/>
      <c r="E254" s="646"/>
      <c r="F254" s="334">
        <f>3*X2</f>
        <v>3870</v>
      </c>
      <c r="G254" s="258">
        <f>+F254*$X$1</f>
        <v>3870</v>
      </c>
      <c r="H254" s="573">
        <f t="shared" si="722"/>
        <v>4470</v>
      </c>
      <c r="I254" s="258">
        <f t="shared" si="723"/>
        <v>4470</v>
      </c>
      <c r="J254" s="573">
        <f t="shared" si="724"/>
        <v>4130</v>
      </c>
      <c r="K254" s="258">
        <f t="shared" si="725"/>
        <v>4130</v>
      </c>
      <c r="L254" s="573">
        <f t="shared" si="726"/>
        <v>4100</v>
      </c>
      <c r="M254" s="258">
        <f t="shared" si="727"/>
        <v>4100</v>
      </c>
      <c r="N254" s="573">
        <f t="shared" si="728"/>
        <v>4070</v>
      </c>
      <c r="O254" s="258">
        <f t="shared" si="729"/>
        <v>4070</v>
      </c>
      <c r="P254" s="573">
        <f t="shared" si="730"/>
        <v>4040</v>
      </c>
      <c r="Q254" s="258">
        <f t="shared" si="731"/>
        <v>4040</v>
      </c>
      <c r="R254" s="573">
        <f t="shared" si="732"/>
        <v>4020</v>
      </c>
      <c r="S254" s="258">
        <f t="shared" si="733"/>
        <v>4020</v>
      </c>
      <c r="T254" s="92">
        <f t="shared" si="734"/>
        <v>4000</v>
      </c>
      <c r="U254" s="272">
        <f t="shared" si="735"/>
        <v>4000</v>
      </c>
      <c r="V254" s="92">
        <f t="shared" si="736"/>
        <v>3980</v>
      </c>
      <c r="W254" s="272">
        <f t="shared" si="737"/>
        <v>3980</v>
      </c>
      <c r="X254" s="653"/>
      <c r="Y254" s="638"/>
      <c r="Z254" s="638"/>
      <c r="AA254" s="640"/>
      <c r="AB254" s="178">
        <v>825</v>
      </c>
    </row>
    <row r="255" spans="1:28" ht="12.6" customHeight="1" x14ac:dyDescent="0.2">
      <c r="A255" s="17"/>
      <c r="B255" s="654" t="s">
        <v>634</v>
      </c>
      <c r="C255" s="655"/>
      <c r="D255" s="655"/>
      <c r="E255" s="655"/>
      <c r="F255" s="333">
        <f>6.7*X2</f>
        <v>8643</v>
      </c>
      <c r="G255" s="257">
        <f>+F255*$X$1</f>
        <v>8643</v>
      </c>
      <c r="H255" s="559">
        <f t="shared" si="722"/>
        <v>9243</v>
      </c>
      <c r="I255" s="257">
        <f t="shared" si="723"/>
        <v>9243</v>
      </c>
      <c r="J255" s="559">
        <f t="shared" si="724"/>
        <v>8903</v>
      </c>
      <c r="K255" s="257">
        <f t="shared" si="725"/>
        <v>8903</v>
      </c>
      <c r="L255" s="559">
        <f t="shared" si="726"/>
        <v>8873</v>
      </c>
      <c r="M255" s="257">
        <f t="shared" si="727"/>
        <v>8873</v>
      </c>
      <c r="N255" s="559">
        <f t="shared" si="728"/>
        <v>8843</v>
      </c>
      <c r="O255" s="257">
        <f t="shared" si="729"/>
        <v>8843</v>
      </c>
      <c r="P255" s="559">
        <f t="shared" si="730"/>
        <v>8813</v>
      </c>
      <c r="Q255" s="257">
        <f t="shared" si="731"/>
        <v>8813</v>
      </c>
      <c r="R255" s="559">
        <f t="shared" si="732"/>
        <v>8793</v>
      </c>
      <c r="S255" s="257">
        <f t="shared" si="733"/>
        <v>8793</v>
      </c>
      <c r="T255" s="93">
        <f t="shared" si="734"/>
        <v>8773</v>
      </c>
      <c r="U255" s="235">
        <f t="shared" si="735"/>
        <v>8773</v>
      </c>
      <c r="V255" s="93">
        <f t="shared" si="736"/>
        <v>8753</v>
      </c>
      <c r="W255" s="235">
        <f t="shared" si="737"/>
        <v>8753</v>
      </c>
      <c r="X255" s="653"/>
      <c r="Y255" s="638"/>
      <c r="Z255" s="638"/>
      <c r="AA255" s="640"/>
      <c r="AB255" s="178">
        <v>826</v>
      </c>
    </row>
    <row r="256" spans="1:28" ht="12.6" customHeight="1" x14ac:dyDescent="0.2">
      <c r="A256" s="17"/>
      <c r="B256" s="662" t="s">
        <v>796</v>
      </c>
      <c r="C256" s="646"/>
      <c r="D256" s="646"/>
      <c r="E256" s="646"/>
      <c r="F256" s="334">
        <f>2.9*X2</f>
        <v>3741</v>
      </c>
      <c r="G256" s="258">
        <f t="shared" ref="G256" si="740">+F256*$X$1</f>
        <v>3741</v>
      </c>
      <c r="H256" s="573">
        <f t="shared" si="722"/>
        <v>4341</v>
      </c>
      <c r="I256" s="258">
        <f t="shared" si="723"/>
        <v>4341</v>
      </c>
      <c r="J256" s="573">
        <f t="shared" si="724"/>
        <v>4001</v>
      </c>
      <c r="K256" s="258">
        <f t="shared" si="725"/>
        <v>4001</v>
      </c>
      <c r="L256" s="573">
        <f t="shared" si="726"/>
        <v>3971</v>
      </c>
      <c r="M256" s="258">
        <f t="shared" si="727"/>
        <v>3971</v>
      </c>
      <c r="N256" s="573">
        <f t="shared" si="728"/>
        <v>3941</v>
      </c>
      <c r="O256" s="258">
        <f t="shared" si="729"/>
        <v>3941</v>
      </c>
      <c r="P256" s="573">
        <f t="shared" si="730"/>
        <v>3911</v>
      </c>
      <c r="Q256" s="258">
        <f t="shared" si="731"/>
        <v>3911</v>
      </c>
      <c r="R256" s="573">
        <f t="shared" si="732"/>
        <v>3891</v>
      </c>
      <c r="S256" s="258">
        <f t="shared" si="733"/>
        <v>3891</v>
      </c>
      <c r="T256" s="92">
        <f t="shared" si="734"/>
        <v>3871</v>
      </c>
      <c r="U256" s="272">
        <f t="shared" si="735"/>
        <v>3871</v>
      </c>
      <c r="V256" s="92">
        <f t="shared" si="736"/>
        <v>3851</v>
      </c>
      <c r="W256" s="272">
        <f t="shared" si="737"/>
        <v>3851</v>
      </c>
      <c r="X256" s="653"/>
      <c r="Y256" s="638"/>
      <c r="Z256" s="638"/>
      <c r="AA256" s="640"/>
      <c r="AB256" s="178">
        <v>827</v>
      </c>
    </row>
    <row r="257" spans="1:28" ht="12.6" customHeight="1" x14ac:dyDescent="0.2">
      <c r="A257" s="17"/>
      <c r="B257" s="776" t="s">
        <v>635</v>
      </c>
      <c r="C257" s="788"/>
      <c r="D257" s="788"/>
      <c r="E257" s="788"/>
      <c r="F257" s="473">
        <f>6.82*X2</f>
        <v>8797.8000000000011</v>
      </c>
      <c r="G257" s="469">
        <f>+F257*$X$1</f>
        <v>8797.8000000000011</v>
      </c>
      <c r="H257" s="554">
        <f t="shared" si="722"/>
        <v>9397.8000000000011</v>
      </c>
      <c r="I257" s="469">
        <f t="shared" si="723"/>
        <v>9397.8000000000011</v>
      </c>
      <c r="J257" s="554">
        <f t="shared" si="724"/>
        <v>9057.8000000000011</v>
      </c>
      <c r="K257" s="469">
        <f t="shared" si="725"/>
        <v>9057.8000000000011</v>
      </c>
      <c r="L257" s="554">
        <f t="shared" si="726"/>
        <v>9027.8000000000011</v>
      </c>
      <c r="M257" s="469">
        <f t="shared" si="727"/>
        <v>9027.8000000000011</v>
      </c>
      <c r="N257" s="554">
        <f t="shared" si="728"/>
        <v>8997.8000000000011</v>
      </c>
      <c r="O257" s="469">
        <f t="shared" si="729"/>
        <v>8997.8000000000011</v>
      </c>
      <c r="P257" s="554">
        <f t="shared" si="730"/>
        <v>8967.8000000000011</v>
      </c>
      <c r="Q257" s="469">
        <f t="shared" si="731"/>
        <v>8967.8000000000011</v>
      </c>
      <c r="R257" s="554">
        <f t="shared" si="732"/>
        <v>8947.8000000000011</v>
      </c>
      <c r="S257" s="469">
        <f t="shared" si="733"/>
        <v>8947.8000000000011</v>
      </c>
      <c r="T257" s="549">
        <f t="shared" si="734"/>
        <v>8927.8000000000011</v>
      </c>
      <c r="U257" s="548">
        <f t="shared" si="735"/>
        <v>8927.8000000000011</v>
      </c>
      <c r="V257" s="549">
        <f t="shared" si="736"/>
        <v>8907.8000000000011</v>
      </c>
      <c r="W257" s="548">
        <f t="shared" si="737"/>
        <v>8907.8000000000011</v>
      </c>
      <c r="X257" s="653"/>
      <c r="Y257" s="638"/>
      <c r="Z257" s="638"/>
      <c r="AA257" s="640"/>
      <c r="AB257" s="178">
        <v>828</v>
      </c>
    </row>
    <row r="258" spans="1:28" ht="12.6" customHeight="1" x14ac:dyDescent="0.2">
      <c r="A258" s="17"/>
      <c r="B258" s="645" t="s">
        <v>570</v>
      </c>
      <c r="C258" s="646"/>
      <c r="D258" s="646"/>
      <c r="E258" s="646"/>
      <c r="F258" s="334">
        <f>3.612*X2</f>
        <v>4659.4800000000005</v>
      </c>
      <c r="G258" s="258">
        <f>+F258*$X$1</f>
        <v>4659.4800000000005</v>
      </c>
      <c r="H258" s="573">
        <f t="shared" si="722"/>
        <v>5259.4800000000005</v>
      </c>
      <c r="I258" s="258">
        <f t="shared" si="723"/>
        <v>5259.4800000000005</v>
      </c>
      <c r="J258" s="573">
        <f t="shared" si="724"/>
        <v>4919.4800000000005</v>
      </c>
      <c r="K258" s="258">
        <f t="shared" si="725"/>
        <v>4919.4800000000005</v>
      </c>
      <c r="L258" s="573">
        <f t="shared" si="726"/>
        <v>4889.4800000000005</v>
      </c>
      <c r="M258" s="258">
        <f t="shared" si="727"/>
        <v>4889.4800000000005</v>
      </c>
      <c r="N258" s="573">
        <f t="shared" si="728"/>
        <v>4859.4800000000005</v>
      </c>
      <c r="O258" s="258">
        <f t="shared" si="729"/>
        <v>4859.4800000000005</v>
      </c>
      <c r="P258" s="573">
        <f t="shared" si="730"/>
        <v>4829.4800000000005</v>
      </c>
      <c r="Q258" s="258">
        <f t="shared" si="731"/>
        <v>4829.4800000000005</v>
      </c>
      <c r="R258" s="573">
        <f t="shared" si="732"/>
        <v>4809.4800000000005</v>
      </c>
      <c r="S258" s="258">
        <f t="shared" si="733"/>
        <v>4809.4800000000005</v>
      </c>
      <c r="T258" s="92">
        <f t="shared" si="734"/>
        <v>4789.4800000000005</v>
      </c>
      <c r="U258" s="272">
        <f t="shared" si="735"/>
        <v>4789.4800000000005</v>
      </c>
      <c r="V258" s="92">
        <f t="shared" si="736"/>
        <v>4769.4800000000005</v>
      </c>
      <c r="W258" s="272">
        <f t="shared" si="737"/>
        <v>4769.4800000000005</v>
      </c>
      <c r="X258" s="653"/>
      <c r="Y258" s="638"/>
      <c r="Z258" s="638"/>
      <c r="AA258" s="640"/>
      <c r="AB258" s="178">
        <v>829</v>
      </c>
    </row>
    <row r="259" spans="1:28" ht="12.6" customHeight="1" x14ac:dyDescent="0.2">
      <c r="A259" s="17"/>
      <c r="B259" s="654" t="s">
        <v>767</v>
      </c>
      <c r="C259" s="655"/>
      <c r="D259" s="655"/>
      <c r="E259" s="655"/>
      <c r="F259" s="333">
        <f>7.75*X2</f>
        <v>9997.5</v>
      </c>
      <c r="G259" s="257">
        <f>+F259*$X$1</f>
        <v>9997.5</v>
      </c>
      <c r="H259" s="559">
        <f t="shared" si="722"/>
        <v>10597.5</v>
      </c>
      <c r="I259" s="257">
        <f t="shared" si="723"/>
        <v>10597.5</v>
      </c>
      <c r="J259" s="559">
        <f t="shared" si="724"/>
        <v>10257.5</v>
      </c>
      <c r="K259" s="257">
        <f t="shared" si="725"/>
        <v>10257.5</v>
      </c>
      <c r="L259" s="559">
        <f t="shared" si="726"/>
        <v>10227.5</v>
      </c>
      <c r="M259" s="257">
        <f t="shared" si="727"/>
        <v>10227.5</v>
      </c>
      <c r="N259" s="559">
        <f t="shared" si="728"/>
        <v>10197.5</v>
      </c>
      <c r="O259" s="257">
        <f t="shared" si="729"/>
        <v>10197.5</v>
      </c>
      <c r="P259" s="559">
        <f t="shared" si="730"/>
        <v>10167.5</v>
      </c>
      <c r="Q259" s="257">
        <f t="shared" si="731"/>
        <v>10167.5</v>
      </c>
      <c r="R259" s="559">
        <f t="shared" si="732"/>
        <v>10147.5</v>
      </c>
      <c r="S259" s="257">
        <f t="shared" si="733"/>
        <v>10147.5</v>
      </c>
      <c r="T259" s="93">
        <f t="shared" si="734"/>
        <v>10127.5</v>
      </c>
      <c r="U259" s="235">
        <f t="shared" si="735"/>
        <v>10127.5</v>
      </c>
      <c r="V259" s="93">
        <f t="shared" si="736"/>
        <v>10107.5</v>
      </c>
      <c r="W259" s="235">
        <f t="shared" si="737"/>
        <v>10107.5</v>
      </c>
      <c r="X259" s="653"/>
      <c r="Y259" s="638"/>
      <c r="Z259" s="638"/>
      <c r="AA259" s="640"/>
      <c r="AB259" s="178">
        <v>831</v>
      </c>
    </row>
    <row r="260" spans="1:28" ht="12.6" customHeight="1" x14ac:dyDescent="0.2">
      <c r="A260" s="17"/>
      <c r="B260" s="645" t="s">
        <v>912</v>
      </c>
      <c r="C260" s="646"/>
      <c r="D260" s="646"/>
      <c r="E260" s="646"/>
      <c r="F260" s="334">
        <f>2.81*X2</f>
        <v>3624.9</v>
      </c>
      <c r="G260" s="258">
        <f t="shared" ref="G260" si="741">+F260*$X$1</f>
        <v>3624.9</v>
      </c>
      <c r="H260" s="573">
        <f t="shared" si="722"/>
        <v>4224.8999999999996</v>
      </c>
      <c r="I260" s="258">
        <f t="shared" si="723"/>
        <v>4224.8999999999996</v>
      </c>
      <c r="J260" s="573">
        <f t="shared" si="724"/>
        <v>3884.9</v>
      </c>
      <c r="K260" s="258">
        <f t="shared" si="725"/>
        <v>3884.9</v>
      </c>
      <c r="L260" s="573"/>
      <c r="M260" s="258"/>
      <c r="N260" s="573"/>
      <c r="O260" s="258"/>
      <c r="P260" s="573"/>
      <c r="Q260" s="258"/>
      <c r="R260" s="573"/>
      <c r="S260" s="258"/>
      <c r="T260" s="92"/>
      <c r="U260" s="272"/>
      <c r="V260" s="92"/>
      <c r="W260" s="272"/>
      <c r="X260" s="653"/>
      <c r="Y260" s="638"/>
      <c r="Z260" s="638"/>
      <c r="AA260" s="640"/>
      <c r="AB260" s="178">
        <v>832</v>
      </c>
    </row>
    <row r="261" spans="1:28" ht="12.6" customHeight="1" x14ac:dyDescent="0.2">
      <c r="A261" s="17"/>
      <c r="B261" s="654" t="s">
        <v>521</v>
      </c>
      <c r="C261" s="655"/>
      <c r="D261" s="655"/>
      <c r="E261" s="655"/>
      <c r="F261" s="333">
        <f>11.8*X2</f>
        <v>15222.000000000002</v>
      </c>
      <c r="G261" s="257">
        <f t="shared" ref="G261" si="742">+F261*$X$1</f>
        <v>15222.000000000002</v>
      </c>
      <c r="H261" s="559">
        <f t="shared" si="722"/>
        <v>15822.000000000002</v>
      </c>
      <c r="I261" s="257">
        <f t="shared" si="723"/>
        <v>15822.000000000002</v>
      </c>
      <c r="J261" s="559">
        <f t="shared" si="724"/>
        <v>15482.000000000002</v>
      </c>
      <c r="K261" s="257">
        <f t="shared" si="725"/>
        <v>15482.000000000002</v>
      </c>
      <c r="L261" s="559">
        <f t="shared" si="726"/>
        <v>15452.000000000002</v>
      </c>
      <c r="M261" s="257">
        <f t="shared" si="727"/>
        <v>15452.000000000002</v>
      </c>
      <c r="N261" s="559">
        <f t="shared" si="728"/>
        <v>15422.000000000002</v>
      </c>
      <c r="O261" s="257">
        <f t="shared" si="729"/>
        <v>15422.000000000002</v>
      </c>
      <c r="P261" s="559">
        <f t="shared" si="730"/>
        <v>15392.000000000002</v>
      </c>
      <c r="Q261" s="257">
        <f t="shared" si="731"/>
        <v>15392.000000000002</v>
      </c>
      <c r="R261" s="559">
        <f t="shared" si="732"/>
        <v>15372.000000000002</v>
      </c>
      <c r="S261" s="257">
        <f t="shared" si="733"/>
        <v>15372.000000000002</v>
      </c>
      <c r="T261" s="93">
        <f t="shared" si="734"/>
        <v>15352.000000000002</v>
      </c>
      <c r="U261" s="235">
        <f t="shared" si="735"/>
        <v>15352.000000000002</v>
      </c>
      <c r="V261" s="93">
        <f t="shared" si="736"/>
        <v>15332.000000000002</v>
      </c>
      <c r="W261" s="235">
        <f t="shared" si="737"/>
        <v>15332.000000000002</v>
      </c>
      <c r="X261" s="653"/>
      <c r="Y261" s="638"/>
      <c r="Z261" s="638"/>
      <c r="AA261" s="640"/>
      <c r="AB261" s="178">
        <v>833</v>
      </c>
    </row>
    <row r="262" spans="1:28" ht="12.6" customHeight="1" x14ac:dyDescent="0.2">
      <c r="A262" s="17"/>
      <c r="B262" s="645" t="s">
        <v>566</v>
      </c>
      <c r="C262" s="646"/>
      <c r="D262" s="646"/>
      <c r="E262" s="646"/>
      <c r="F262" s="334">
        <f>7.33*X2</f>
        <v>9455.7000000000007</v>
      </c>
      <c r="G262" s="258">
        <f t="shared" ref="G262" si="743">+F262*$X$1</f>
        <v>9455.7000000000007</v>
      </c>
      <c r="H262" s="573">
        <f t="shared" si="722"/>
        <v>10055.700000000001</v>
      </c>
      <c r="I262" s="258">
        <f t="shared" si="723"/>
        <v>10055.700000000001</v>
      </c>
      <c r="J262" s="573">
        <f t="shared" si="724"/>
        <v>9715.7000000000007</v>
      </c>
      <c r="K262" s="258">
        <f t="shared" si="725"/>
        <v>9715.7000000000007</v>
      </c>
      <c r="L262" s="573">
        <f t="shared" si="726"/>
        <v>9685.7000000000007</v>
      </c>
      <c r="M262" s="258">
        <f t="shared" si="727"/>
        <v>9685.7000000000007</v>
      </c>
      <c r="N262" s="573">
        <f t="shared" si="728"/>
        <v>9655.7000000000007</v>
      </c>
      <c r="O262" s="258">
        <f t="shared" si="729"/>
        <v>9655.7000000000007</v>
      </c>
      <c r="P262" s="573">
        <f t="shared" si="730"/>
        <v>9625.7000000000007</v>
      </c>
      <c r="Q262" s="258">
        <f t="shared" si="731"/>
        <v>9625.7000000000007</v>
      </c>
      <c r="R262" s="573">
        <f t="shared" si="732"/>
        <v>9605.7000000000007</v>
      </c>
      <c r="S262" s="258">
        <f t="shared" si="733"/>
        <v>9605.7000000000007</v>
      </c>
      <c r="T262" s="92">
        <f t="shared" si="734"/>
        <v>9585.7000000000007</v>
      </c>
      <c r="U262" s="272">
        <f t="shared" si="735"/>
        <v>9585.7000000000007</v>
      </c>
      <c r="V262" s="92">
        <f t="shared" si="736"/>
        <v>9565.7000000000007</v>
      </c>
      <c r="W262" s="272">
        <f t="shared" si="737"/>
        <v>9565.7000000000007</v>
      </c>
      <c r="X262" s="653"/>
      <c r="Y262" s="638"/>
      <c r="Z262" s="638"/>
      <c r="AA262" s="640"/>
      <c r="AB262" s="178">
        <v>834</v>
      </c>
    </row>
    <row r="263" spans="1:28" ht="12.6" customHeight="1" x14ac:dyDescent="0.2">
      <c r="A263" s="17"/>
      <c r="B263" s="654" t="s">
        <v>568</v>
      </c>
      <c r="C263" s="655"/>
      <c r="D263" s="655"/>
      <c r="E263" s="655"/>
      <c r="F263" s="333">
        <f>7.2*X2</f>
        <v>9288</v>
      </c>
      <c r="G263" s="257">
        <f>+F263*$X$1</f>
        <v>9288</v>
      </c>
      <c r="H263" s="559">
        <f t="shared" si="722"/>
        <v>9888</v>
      </c>
      <c r="I263" s="257">
        <f t="shared" si="723"/>
        <v>9888</v>
      </c>
      <c r="J263" s="559">
        <f t="shared" si="724"/>
        <v>9548</v>
      </c>
      <c r="K263" s="257">
        <f t="shared" si="725"/>
        <v>9548</v>
      </c>
      <c r="L263" s="559">
        <f t="shared" si="726"/>
        <v>9518</v>
      </c>
      <c r="M263" s="257">
        <f t="shared" si="727"/>
        <v>9518</v>
      </c>
      <c r="N263" s="559">
        <f t="shared" si="728"/>
        <v>9488</v>
      </c>
      <c r="O263" s="257">
        <f t="shared" si="729"/>
        <v>9488</v>
      </c>
      <c r="P263" s="559">
        <f t="shared" si="730"/>
        <v>9458</v>
      </c>
      <c r="Q263" s="257">
        <f t="shared" si="731"/>
        <v>9458</v>
      </c>
      <c r="R263" s="559">
        <f t="shared" si="732"/>
        <v>9438</v>
      </c>
      <c r="S263" s="257">
        <f t="shared" si="733"/>
        <v>9438</v>
      </c>
      <c r="T263" s="93">
        <f t="shared" si="734"/>
        <v>9418</v>
      </c>
      <c r="U263" s="235">
        <f t="shared" si="735"/>
        <v>9418</v>
      </c>
      <c r="V263" s="93">
        <f t="shared" si="736"/>
        <v>9398</v>
      </c>
      <c r="W263" s="235">
        <f t="shared" si="737"/>
        <v>9398</v>
      </c>
      <c r="X263" s="653"/>
      <c r="Y263" s="638"/>
      <c r="Z263" s="638"/>
      <c r="AA263" s="640"/>
      <c r="AB263" s="178">
        <v>836</v>
      </c>
    </row>
    <row r="264" spans="1:28" ht="12.6" customHeight="1" x14ac:dyDescent="0.2">
      <c r="A264" s="17"/>
      <c r="B264" s="662" t="s">
        <v>788</v>
      </c>
      <c r="C264" s="646"/>
      <c r="D264" s="646"/>
      <c r="E264" s="646"/>
      <c r="F264" s="334">
        <f>4.8*X2</f>
        <v>6192</v>
      </c>
      <c r="G264" s="258">
        <f t="shared" ref="G264" si="744">+F264*$X$1</f>
        <v>6192</v>
      </c>
      <c r="H264" s="573">
        <f t="shared" si="722"/>
        <v>6792</v>
      </c>
      <c r="I264" s="258">
        <f t="shared" si="723"/>
        <v>6792</v>
      </c>
      <c r="J264" s="573">
        <f t="shared" si="724"/>
        <v>6452</v>
      </c>
      <c r="K264" s="258">
        <f t="shared" si="725"/>
        <v>6452</v>
      </c>
      <c r="L264" s="573">
        <f t="shared" si="726"/>
        <v>6422</v>
      </c>
      <c r="M264" s="258">
        <f t="shared" si="727"/>
        <v>6422</v>
      </c>
      <c r="N264" s="573">
        <f t="shared" si="728"/>
        <v>6392</v>
      </c>
      <c r="O264" s="258">
        <f t="shared" si="729"/>
        <v>6392</v>
      </c>
      <c r="P264" s="573">
        <f t="shared" si="730"/>
        <v>6362</v>
      </c>
      <c r="Q264" s="258">
        <f t="shared" si="731"/>
        <v>6362</v>
      </c>
      <c r="R264" s="573">
        <f t="shared" si="732"/>
        <v>6342</v>
      </c>
      <c r="S264" s="258">
        <f t="shared" si="733"/>
        <v>6342</v>
      </c>
      <c r="T264" s="92">
        <f t="shared" si="734"/>
        <v>6322</v>
      </c>
      <c r="U264" s="272">
        <f t="shared" si="735"/>
        <v>6322</v>
      </c>
      <c r="V264" s="92">
        <f t="shared" si="736"/>
        <v>6302</v>
      </c>
      <c r="W264" s="272">
        <f t="shared" si="737"/>
        <v>6302</v>
      </c>
      <c r="X264" s="653"/>
      <c r="Y264" s="638"/>
      <c r="Z264" s="638"/>
      <c r="AA264" s="640"/>
      <c r="AB264" s="178">
        <v>837</v>
      </c>
    </row>
    <row r="265" spans="1:28" ht="12.6" customHeight="1" x14ac:dyDescent="0.2">
      <c r="A265" s="17"/>
      <c r="B265" s="784" t="s">
        <v>895</v>
      </c>
      <c r="C265" s="672"/>
      <c r="D265" s="672"/>
      <c r="E265" s="672"/>
      <c r="F265" s="333">
        <f>7.98*X2</f>
        <v>10294.200000000001</v>
      </c>
      <c r="G265" s="257">
        <f t="shared" ref="G265" si="745">+F265*$X$1</f>
        <v>10294.200000000001</v>
      </c>
      <c r="H265" s="559">
        <f t="shared" si="722"/>
        <v>10894.2</v>
      </c>
      <c r="I265" s="257">
        <f t="shared" si="723"/>
        <v>10894.2</v>
      </c>
      <c r="J265" s="559">
        <f t="shared" si="724"/>
        <v>10554.2</v>
      </c>
      <c r="K265" s="257">
        <f t="shared" si="725"/>
        <v>10554.2</v>
      </c>
      <c r="L265" s="559">
        <f t="shared" si="726"/>
        <v>10524.2</v>
      </c>
      <c r="M265" s="257">
        <f t="shared" si="727"/>
        <v>10524.2</v>
      </c>
      <c r="N265" s="559">
        <f t="shared" si="728"/>
        <v>10494.2</v>
      </c>
      <c r="O265" s="257">
        <f t="shared" si="729"/>
        <v>10494.2</v>
      </c>
      <c r="P265" s="559">
        <f t="shared" si="730"/>
        <v>10464.200000000001</v>
      </c>
      <c r="Q265" s="257">
        <f t="shared" si="731"/>
        <v>10464.200000000001</v>
      </c>
      <c r="R265" s="559">
        <f t="shared" si="732"/>
        <v>10444.200000000001</v>
      </c>
      <c r="S265" s="257">
        <f t="shared" si="733"/>
        <v>10444.200000000001</v>
      </c>
      <c r="T265" s="93">
        <f t="shared" si="734"/>
        <v>10424.200000000001</v>
      </c>
      <c r="U265" s="235">
        <f t="shared" si="735"/>
        <v>10424.200000000001</v>
      </c>
      <c r="V265" s="93">
        <f t="shared" si="736"/>
        <v>10404.200000000001</v>
      </c>
      <c r="W265" s="235">
        <f t="shared" si="737"/>
        <v>10404.200000000001</v>
      </c>
      <c r="X265" s="653"/>
      <c r="Y265" s="638"/>
      <c r="Z265" s="638"/>
      <c r="AA265" s="640"/>
      <c r="AB265" s="178">
        <v>838</v>
      </c>
    </row>
    <row r="266" spans="1:28" ht="12.6" customHeight="1" x14ac:dyDescent="0.2">
      <c r="A266" s="17"/>
      <c r="B266" s="784" t="s">
        <v>892</v>
      </c>
      <c r="C266" s="672"/>
      <c r="D266" s="672"/>
      <c r="E266" s="672"/>
      <c r="F266" s="334">
        <f>2.55*X2</f>
        <v>3289.4999999999995</v>
      </c>
      <c r="G266" s="258">
        <f t="shared" ref="G266" si="746">+F266*$X$1</f>
        <v>3289.4999999999995</v>
      </c>
      <c r="H266" s="573">
        <f t="shared" si="722"/>
        <v>3889.4999999999995</v>
      </c>
      <c r="I266" s="258">
        <f t="shared" si="723"/>
        <v>3889.4999999999995</v>
      </c>
      <c r="J266" s="573">
        <f t="shared" si="724"/>
        <v>3549.4999999999995</v>
      </c>
      <c r="K266" s="258">
        <f t="shared" si="725"/>
        <v>3549.4999999999995</v>
      </c>
      <c r="L266" s="573">
        <f t="shared" si="726"/>
        <v>3519.4999999999995</v>
      </c>
      <c r="M266" s="258">
        <f t="shared" si="727"/>
        <v>3519.4999999999995</v>
      </c>
      <c r="N266" s="573">
        <f t="shared" si="728"/>
        <v>3489.4999999999995</v>
      </c>
      <c r="O266" s="258">
        <f t="shared" si="729"/>
        <v>3489.4999999999995</v>
      </c>
      <c r="P266" s="573">
        <f t="shared" si="730"/>
        <v>3459.4999999999995</v>
      </c>
      <c r="Q266" s="258">
        <f t="shared" si="731"/>
        <v>3459.4999999999995</v>
      </c>
      <c r="R266" s="573">
        <f t="shared" si="732"/>
        <v>3439.4999999999995</v>
      </c>
      <c r="S266" s="258">
        <f t="shared" si="733"/>
        <v>3439.4999999999995</v>
      </c>
      <c r="T266" s="92">
        <f t="shared" si="734"/>
        <v>3419.4999999999995</v>
      </c>
      <c r="U266" s="272">
        <f t="shared" si="735"/>
        <v>3419.4999999999995</v>
      </c>
      <c r="V266" s="92">
        <f t="shared" si="736"/>
        <v>3399.4999999999995</v>
      </c>
      <c r="W266" s="272">
        <f t="shared" si="737"/>
        <v>3399.4999999999995</v>
      </c>
      <c r="X266" s="653"/>
      <c r="Y266" s="638"/>
      <c r="Z266" s="638"/>
      <c r="AA266" s="640"/>
      <c r="AB266" s="178">
        <v>839</v>
      </c>
    </row>
    <row r="267" spans="1:28" ht="12.6" customHeight="1" x14ac:dyDescent="0.2">
      <c r="A267" s="17"/>
      <c r="B267" s="710" t="s">
        <v>893</v>
      </c>
      <c r="C267" s="655"/>
      <c r="D267" s="655"/>
      <c r="E267" s="655"/>
      <c r="F267" s="333">
        <f>2.4*X2</f>
        <v>3096</v>
      </c>
      <c r="G267" s="257">
        <f t="shared" ref="G267" si="747">+F267*$X$1</f>
        <v>3096</v>
      </c>
      <c r="H267" s="559">
        <f t="shared" si="722"/>
        <v>3696</v>
      </c>
      <c r="I267" s="257">
        <f t="shared" si="723"/>
        <v>3696</v>
      </c>
      <c r="J267" s="559">
        <f t="shared" si="724"/>
        <v>3356</v>
      </c>
      <c r="K267" s="257">
        <f t="shared" si="725"/>
        <v>3356</v>
      </c>
      <c r="L267" s="559">
        <f t="shared" si="726"/>
        <v>3326</v>
      </c>
      <c r="M267" s="257">
        <f t="shared" si="727"/>
        <v>3326</v>
      </c>
      <c r="N267" s="559">
        <f t="shared" si="728"/>
        <v>3296</v>
      </c>
      <c r="O267" s="257">
        <f t="shared" si="729"/>
        <v>3296</v>
      </c>
      <c r="P267" s="559"/>
      <c r="Q267" s="257"/>
      <c r="R267" s="559"/>
      <c r="S267" s="257"/>
      <c r="T267" s="93"/>
      <c r="U267" s="235"/>
      <c r="V267" s="93"/>
      <c r="W267" s="235"/>
      <c r="X267" s="653"/>
      <c r="Y267" s="638"/>
      <c r="Z267" s="638"/>
      <c r="AA267" s="640"/>
      <c r="AB267" s="178">
        <v>840</v>
      </c>
    </row>
    <row r="268" spans="1:28" ht="12.6" customHeight="1" x14ac:dyDescent="0.2">
      <c r="A268" s="17"/>
      <c r="B268" s="712" t="s">
        <v>449</v>
      </c>
      <c r="C268" s="797"/>
      <c r="D268" s="797"/>
      <c r="E268" s="797"/>
      <c r="F268" s="336">
        <f>7.21*X2</f>
        <v>9300.9</v>
      </c>
      <c r="G268" s="283">
        <f>+F268*$X$1</f>
        <v>9300.9</v>
      </c>
      <c r="H268" s="573">
        <f t="shared" si="722"/>
        <v>9900.9</v>
      </c>
      <c r="I268" s="258">
        <f t="shared" si="723"/>
        <v>9900.9</v>
      </c>
      <c r="J268" s="573">
        <f t="shared" si="724"/>
        <v>9560.9</v>
      </c>
      <c r="K268" s="258">
        <f t="shared" si="725"/>
        <v>9560.9</v>
      </c>
      <c r="L268" s="573">
        <f t="shared" si="726"/>
        <v>9530.9</v>
      </c>
      <c r="M268" s="258">
        <f t="shared" si="727"/>
        <v>9530.9</v>
      </c>
      <c r="N268" s="573">
        <f t="shared" si="728"/>
        <v>9500.9</v>
      </c>
      <c r="O268" s="258">
        <f t="shared" si="729"/>
        <v>9500.9</v>
      </c>
      <c r="P268" s="573">
        <f t="shared" si="730"/>
        <v>9470.9</v>
      </c>
      <c r="Q268" s="258">
        <f t="shared" si="731"/>
        <v>9470.9</v>
      </c>
      <c r="R268" s="573">
        <f t="shared" si="732"/>
        <v>9450.9</v>
      </c>
      <c r="S268" s="258">
        <f t="shared" si="733"/>
        <v>9450.9</v>
      </c>
      <c r="T268" s="92">
        <f t="shared" si="734"/>
        <v>9430.9</v>
      </c>
      <c r="U268" s="272">
        <f t="shared" si="735"/>
        <v>9430.9</v>
      </c>
      <c r="V268" s="92">
        <f t="shared" si="736"/>
        <v>9410.9</v>
      </c>
      <c r="W268" s="272">
        <f t="shared" si="737"/>
        <v>9410.9</v>
      </c>
      <c r="X268" s="653"/>
      <c r="Y268" s="638"/>
      <c r="Z268" s="638"/>
      <c r="AA268" s="640"/>
      <c r="AB268" s="354">
        <v>916</v>
      </c>
    </row>
    <row r="269" spans="1:28" ht="12.6" customHeight="1" x14ac:dyDescent="0.2">
      <c r="A269" s="17"/>
      <c r="B269" s="654" t="s">
        <v>728</v>
      </c>
      <c r="C269" s="655"/>
      <c r="D269" s="655"/>
      <c r="E269" s="655"/>
      <c r="F269" s="333">
        <f>6.41*X2</f>
        <v>8268.9</v>
      </c>
      <c r="G269" s="257">
        <f>+F269*$X$1</f>
        <v>8268.9</v>
      </c>
      <c r="H269" s="559">
        <f t="shared" si="722"/>
        <v>8868.9</v>
      </c>
      <c r="I269" s="257">
        <f t="shared" si="723"/>
        <v>8868.9</v>
      </c>
      <c r="J269" s="559">
        <f t="shared" si="724"/>
        <v>8528.9</v>
      </c>
      <c r="K269" s="257">
        <f t="shared" si="725"/>
        <v>8528.9</v>
      </c>
      <c r="L269" s="559">
        <f t="shared" si="726"/>
        <v>8498.9</v>
      </c>
      <c r="M269" s="257">
        <f t="shared" si="727"/>
        <v>8498.9</v>
      </c>
      <c r="N269" s="559">
        <f t="shared" si="728"/>
        <v>8468.9</v>
      </c>
      <c r="O269" s="257">
        <f t="shared" si="729"/>
        <v>8468.9</v>
      </c>
      <c r="P269" s="559">
        <f t="shared" si="730"/>
        <v>8438.9</v>
      </c>
      <c r="Q269" s="257">
        <f t="shared" si="731"/>
        <v>8438.9</v>
      </c>
      <c r="R269" s="559">
        <f t="shared" si="732"/>
        <v>8418.9</v>
      </c>
      <c r="S269" s="257">
        <f t="shared" si="733"/>
        <v>8418.9</v>
      </c>
      <c r="T269" s="93">
        <f t="shared" si="734"/>
        <v>8398.9</v>
      </c>
      <c r="U269" s="235">
        <f t="shared" si="735"/>
        <v>8398.9</v>
      </c>
      <c r="V269" s="93">
        <f t="shared" si="736"/>
        <v>8378.9</v>
      </c>
      <c r="W269" s="235">
        <f t="shared" si="737"/>
        <v>8378.9</v>
      </c>
      <c r="X269" s="653"/>
      <c r="Y269" s="638"/>
      <c r="Z269" s="638"/>
      <c r="AA269" s="640"/>
      <c r="AB269" s="178">
        <v>917</v>
      </c>
    </row>
    <row r="270" spans="1:28" ht="12.6" customHeight="1" x14ac:dyDescent="0.2">
      <c r="A270" s="17"/>
      <c r="B270" s="776" t="s">
        <v>181</v>
      </c>
      <c r="C270" s="788"/>
      <c r="D270" s="788"/>
      <c r="E270" s="788"/>
      <c r="F270" s="473">
        <f>8.45*X2</f>
        <v>10900.499999999998</v>
      </c>
      <c r="G270" s="469">
        <f>+F270*$X$1</f>
        <v>10900.499999999998</v>
      </c>
      <c r="H270" s="628">
        <f t="shared" si="722"/>
        <v>11500.499999999998</v>
      </c>
      <c r="I270" s="469">
        <f t="shared" si="723"/>
        <v>11500.499999999998</v>
      </c>
      <c r="J270" s="628">
        <f t="shared" si="724"/>
        <v>11160.499999999998</v>
      </c>
      <c r="K270" s="469">
        <f t="shared" si="725"/>
        <v>11160.499999999998</v>
      </c>
      <c r="L270" s="628">
        <f t="shared" si="726"/>
        <v>11130.499999999998</v>
      </c>
      <c r="M270" s="469">
        <f t="shared" si="727"/>
        <v>11130.499999999998</v>
      </c>
      <c r="N270" s="628">
        <f t="shared" si="728"/>
        <v>11100.499999999998</v>
      </c>
      <c r="O270" s="469">
        <f t="shared" si="729"/>
        <v>11100.499999999998</v>
      </c>
      <c r="P270" s="628">
        <f t="shared" si="730"/>
        <v>11070.499999999998</v>
      </c>
      <c r="Q270" s="469">
        <f t="shared" si="731"/>
        <v>11070.499999999998</v>
      </c>
      <c r="R270" s="628">
        <f t="shared" si="732"/>
        <v>11050.499999999998</v>
      </c>
      <c r="S270" s="469">
        <f t="shared" si="733"/>
        <v>11050.499999999998</v>
      </c>
      <c r="T270" s="549">
        <f t="shared" si="734"/>
        <v>11030.499999999998</v>
      </c>
      <c r="U270" s="548">
        <f t="shared" si="735"/>
        <v>11030.499999999998</v>
      </c>
      <c r="V270" s="549">
        <f t="shared" si="736"/>
        <v>11010.499999999998</v>
      </c>
      <c r="W270" s="548">
        <f t="shared" si="737"/>
        <v>11010.499999999998</v>
      </c>
      <c r="X270" s="1155"/>
      <c r="Y270" s="1156"/>
      <c r="Z270" s="1156"/>
      <c r="AA270" s="1157"/>
      <c r="AB270" s="365">
        <v>918</v>
      </c>
    </row>
    <row r="271" spans="1:28" ht="12.6" customHeight="1" x14ac:dyDescent="0.2">
      <c r="A271" s="17"/>
      <c r="B271" s="654" t="s">
        <v>398</v>
      </c>
      <c r="C271" s="655"/>
      <c r="D271" s="655"/>
      <c r="E271" s="655"/>
      <c r="F271" s="333">
        <f>8.9*X2</f>
        <v>11481</v>
      </c>
      <c r="G271" s="257">
        <f>+F271*$X$1</f>
        <v>11481</v>
      </c>
      <c r="H271" s="559">
        <f t="shared" si="722"/>
        <v>12081</v>
      </c>
      <c r="I271" s="257">
        <f t="shared" si="723"/>
        <v>12081</v>
      </c>
      <c r="J271" s="559">
        <f t="shared" si="724"/>
        <v>11741</v>
      </c>
      <c r="K271" s="257">
        <f t="shared" si="725"/>
        <v>11741</v>
      </c>
      <c r="L271" s="559">
        <f t="shared" si="726"/>
        <v>11711</v>
      </c>
      <c r="M271" s="257">
        <f t="shared" si="727"/>
        <v>11711</v>
      </c>
      <c r="N271" s="559">
        <f t="shared" si="728"/>
        <v>11681</v>
      </c>
      <c r="O271" s="257">
        <f t="shared" si="729"/>
        <v>11681</v>
      </c>
      <c r="P271" s="559">
        <f t="shared" si="730"/>
        <v>11651</v>
      </c>
      <c r="Q271" s="257">
        <f t="shared" si="731"/>
        <v>11651</v>
      </c>
      <c r="R271" s="559">
        <f t="shared" si="732"/>
        <v>11631</v>
      </c>
      <c r="S271" s="257">
        <f t="shared" si="733"/>
        <v>11631</v>
      </c>
      <c r="T271" s="93">
        <f t="shared" si="734"/>
        <v>11611</v>
      </c>
      <c r="U271" s="235">
        <f t="shared" si="735"/>
        <v>11611</v>
      </c>
      <c r="V271" s="93">
        <f t="shared" si="736"/>
        <v>11591</v>
      </c>
      <c r="W271" s="235">
        <f t="shared" si="737"/>
        <v>11591</v>
      </c>
      <c r="X271" s="653"/>
      <c r="Y271" s="639"/>
      <c r="Z271" s="639"/>
      <c r="AA271" s="640"/>
      <c r="AB271" s="178">
        <v>919</v>
      </c>
    </row>
    <row r="272" spans="1:28" ht="12.6" customHeight="1" x14ac:dyDescent="0.2">
      <c r="A272" s="17"/>
      <c r="B272" s="645" t="s">
        <v>747</v>
      </c>
      <c r="C272" s="646"/>
      <c r="D272" s="646"/>
      <c r="E272" s="646"/>
      <c r="F272" s="334">
        <f>7.53*X2</f>
        <v>9713.7000000000007</v>
      </c>
      <c r="G272" s="258">
        <f t="shared" ref="G272:G276" si="748">+F272*$X$1</f>
        <v>9713.7000000000007</v>
      </c>
      <c r="H272" s="573">
        <f t="shared" si="722"/>
        <v>10313.700000000001</v>
      </c>
      <c r="I272" s="258">
        <f t="shared" si="723"/>
        <v>10313.700000000001</v>
      </c>
      <c r="J272" s="573">
        <f t="shared" si="724"/>
        <v>9973.7000000000007</v>
      </c>
      <c r="K272" s="258">
        <f t="shared" si="725"/>
        <v>9973.7000000000007</v>
      </c>
      <c r="L272" s="573">
        <f t="shared" si="726"/>
        <v>9943.7000000000007</v>
      </c>
      <c r="M272" s="258">
        <f t="shared" si="727"/>
        <v>9943.7000000000007</v>
      </c>
      <c r="N272" s="573">
        <f t="shared" si="728"/>
        <v>9913.7000000000007</v>
      </c>
      <c r="O272" s="258">
        <f t="shared" si="729"/>
        <v>9913.7000000000007</v>
      </c>
      <c r="P272" s="573">
        <f t="shared" si="730"/>
        <v>9883.7000000000007</v>
      </c>
      <c r="Q272" s="258">
        <f t="shared" si="731"/>
        <v>9883.7000000000007</v>
      </c>
      <c r="R272" s="573">
        <f t="shared" si="732"/>
        <v>9863.7000000000007</v>
      </c>
      <c r="S272" s="258">
        <f t="shared" si="733"/>
        <v>9863.7000000000007</v>
      </c>
      <c r="T272" s="92">
        <f t="shared" si="734"/>
        <v>9843.7000000000007</v>
      </c>
      <c r="U272" s="272">
        <f t="shared" si="735"/>
        <v>9843.7000000000007</v>
      </c>
      <c r="V272" s="92">
        <f t="shared" si="736"/>
        <v>9823.7000000000007</v>
      </c>
      <c r="W272" s="272">
        <f t="shared" si="737"/>
        <v>9823.7000000000007</v>
      </c>
      <c r="X272" s="653"/>
      <c r="Y272" s="638"/>
      <c r="Z272" s="638"/>
      <c r="AA272" s="640"/>
      <c r="AB272" s="178">
        <v>920</v>
      </c>
    </row>
    <row r="273" spans="1:33" ht="12.6" customHeight="1" x14ac:dyDescent="0.2">
      <c r="A273" s="17"/>
      <c r="B273" s="654" t="s">
        <v>746</v>
      </c>
      <c r="C273" s="655"/>
      <c r="D273" s="655"/>
      <c r="E273" s="655"/>
      <c r="F273" s="333">
        <f>7.53*X2</f>
        <v>9713.7000000000007</v>
      </c>
      <c r="G273" s="257">
        <f t="shared" ref="G273" si="749">+F273*$X$1</f>
        <v>9713.7000000000007</v>
      </c>
      <c r="H273" s="559">
        <f t="shared" si="722"/>
        <v>10313.700000000001</v>
      </c>
      <c r="I273" s="257">
        <f t="shared" si="723"/>
        <v>10313.700000000001</v>
      </c>
      <c r="J273" s="559">
        <f t="shared" si="724"/>
        <v>9973.7000000000007</v>
      </c>
      <c r="K273" s="257">
        <f t="shared" si="725"/>
        <v>9973.7000000000007</v>
      </c>
      <c r="L273" s="559">
        <f t="shared" si="726"/>
        <v>9943.7000000000007</v>
      </c>
      <c r="M273" s="257">
        <f t="shared" si="727"/>
        <v>9943.7000000000007</v>
      </c>
      <c r="N273" s="559">
        <f t="shared" si="728"/>
        <v>9913.7000000000007</v>
      </c>
      <c r="O273" s="257">
        <f t="shared" si="729"/>
        <v>9913.7000000000007</v>
      </c>
      <c r="P273" s="559">
        <f t="shared" si="730"/>
        <v>9883.7000000000007</v>
      </c>
      <c r="Q273" s="257">
        <f t="shared" si="731"/>
        <v>9883.7000000000007</v>
      </c>
      <c r="R273" s="559">
        <f t="shared" si="732"/>
        <v>9863.7000000000007</v>
      </c>
      <c r="S273" s="257">
        <f t="shared" si="733"/>
        <v>9863.7000000000007</v>
      </c>
      <c r="T273" s="93">
        <f t="shared" si="734"/>
        <v>9843.7000000000007</v>
      </c>
      <c r="U273" s="235">
        <f t="shared" si="735"/>
        <v>9843.7000000000007</v>
      </c>
      <c r="V273" s="93">
        <f t="shared" si="736"/>
        <v>9823.7000000000007</v>
      </c>
      <c r="W273" s="235">
        <f t="shared" si="737"/>
        <v>9823.7000000000007</v>
      </c>
      <c r="X273" s="653"/>
      <c r="Y273" s="638"/>
      <c r="Z273" s="638"/>
      <c r="AA273" s="640"/>
      <c r="AB273" s="178" t="s">
        <v>748</v>
      </c>
    </row>
    <row r="274" spans="1:33" ht="12.6" customHeight="1" x14ac:dyDescent="0.2">
      <c r="A274" s="17"/>
      <c r="B274" s="645" t="s">
        <v>789</v>
      </c>
      <c r="C274" s="646"/>
      <c r="D274" s="646"/>
      <c r="E274" s="646"/>
      <c r="F274" s="334">
        <f>7.36*X2</f>
        <v>9494.4</v>
      </c>
      <c r="G274" s="258">
        <f t="shared" ref="G274:G275" si="750">+F274*$X$1</f>
        <v>9494.4</v>
      </c>
      <c r="H274" s="573">
        <f t="shared" si="722"/>
        <v>10094.4</v>
      </c>
      <c r="I274" s="258">
        <f t="shared" si="723"/>
        <v>10094.4</v>
      </c>
      <c r="J274" s="573">
        <f t="shared" si="724"/>
        <v>9754.4</v>
      </c>
      <c r="K274" s="258">
        <f t="shared" si="725"/>
        <v>9754.4</v>
      </c>
      <c r="L274" s="573">
        <f t="shared" si="726"/>
        <v>9724.4</v>
      </c>
      <c r="M274" s="258">
        <f t="shared" si="727"/>
        <v>9724.4</v>
      </c>
      <c r="N274" s="573">
        <f t="shared" si="728"/>
        <v>9694.4</v>
      </c>
      <c r="O274" s="258">
        <f t="shared" si="729"/>
        <v>9694.4</v>
      </c>
      <c r="P274" s="573">
        <f t="shared" si="730"/>
        <v>9664.4</v>
      </c>
      <c r="Q274" s="258">
        <f t="shared" si="731"/>
        <v>9664.4</v>
      </c>
      <c r="R274" s="573">
        <f t="shared" si="732"/>
        <v>9644.4</v>
      </c>
      <c r="S274" s="258">
        <f t="shared" si="733"/>
        <v>9644.4</v>
      </c>
      <c r="T274" s="92">
        <f t="shared" si="734"/>
        <v>9624.4</v>
      </c>
      <c r="U274" s="272">
        <f t="shared" si="735"/>
        <v>9624.4</v>
      </c>
      <c r="V274" s="92">
        <f t="shared" si="736"/>
        <v>9604.4</v>
      </c>
      <c r="W274" s="272">
        <f t="shared" si="737"/>
        <v>9604.4</v>
      </c>
      <c r="X274" s="653"/>
      <c r="Y274" s="638"/>
      <c r="Z274" s="638"/>
      <c r="AA274" s="640"/>
      <c r="AB274" s="178" t="s">
        <v>790</v>
      </c>
    </row>
    <row r="275" spans="1:33" ht="12.6" customHeight="1" x14ac:dyDescent="0.2">
      <c r="A275" s="17"/>
      <c r="B275" s="784" t="s">
        <v>829</v>
      </c>
      <c r="C275" s="672"/>
      <c r="D275" s="672"/>
      <c r="E275" s="672"/>
      <c r="F275" s="333">
        <f>5.77*X2</f>
        <v>7443.2999999999993</v>
      </c>
      <c r="G275" s="257">
        <f t="shared" si="750"/>
        <v>7443.2999999999993</v>
      </c>
      <c r="H275" s="534">
        <f t="shared" si="722"/>
        <v>8043.2999999999993</v>
      </c>
      <c r="I275" s="257">
        <f t="shared" si="723"/>
        <v>8043.2999999999993</v>
      </c>
      <c r="J275" s="534">
        <f t="shared" si="724"/>
        <v>7703.2999999999993</v>
      </c>
      <c r="K275" s="257">
        <f t="shared" si="725"/>
        <v>7703.2999999999993</v>
      </c>
      <c r="L275" s="534">
        <f t="shared" si="726"/>
        <v>7673.2999999999993</v>
      </c>
      <c r="M275" s="257">
        <f t="shared" si="727"/>
        <v>7673.2999999999993</v>
      </c>
      <c r="N275" s="534">
        <f t="shared" si="728"/>
        <v>7643.2999999999993</v>
      </c>
      <c r="O275" s="257">
        <f t="shared" si="729"/>
        <v>7643.2999999999993</v>
      </c>
      <c r="P275" s="534">
        <f t="shared" si="730"/>
        <v>7613.2999999999993</v>
      </c>
      <c r="Q275" s="257">
        <f t="shared" si="731"/>
        <v>7613.2999999999993</v>
      </c>
      <c r="R275" s="534">
        <f t="shared" si="732"/>
        <v>7593.2999999999993</v>
      </c>
      <c r="S275" s="257">
        <f t="shared" si="733"/>
        <v>7593.2999999999993</v>
      </c>
      <c r="T275" s="93">
        <f t="shared" si="734"/>
        <v>7573.2999999999993</v>
      </c>
      <c r="U275" s="235">
        <f t="shared" si="735"/>
        <v>7573.2999999999993</v>
      </c>
      <c r="V275" s="93">
        <f t="shared" si="736"/>
        <v>7553.2999999999993</v>
      </c>
      <c r="W275" s="235">
        <f t="shared" si="737"/>
        <v>7553.2999999999993</v>
      </c>
      <c r="X275" s="653"/>
      <c r="Y275" s="638"/>
      <c r="Z275" s="638"/>
      <c r="AA275" s="640"/>
      <c r="AB275" s="178">
        <v>923</v>
      </c>
    </row>
    <row r="276" spans="1:33" ht="12.6" customHeight="1" x14ac:dyDescent="0.2">
      <c r="A276" s="17"/>
      <c r="B276" s="645" t="s">
        <v>729</v>
      </c>
      <c r="C276" s="646"/>
      <c r="D276" s="646"/>
      <c r="E276" s="646"/>
      <c r="F276" s="334">
        <f>5.71*X2</f>
        <v>7365.9</v>
      </c>
      <c r="G276" s="258">
        <f t="shared" si="748"/>
        <v>7365.9</v>
      </c>
      <c r="H276" s="406">
        <f t="shared" si="722"/>
        <v>7965.9</v>
      </c>
      <c r="I276" s="258">
        <f t="shared" si="723"/>
        <v>7965.9</v>
      </c>
      <c r="J276" s="406">
        <f t="shared" si="724"/>
        <v>7625.9</v>
      </c>
      <c r="K276" s="258">
        <f t="shared" si="725"/>
        <v>7625.9</v>
      </c>
      <c r="L276" s="406">
        <f t="shared" si="726"/>
        <v>7595.9</v>
      </c>
      <c r="M276" s="258">
        <f t="shared" si="727"/>
        <v>7595.9</v>
      </c>
      <c r="N276" s="406">
        <f t="shared" si="728"/>
        <v>7565.9</v>
      </c>
      <c r="O276" s="258">
        <f t="shared" si="729"/>
        <v>7565.9</v>
      </c>
      <c r="P276" s="406">
        <f t="shared" si="730"/>
        <v>7535.9</v>
      </c>
      <c r="Q276" s="258">
        <f t="shared" si="731"/>
        <v>7535.9</v>
      </c>
      <c r="R276" s="406">
        <f t="shared" si="732"/>
        <v>7515.9</v>
      </c>
      <c r="S276" s="258">
        <f t="shared" si="733"/>
        <v>7515.9</v>
      </c>
      <c r="T276" s="92">
        <f t="shared" si="734"/>
        <v>7495.9</v>
      </c>
      <c r="U276" s="272">
        <f t="shared" si="735"/>
        <v>7495.9</v>
      </c>
      <c r="V276" s="92">
        <f t="shared" si="736"/>
        <v>7475.9</v>
      </c>
      <c r="W276" s="272">
        <f t="shared" si="737"/>
        <v>7475.9</v>
      </c>
      <c r="X276" s="680"/>
      <c r="Y276" s="849"/>
      <c r="Z276" s="849"/>
      <c r="AA276" s="681"/>
      <c r="AB276" s="178" t="s">
        <v>730</v>
      </c>
    </row>
    <row r="277" spans="1:33" ht="12.6" customHeight="1" x14ac:dyDescent="0.2">
      <c r="A277" s="17"/>
      <c r="B277" s="671" t="s">
        <v>851</v>
      </c>
      <c r="C277" s="672"/>
      <c r="D277" s="672"/>
      <c r="E277" s="672"/>
      <c r="F277" s="333">
        <f>1.07*X2</f>
        <v>1380.3000000000002</v>
      </c>
      <c r="G277" s="257">
        <f t="shared" ref="G277" si="751">+F277*$X$1</f>
        <v>1380.3000000000002</v>
      </c>
      <c r="H277" s="534"/>
      <c r="I277" s="257"/>
      <c r="J277" s="534">
        <f t="shared" ref="J277:J280" si="752">F277+260</f>
        <v>1640.3000000000002</v>
      </c>
      <c r="K277" s="257">
        <f t="shared" ref="K277:K280" si="753">+J277*$X$1</f>
        <v>1640.3000000000002</v>
      </c>
      <c r="L277" s="534">
        <f t="shared" ref="L277:L280" si="754">F277+230</f>
        <v>1610.3000000000002</v>
      </c>
      <c r="M277" s="257">
        <f t="shared" ref="M277:M280" si="755">+L277*$X$1</f>
        <v>1610.3000000000002</v>
      </c>
      <c r="N277" s="534">
        <f t="shared" ref="N277:N280" si="756">F277+200</f>
        <v>1580.3000000000002</v>
      </c>
      <c r="O277" s="257">
        <f t="shared" ref="O277:O280" si="757">+N277*$X$1</f>
        <v>1580.3000000000002</v>
      </c>
      <c r="P277" s="534">
        <f t="shared" ref="P277:P280" si="758">F277+170</f>
        <v>1550.3000000000002</v>
      </c>
      <c r="Q277" s="257">
        <f t="shared" ref="Q277:Q280" si="759">+P277*$X$1</f>
        <v>1550.3000000000002</v>
      </c>
      <c r="R277" s="534">
        <f t="shared" ref="R277:R280" si="760">F277+150</f>
        <v>1530.3000000000002</v>
      </c>
      <c r="S277" s="257">
        <f t="shared" ref="S277:S280" si="761">+R277*$X$1</f>
        <v>1530.3000000000002</v>
      </c>
      <c r="T277" s="93">
        <f t="shared" ref="T277:T280" si="762">F277+130</f>
        <v>1510.3000000000002</v>
      </c>
      <c r="U277" s="235">
        <f t="shared" ref="U277:U280" si="763">+T277*$X$1</f>
        <v>1510.3000000000002</v>
      </c>
      <c r="V277" s="93">
        <f t="shared" ref="V277:V280" si="764">F277+110</f>
        <v>1490.3000000000002</v>
      </c>
      <c r="W277" s="235">
        <f t="shared" ref="W277:W280" si="765">+V277*$X$1</f>
        <v>1490.3000000000002</v>
      </c>
      <c r="X277" s="653"/>
      <c r="Y277" s="638"/>
      <c r="Z277" s="638"/>
      <c r="AA277" s="640"/>
      <c r="AB277" s="178">
        <v>927</v>
      </c>
    </row>
    <row r="278" spans="1:33" ht="12.6" customHeight="1" x14ac:dyDescent="0.2">
      <c r="A278" s="94"/>
      <c r="B278" s="645" t="s">
        <v>387</v>
      </c>
      <c r="C278" s="646"/>
      <c r="D278" s="646"/>
      <c r="E278" s="646"/>
      <c r="F278" s="334">
        <f>7*X2</f>
        <v>9030</v>
      </c>
      <c r="G278" s="258">
        <f t="shared" ref="G278:G281" si="766">+F278*$X$1</f>
        <v>9030</v>
      </c>
      <c r="H278" s="576">
        <f t="shared" ref="H278:H280" si="767">F278+600</f>
        <v>9630</v>
      </c>
      <c r="I278" s="258">
        <f t="shared" ref="I278:I280" si="768">+H278*$X$1</f>
        <v>9630</v>
      </c>
      <c r="J278" s="576">
        <f t="shared" si="752"/>
        <v>9290</v>
      </c>
      <c r="K278" s="258">
        <f t="shared" si="753"/>
        <v>9290</v>
      </c>
      <c r="L278" s="576">
        <f t="shared" si="754"/>
        <v>9260</v>
      </c>
      <c r="M278" s="258">
        <f t="shared" si="755"/>
        <v>9260</v>
      </c>
      <c r="N278" s="576">
        <f t="shared" si="756"/>
        <v>9230</v>
      </c>
      <c r="O278" s="258">
        <f t="shared" si="757"/>
        <v>9230</v>
      </c>
      <c r="P278" s="576">
        <f t="shared" si="758"/>
        <v>9200</v>
      </c>
      <c r="Q278" s="258">
        <f t="shared" si="759"/>
        <v>9200</v>
      </c>
      <c r="R278" s="576">
        <f t="shared" si="760"/>
        <v>9180</v>
      </c>
      <c r="S278" s="258">
        <f t="shared" si="761"/>
        <v>9180</v>
      </c>
      <c r="T278" s="92">
        <f t="shared" si="762"/>
        <v>9160</v>
      </c>
      <c r="U278" s="272">
        <f t="shared" si="763"/>
        <v>9160</v>
      </c>
      <c r="V278" s="92">
        <f t="shared" si="764"/>
        <v>9140</v>
      </c>
      <c r="W278" s="272">
        <f t="shared" si="765"/>
        <v>9140</v>
      </c>
      <c r="X278" s="653"/>
      <c r="Y278" s="638"/>
      <c r="Z278" s="638"/>
      <c r="AA278" s="640"/>
      <c r="AB278" s="178">
        <v>928</v>
      </c>
    </row>
    <row r="279" spans="1:33" ht="12.6" customHeight="1" x14ac:dyDescent="0.2">
      <c r="A279" s="17"/>
      <c r="B279" s="654" t="s">
        <v>358</v>
      </c>
      <c r="C279" s="655"/>
      <c r="D279" s="655"/>
      <c r="E279" s="655"/>
      <c r="F279" s="333">
        <f>7.82*X2</f>
        <v>10087.800000000001</v>
      </c>
      <c r="G279" s="257">
        <f t="shared" si="766"/>
        <v>10087.800000000001</v>
      </c>
      <c r="H279" s="559">
        <f t="shared" si="767"/>
        <v>10687.800000000001</v>
      </c>
      <c r="I279" s="257">
        <f t="shared" si="768"/>
        <v>10687.800000000001</v>
      </c>
      <c r="J279" s="559">
        <f t="shared" si="752"/>
        <v>10347.800000000001</v>
      </c>
      <c r="K279" s="257">
        <f t="shared" si="753"/>
        <v>10347.800000000001</v>
      </c>
      <c r="L279" s="559">
        <f t="shared" si="754"/>
        <v>10317.800000000001</v>
      </c>
      <c r="M279" s="257">
        <f t="shared" si="755"/>
        <v>10317.800000000001</v>
      </c>
      <c r="N279" s="559">
        <f t="shared" si="756"/>
        <v>10287.800000000001</v>
      </c>
      <c r="O279" s="257">
        <f t="shared" si="757"/>
        <v>10287.800000000001</v>
      </c>
      <c r="P279" s="559">
        <f t="shared" si="758"/>
        <v>10257.800000000001</v>
      </c>
      <c r="Q279" s="257">
        <f t="shared" si="759"/>
        <v>10257.800000000001</v>
      </c>
      <c r="R279" s="559">
        <f t="shared" si="760"/>
        <v>10237.800000000001</v>
      </c>
      <c r="S279" s="257">
        <f t="shared" si="761"/>
        <v>10237.800000000001</v>
      </c>
      <c r="T279" s="93">
        <f t="shared" si="762"/>
        <v>10217.800000000001</v>
      </c>
      <c r="U279" s="235">
        <f t="shared" si="763"/>
        <v>10217.800000000001</v>
      </c>
      <c r="V279" s="93">
        <f t="shared" si="764"/>
        <v>10197.800000000001</v>
      </c>
      <c r="W279" s="235">
        <f t="shared" si="765"/>
        <v>10197.800000000001</v>
      </c>
      <c r="X279" s="653"/>
      <c r="Y279" s="639"/>
      <c r="Z279" s="639"/>
      <c r="AA279" s="640"/>
      <c r="AB279" s="178">
        <v>931</v>
      </c>
    </row>
    <row r="280" spans="1:33" ht="12.6" customHeight="1" x14ac:dyDescent="0.2">
      <c r="A280" s="17"/>
      <c r="B280" s="645" t="s">
        <v>727</v>
      </c>
      <c r="C280" s="646"/>
      <c r="D280" s="646"/>
      <c r="E280" s="646"/>
      <c r="F280" s="334">
        <f>2.98*X2</f>
        <v>3844.2</v>
      </c>
      <c r="G280" s="258">
        <f t="shared" si="766"/>
        <v>3844.2</v>
      </c>
      <c r="H280" s="576">
        <f t="shared" si="767"/>
        <v>4444.2</v>
      </c>
      <c r="I280" s="258">
        <f t="shared" si="768"/>
        <v>4444.2</v>
      </c>
      <c r="J280" s="576">
        <f t="shared" si="752"/>
        <v>4104.2</v>
      </c>
      <c r="K280" s="258">
        <f t="shared" si="753"/>
        <v>4104.2</v>
      </c>
      <c r="L280" s="576">
        <f t="shared" si="754"/>
        <v>4074.2</v>
      </c>
      <c r="M280" s="258">
        <f t="shared" si="755"/>
        <v>4074.2</v>
      </c>
      <c r="N280" s="576">
        <f t="shared" si="756"/>
        <v>4044.2</v>
      </c>
      <c r="O280" s="258">
        <f t="shared" si="757"/>
        <v>4044.2</v>
      </c>
      <c r="P280" s="576">
        <f t="shared" si="758"/>
        <v>4014.2</v>
      </c>
      <c r="Q280" s="258">
        <f t="shared" si="759"/>
        <v>4014.2</v>
      </c>
      <c r="R280" s="576">
        <f t="shared" si="760"/>
        <v>3994.2</v>
      </c>
      <c r="S280" s="258">
        <f t="shared" si="761"/>
        <v>3994.2</v>
      </c>
      <c r="T280" s="92">
        <f t="shared" si="762"/>
        <v>3974.2</v>
      </c>
      <c r="U280" s="272">
        <f t="shared" si="763"/>
        <v>3974.2</v>
      </c>
      <c r="V280" s="92">
        <f t="shared" si="764"/>
        <v>3954.2</v>
      </c>
      <c r="W280" s="272">
        <f t="shared" si="765"/>
        <v>3954.2</v>
      </c>
      <c r="X280" s="653"/>
      <c r="Y280" s="639"/>
      <c r="Z280" s="639"/>
      <c r="AA280" s="640"/>
      <c r="AB280" s="178">
        <v>933</v>
      </c>
    </row>
    <row r="281" spans="1:33" ht="12.6" customHeight="1" x14ac:dyDescent="0.2">
      <c r="A281" s="17"/>
      <c r="B281" s="654" t="s">
        <v>541</v>
      </c>
      <c r="C281" s="655"/>
      <c r="D281" s="655"/>
      <c r="E281" s="655"/>
      <c r="F281" s="333">
        <f>7.55*X2</f>
        <v>9739.5</v>
      </c>
      <c r="G281" s="257">
        <f t="shared" si="766"/>
        <v>9739.5</v>
      </c>
      <c r="H281" s="559">
        <f t="shared" ref="H281:H289" si="769">F281+600</f>
        <v>10339.5</v>
      </c>
      <c r="I281" s="257">
        <f t="shared" ref="I281:I289" si="770">+H281*$X$1</f>
        <v>10339.5</v>
      </c>
      <c r="J281" s="559">
        <f t="shared" ref="J281:J289" si="771">F281+260</f>
        <v>9999.5</v>
      </c>
      <c r="K281" s="257">
        <f t="shared" ref="K281:K289" si="772">+J281*$X$1</f>
        <v>9999.5</v>
      </c>
      <c r="L281" s="559">
        <f t="shared" ref="L281:L289" si="773">F281+230</f>
        <v>9969.5</v>
      </c>
      <c r="M281" s="257">
        <f t="shared" ref="M281:M289" si="774">+L281*$X$1</f>
        <v>9969.5</v>
      </c>
      <c r="N281" s="559">
        <f t="shared" ref="N281:N289" si="775">F281+200</f>
        <v>9939.5</v>
      </c>
      <c r="O281" s="257">
        <f t="shared" ref="O281:O289" si="776">+N281*$X$1</f>
        <v>9939.5</v>
      </c>
      <c r="P281" s="559">
        <f t="shared" ref="P281:P289" si="777">F281+170</f>
        <v>9909.5</v>
      </c>
      <c r="Q281" s="257">
        <f t="shared" ref="Q281:Q289" si="778">+P281*$X$1</f>
        <v>9909.5</v>
      </c>
      <c r="R281" s="559">
        <f t="shared" ref="R281:R289" si="779">F281+150</f>
        <v>9889.5</v>
      </c>
      <c r="S281" s="257">
        <f t="shared" ref="S281:S289" si="780">+R281*$X$1</f>
        <v>9889.5</v>
      </c>
      <c r="T281" s="93">
        <f t="shared" ref="T281:T289" si="781">F281+130</f>
        <v>9869.5</v>
      </c>
      <c r="U281" s="235">
        <f t="shared" ref="U281:U289" si="782">+T281*$X$1</f>
        <v>9869.5</v>
      </c>
      <c r="V281" s="93">
        <f t="shared" ref="V281:V289" si="783">F281+110</f>
        <v>9849.5</v>
      </c>
      <c r="W281" s="235">
        <f t="shared" ref="W281:W289" si="784">+V281*$X$1</f>
        <v>9849.5</v>
      </c>
      <c r="X281" s="332"/>
      <c r="Y281" s="332"/>
      <c r="Z281" s="332"/>
      <c r="AA281" s="332"/>
      <c r="AB281" s="178">
        <v>935</v>
      </c>
    </row>
    <row r="282" spans="1:33" ht="12.6" customHeight="1" x14ac:dyDescent="0.2">
      <c r="A282" s="17"/>
      <c r="B282" s="645" t="s">
        <v>569</v>
      </c>
      <c r="C282" s="646"/>
      <c r="D282" s="646"/>
      <c r="E282" s="646"/>
      <c r="F282" s="334">
        <f>10*X2</f>
        <v>12900</v>
      </c>
      <c r="G282" s="258">
        <f t="shared" ref="G282" si="785">+F282*$X$1</f>
        <v>12900</v>
      </c>
      <c r="H282" s="576">
        <f t="shared" si="769"/>
        <v>13500</v>
      </c>
      <c r="I282" s="258">
        <f t="shared" si="770"/>
        <v>13500</v>
      </c>
      <c r="J282" s="576">
        <f t="shared" si="771"/>
        <v>13160</v>
      </c>
      <c r="K282" s="258">
        <f t="shared" si="772"/>
        <v>13160</v>
      </c>
      <c r="L282" s="576">
        <f t="shared" si="773"/>
        <v>13130</v>
      </c>
      <c r="M282" s="258">
        <f t="shared" si="774"/>
        <v>13130</v>
      </c>
      <c r="N282" s="576">
        <f t="shared" si="775"/>
        <v>13100</v>
      </c>
      <c r="O282" s="258">
        <f t="shared" si="776"/>
        <v>13100</v>
      </c>
      <c r="P282" s="576">
        <f t="shared" si="777"/>
        <v>13070</v>
      </c>
      <c r="Q282" s="258">
        <f t="shared" si="778"/>
        <v>13070</v>
      </c>
      <c r="R282" s="576">
        <f t="shared" si="779"/>
        <v>13050</v>
      </c>
      <c r="S282" s="258">
        <f t="shared" si="780"/>
        <v>13050</v>
      </c>
      <c r="T282" s="92">
        <f t="shared" si="781"/>
        <v>13030</v>
      </c>
      <c r="U282" s="272">
        <f t="shared" si="782"/>
        <v>13030</v>
      </c>
      <c r="V282" s="92">
        <f t="shared" si="783"/>
        <v>13010</v>
      </c>
      <c r="W282" s="272">
        <f t="shared" si="784"/>
        <v>13010</v>
      </c>
      <c r="X282" s="653"/>
      <c r="Y282" s="638"/>
      <c r="Z282" s="638"/>
      <c r="AA282" s="640"/>
      <c r="AB282" s="178">
        <v>936</v>
      </c>
    </row>
    <row r="283" spans="1:33" ht="12.6" customHeight="1" x14ac:dyDescent="0.2">
      <c r="A283" s="17"/>
      <c r="B283" s="654" t="s">
        <v>783</v>
      </c>
      <c r="C283" s="655"/>
      <c r="D283" s="655"/>
      <c r="E283" s="655"/>
      <c r="F283" s="333">
        <f>4.9*X2</f>
        <v>6321.0000000000009</v>
      </c>
      <c r="G283" s="257">
        <f t="shared" ref="G283" si="786">+F283*$X$1</f>
        <v>6321.0000000000009</v>
      </c>
      <c r="H283" s="559">
        <f t="shared" si="769"/>
        <v>6921.0000000000009</v>
      </c>
      <c r="I283" s="257">
        <f t="shared" si="770"/>
        <v>6921.0000000000009</v>
      </c>
      <c r="J283" s="559">
        <f t="shared" si="771"/>
        <v>6581.0000000000009</v>
      </c>
      <c r="K283" s="257">
        <f t="shared" si="772"/>
        <v>6581.0000000000009</v>
      </c>
      <c r="L283" s="559">
        <f t="shared" si="773"/>
        <v>6551.0000000000009</v>
      </c>
      <c r="M283" s="257">
        <f t="shared" si="774"/>
        <v>6551.0000000000009</v>
      </c>
      <c r="N283" s="559">
        <f t="shared" si="775"/>
        <v>6521.0000000000009</v>
      </c>
      <c r="O283" s="257">
        <f t="shared" si="776"/>
        <v>6521.0000000000009</v>
      </c>
      <c r="P283" s="559">
        <f t="shared" si="777"/>
        <v>6491.0000000000009</v>
      </c>
      <c r="Q283" s="257">
        <f t="shared" si="778"/>
        <v>6491.0000000000009</v>
      </c>
      <c r="R283" s="559">
        <f t="shared" si="779"/>
        <v>6471.0000000000009</v>
      </c>
      <c r="S283" s="257">
        <f t="shared" si="780"/>
        <v>6471.0000000000009</v>
      </c>
      <c r="T283" s="93">
        <f t="shared" si="781"/>
        <v>6451.0000000000009</v>
      </c>
      <c r="U283" s="235">
        <f t="shared" si="782"/>
        <v>6451.0000000000009</v>
      </c>
      <c r="V283" s="93">
        <f t="shared" si="783"/>
        <v>6431.0000000000009</v>
      </c>
      <c r="W283" s="235">
        <f t="shared" si="784"/>
        <v>6431.0000000000009</v>
      </c>
      <c r="X283" s="653"/>
      <c r="Y283" s="638"/>
      <c r="Z283" s="638"/>
      <c r="AA283" s="640"/>
      <c r="AB283" s="178">
        <v>940</v>
      </c>
    </row>
    <row r="284" spans="1:33" ht="12.6" customHeight="1" x14ac:dyDescent="0.2">
      <c r="A284" s="17"/>
      <c r="B284" s="656" t="s">
        <v>182</v>
      </c>
      <c r="C284" s="705"/>
      <c r="D284" s="705"/>
      <c r="E284" s="706"/>
      <c r="F284" s="334">
        <f>5.483*X2</f>
        <v>7073.07</v>
      </c>
      <c r="G284" s="258">
        <f t="shared" ref="G284:G288" si="787">+F284*$X$1</f>
        <v>7073.07</v>
      </c>
      <c r="H284" s="576">
        <f t="shared" si="769"/>
        <v>7673.07</v>
      </c>
      <c r="I284" s="258">
        <f t="shared" si="770"/>
        <v>7673.07</v>
      </c>
      <c r="J284" s="576">
        <f t="shared" si="771"/>
        <v>7333.07</v>
      </c>
      <c r="K284" s="258">
        <f t="shared" si="772"/>
        <v>7333.07</v>
      </c>
      <c r="L284" s="576">
        <f t="shared" si="773"/>
        <v>7303.07</v>
      </c>
      <c r="M284" s="258">
        <f t="shared" si="774"/>
        <v>7303.07</v>
      </c>
      <c r="N284" s="576">
        <f t="shared" si="775"/>
        <v>7273.07</v>
      </c>
      <c r="O284" s="258">
        <f t="shared" si="776"/>
        <v>7273.07</v>
      </c>
      <c r="P284" s="576">
        <f t="shared" si="777"/>
        <v>7243.07</v>
      </c>
      <c r="Q284" s="258">
        <f t="shared" si="778"/>
        <v>7243.07</v>
      </c>
      <c r="R284" s="576">
        <f t="shared" si="779"/>
        <v>7223.07</v>
      </c>
      <c r="S284" s="258">
        <f t="shared" si="780"/>
        <v>7223.07</v>
      </c>
      <c r="T284" s="92">
        <f t="shared" si="781"/>
        <v>7203.07</v>
      </c>
      <c r="U284" s="272">
        <f t="shared" si="782"/>
        <v>7203.07</v>
      </c>
      <c r="V284" s="92">
        <f t="shared" si="783"/>
        <v>7183.07</v>
      </c>
      <c r="W284" s="272">
        <f t="shared" si="784"/>
        <v>7183.07</v>
      </c>
      <c r="X284" s="121"/>
      <c r="Y284" s="123"/>
      <c r="Z284" s="119"/>
      <c r="AA284" s="119"/>
      <c r="AB284" s="178">
        <v>945</v>
      </c>
      <c r="AD284" s="62"/>
      <c r="AE284" s="62"/>
      <c r="AF284" s="62"/>
      <c r="AG284" s="62"/>
    </row>
    <row r="285" spans="1:33" ht="12.6" customHeight="1" x14ac:dyDescent="0.2">
      <c r="A285" s="17"/>
      <c r="B285" s="654" t="s">
        <v>439</v>
      </c>
      <c r="C285" s="655"/>
      <c r="D285" s="655"/>
      <c r="E285" s="655"/>
      <c r="F285" s="333">
        <f>4.1*X2</f>
        <v>5288.9999999999991</v>
      </c>
      <c r="G285" s="257">
        <f t="shared" ref="G285" si="788">+F285*$X$1</f>
        <v>5288.9999999999991</v>
      </c>
      <c r="H285" s="559">
        <f t="shared" si="769"/>
        <v>5888.9999999999991</v>
      </c>
      <c r="I285" s="257">
        <f t="shared" si="770"/>
        <v>5888.9999999999991</v>
      </c>
      <c r="J285" s="559">
        <f t="shared" si="771"/>
        <v>5548.9999999999991</v>
      </c>
      <c r="K285" s="257">
        <f t="shared" si="772"/>
        <v>5548.9999999999991</v>
      </c>
      <c r="L285" s="559">
        <f t="shared" si="773"/>
        <v>5518.9999999999991</v>
      </c>
      <c r="M285" s="257">
        <f t="shared" si="774"/>
        <v>5518.9999999999991</v>
      </c>
      <c r="N285" s="559">
        <f t="shared" si="775"/>
        <v>5488.9999999999991</v>
      </c>
      <c r="O285" s="257">
        <f t="shared" si="776"/>
        <v>5488.9999999999991</v>
      </c>
      <c r="P285" s="559">
        <f t="shared" si="777"/>
        <v>5458.9999999999991</v>
      </c>
      <c r="Q285" s="257">
        <f t="shared" si="778"/>
        <v>5458.9999999999991</v>
      </c>
      <c r="R285" s="559">
        <f t="shared" si="779"/>
        <v>5438.9999999999991</v>
      </c>
      <c r="S285" s="257">
        <f t="shared" si="780"/>
        <v>5438.9999999999991</v>
      </c>
      <c r="T285" s="93">
        <f t="shared" si="781"/>
        <v>5418.9999999999991</v>
      </c>
      <c r="U285" s="235">
        <f t="shared" si="782"/>
        <v>5418.9999999999991</v>
      </c>
      <c r="V285" s="93">
        <f t="shared" si="783"/>
        <v>5398.9999999999991</v>
      </c>
      <c r="W285" s="235">
        <f t="shared" si="784"/>
        <v>5398.9999999999991</v>
      </c>
      <c r="X285" s="139"/>
      <c r="Y285" s="139"/>
      <c r="Z285" s="139"/>
      <c r="AA285" s="139"/>
      <c r="AB285" s="178">
        <v>946</v>
      </c>
    </row>
    <row r="286" spans="1:33" ht="12.6" customHeight="1" x14ac:dyDescent="0.2">
      <c r="A286" s="17"/>
      <c r="B286" s="673" t="s">
        <v>183</v>
      </c>
      <c r="C286" s="674"/>
      <c r="D286" s="674"/>
      <c r="E286" s="675"/>
      <c r="F286" s="334">
        <f>5.1*X2</f>
        <v>6578.9999999999991</v>
      </c>
      <c r="G286" s="258">
        <f t="shared" si="787"/>
        <v>6578.9999999999991</v>
      </c>
      <c r="H286" s="576">
        <f t="shared" si="769"/>
        <v>7178.9999999999991</v>
      </c>
      <c r="I286" s="258">
        <f t="shared" si="770"/>
        <v>7178.9999999999991</v>
      </c>
      <c r="J286" s="576"/>
      <c r="K286" s="258"/>
      <c r="L286" s="576"/>
      <c r="M286" s="258"/>
      <c r="N286" s="576"/>
      <c r="O286" s="258"/>
      <c r="P286" s="576"/>
      <c r="Q286" s="258"/>
      <c r="R286" s="576"/>
      <c r="S286" s="258"/>
      <c r="T286" s="92"/>
      <c r="U286" s="272"/>
      <c r="V286" s="92"/>
      <c r="W286" s="272"/>
      <c r="X286" s="653"/>
      <c r="Y286" s="639"/>
      <c r="Z286" s="639"/>
      <c r="AA286" s="640"/>
      <c r="AB286" s="365">
        <v>949</v>
      </c>
    </row>
    <row r="287" spans="1:33" ht="12.6" customHeight="1" x14ac:dyDescent="0.2">
      <c r="A287" s="17"/>
      <c r="B287" s="654" t="s">
        <v>542</v>
      </c>
      <c r="C287" s="655"/>
      <c r="D287" s="655"/>
      <c r="E287" s="655"/>
      <c r="F287" s="333">
        <f>5.9*X2</f>
        <v>7611.0000000000009</v>
      </c>
      <c r="G287" s="257">
        <f t="shared" si="787"/>
        <v>7611.0000000000009</v>
      </c>
      <c r="H287" s="559">
        <f t="shared" si="769"/>
        <v>8211</v>
      </c>
      <c r="I287" s="257">
        <f t="shared" si="770"/>
        <v>8211</v>
      </c>
      <c r="J287" s="559">
        <f t="shared" si="771"/>
        <v>7871.0000000000009</v>
      </c>
      <c r="K287" s="257">
        <f t="shared" si="772"/>
        <v>7871.0000000000009</v>
      </c>
      <c r="L287" s="559">
        <f t="shared" si="773"/>
        <v>7841.0000000000009</v>
      </c>
      <c r="M287" s="257">
        <f t="shared" si="774"/>
        <v>7841.0000000000009</v>
      </c>
      <c r="N287" s="559">
        <f t="shared" si="775"/>
        <v>7811.0000000000009</v>
      </c>
      <c r="O287" s="257">
        <f t="shared" si="776"/>
        <v>7811.0000000000009</v>
      </c>
      <c r="P287" s="559">
        <f t="shared" si="777"/>
        <v>7781.0000000000009</v>
      </c>
      <c r="Q287" s="257">
        <f t="shared" si="778"/>
        <v>7781.0000000000009</v>
      </c>
      <c r="R287" s="559">
        <f t="shared" si="779"/>
        <v>7761.0000000000009</v>
      </c>
      <c r="S287" s="257">
        <f t="shared" si="780"/>
        <v>7761.0000000000009</v>
      </c>
      <c r="T287" s="93">
        <f t="shared" si="781"/>
        <v>7741.0000000000009</v>
      </c>
      <c r="U287" s="235">
        <f t="shared" si="782"/>
        <v>7741.0000000000009</v>
      </c>
      <c r="V287" s="93">
        <f t="shared" si="783"/>
        <v>7721.0000000000009</v>
      </c>
      <c r="W287" s="235">
        <f t="shared" si="784"/>
        <v>7721.0000000000009</v>
      </c>
      <c r="X287" s="718"/>
      <c r="Y287" s="719"/>
      <c r="Z287" s="719"/>
      <c r="AA287" s="720"/>
      <c r="AB287" s="178">
        <v>962</v>
      </c>
    </row>
    <row r="288" spans="1:33" ht="12.6" customHeight="1" x14ac:dyDescent="0.2">
      <c r="A288" s="17"/>
      <c r="B288" s="645" t="s">
        <v>774</v>
      </c>
      <c r="C288" s="646"/>
      <c r="D288" s="646"/>
      <c r="E288" s="646"/>
      <c r="F288" s="334">
        <f>10.94*X2</f>
        <v>14112.599999999999</v>
      </c>
      <c r="G288" s="258">
        <f t="shared" si="787"/>
        <v>14112.599999999999</v>
      </c>
      <c r="H288" s="576">
        <f t="shared" si="769"/>
        <v>14712.599999999999</v>
      </c>
      <c r="I288" s="258">
        <f t="shared" si="770"/>
        <v>14712.599999999999</v>
      </c>
      <c r="J288" s="576">
        <f t="shared" si="771"/>
        <v>14372.599999999999</v>
      </c>
      <c r="K288" s="258">
        <f t="shared" si="772"/>
        <v>14372.599999999999</v>
      </c>
      <c r="L288" s="576">
        <f t="shared" si="773"/>
        <v>14342.599999999999</v>
      </c>
      <c r="M288" s="258">
        <f t="shared" si="774"/>
        <v>14342.599999999999</v>
      </c>
      <c r="N288" s="576">
        <f t="shared" si="775"/>
        <v>14312.599999999999</v>
      </c>
      <c r="O288" s="258">
        <f t="shared" si="776"/>
        <v>14312.599999999999</v>
      </c>
      <c r="P288" s="576">
        <f t="shared" si="777"/>
        <v>14282.599999999999</v>
      </c>
      <c r="Q288" s="258">
        <f t="shared" si="778"/>
        <v>14282.599999999999</v>
      </c>
      <c r="R288" s="576">
        <f t="shared" si="779"/>
        <v>14262.599999999999</v>
      </c>
      <c r="S288" s="258">
        <f t="shared" si="780"/>
        <v>14262.599999999999</v>
      </c>
      <c r="T288" s="92">
        <f t="shared" si="781"/>
        <v>14242.599999999999</v>
      </c>
      <c r="U288" s="272">
        <f t="shared" si="782"/>
        <v>14242.599999999999</v>
      </c>
      <c r="V288" s="92">
        <f t="shared" si="783"/>
        <v>14222.599999999999</v>
      </c>
      <c r="W288" s="272">
        <f t="shared" si="784"/>
        <v>14222.599999999999</v>
      </c>
      <c r="X288" s="404"/>
      <c r="Y288" s="404"/>
      <c r="Z288" s="404"/>
      <c r="AA288" s="404"/>
      <c r="AB288" s="178">
        <v>963</v>
      </c>
    </row>
    <row r="289" spans="1:38" ht="12.6" customHeight="1" x14ac:dyDescent="0.2">
      <c r="A289" s="17"/>
      <c r="B289" s="654" t="s">
        <v>809</v>
      </c>
      <c r="C289" s="655"/>
      <c r="D289" s="655"/>
      <c r="E289" s="655"/>
      <c r="F289" s="333">
        <f>7.1*X2</f>
        <v>9159</v>
      </c>
      <c r="G289" s="257">
        <f t="shared" ref="G289" si="789">+F289*$X$1</f>
        <v>9159</v>
      </c>
      <c r="H289" s="559">
        <f t="shared" si="769"/>
        <v>9759</v>
      </c>
      <c r="I289" s="257">
        <f t="shared" si="770"/>
        <v>9759</v>
      </c>
      <c r="J289" s="559">
        <f t="shared" si="771"/>
        <v>9419</v>
      </c>
      <c r="K289" s="257">
        <f t="shared" si="772"/>
        <v>9419</v>
      </c>
      <c r="L289" s="559">
        <f t="shared" si="773"/>
        <v>9389</v>
      </c>
      <c r="M289" s="257">
        <f t="shared" si="774"/>
        <v>9389</v>
      </c>
      <c r="N289" s="559">
        <f t="shared" si="775"/>
        <v>9359</v>
      </c>
      <c r="O289" s="257">
        <f t="shared" si="776"/>
        <v>9359</v>
      </c>
      <c r="P289" s="559">
        <f t="shared" si="777"/>
        <v>9329</v>
      </c>
      <c r="Q289" s="257">
        <f t="shared" si="778"/>
        <v>9329</v>
      </c>
      <c r="R289" s="559">
        <f t="shared" si="779"/>
        <v>9309</v>
      </c>
      <c r="S289" s="257">
        <f t="shared" si="780"/>
        <v>9309</v>
      </c>
      <c r="T289" s="93">
        <f t="shared" si="781"/>
        <v>9289</v>
      </c>
      <c r="U289" s="235">
        <f t="shared" si="782"/>
        <v>9289</v>
      </c>
      <c r="V289" s="93">
        <f t="shared" si="783"/>
        <v>9269</v>
      </c>
      <c r="W289" s="235">
        <f t="shared" si="784"/>
        <v>9269</v>
      </c>
      <c r="X289" s="404"/>
      <c r="Y289" s="404"/>
      <c r="Z289" s="404"/>
      <c r="AA289" s="404"/>
      <c r="AB289" s="178">
        <v>966</v>
      </c>
    </row>
    <row r="290" spans="1:38" s="1" customFormat="1" ht="12.6" customHeight="1" x14ac:dyDescent="0.2">
      <c r="A290" s="18"/>
      <c r="B290" s="645" t="s">
        <v>344</v>
      </c>
      <c r="C290" s="646"/>
      <c r="D290" s="646"/>
      <c r="E290" s="646"/>
      <c r="F290" s="258">
        <v>450</v>
      </c>
      <c r="G290" s="258">
        <f>+F290*$X$1</f>
        <v>450</v>
      </c>
      <c r="H290" s="251"/>
      <c r="I290" s="251"/>
      <c r="J290" s="576">
        <f>F290+230</f>
        <v>680</v>
      </c>
      <c r="K290" s="258">
        <f t="shared" ref="K290:K296" si="790">+J290*$X$1</f>
        <v>680</v>
      </c>
      <c r="L290" s="576">
        <f>F290+180</f>
        <v>630</v>
      </c>
      <c r="M290" s="258">
        <f>+L290*$X$1</f>
        <v>630</v>
      </c>
      <c r="N290" s="576">
        <f>F290+130</f>
        <v>580</v>
      </c>
      <c r="O290" s="258">
        <f>+N290*$X$1</f>
        <v>580</v>
      </c>
      <c r="P290" s="576">
        <f>F290+110</f>
        <v>560</v>
      </c>
      <c r="Q290" s="258">
        <f>+P290*$X$1</f>
        <v>560</v>
      </c>
      <c r="R290" s="576">
        <f>F290+90</f>
        <v>540</v>
      </c>
      <c r="S290" s="258">
        <f>+R290*$X$1</f>
        <v>540</v>
      </c>
      <c r="T290" s="92">
        <f>F290+80</f>
        <v>530</v>
      </c>
      <c r="U290" s="272">
        <f>+T290*$X$1</f>
        <v>530</v>
      </c>
      <c r="V290" s="92">
        <f>F290+70</f>
        <v>520</v>
      </c>
      <c r="W290" s="272">
        <f>+V290*$X$1</f>
        <v>520</v>
      </c>
      <c r="X290" s="136"/>
      <c r="Y290" s="136"/>
      <c r="Z290" s="136"/>
      <c r="AA290" s="136"/>
      <c r="AB290" s="178">
        <v>998</v>
      </c>
      <c r="AC290" s="71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s="1" customFormat="1" ht="12.6" customHeight="1" x14ac:dyDescent="0.2">
      <c r="A291" s="18"/>
      <c r="B291" s="696" t="s">
        <v>1007</v>
      </c>
      <c r="C291" s="636"/>
      <c r="D291" s="636"/>
      <c r="E291" s="637"/>
      <c r="F291" s="333">
        <f>6.98*X2</f>
        <v>9004.2000000000007</v>
      </c>
      <c r="G291" s="257">
        <f t="shared" ref="G291" si="791">+F291*$X$1</f>
        <v>9004.2000000000007</v>
      </c>
      <c r="H291" s="68">
        <f>F291+600</f>
        <v>9604.2000000000007</v>
      </c>
      <c r="I291" s="257">
        <f t="shared" ref="I291" si="792">+H291*$X$1</f>
        <v>9604.2000000000007</v>
      </c>
      <c r="J291" s="559">
        <f>F291+260</f>
        <v>9264.2000000000007</v>
      </c>
      <c r="K291" s="257">
        <f t="shared" si="790"/>
        <v>9264.2000000000007</v>
      </c>
      <c r="L291" s="559">
        <f>F291+220</f>
        <v>9224.2000000000007</v>
      </c>
      <c r="M291" s="257">
        <f t="shared" ref="M291" si="793">+L291*$X$1</f>
        <v>9224.2000000000007</v>
      </c>
      <c r="N291" s="559">
        <f>F291+180</f>
        <v>9184.2000000000007</v>
      </c>
      <c r="O291" s="257">
        <f t="shared" ref="O291" si="794">+N291*$X$1</f>
        <v>9184.2000000000007</v>
      </c>
      <c r="P291" s="559">
        <f>F291+150</f>
        <v>9154.2000000000007</v>
      </c>
      <c r="Q291" s="257">
        <f t="shared" ref="Q291" si="795">+P291*$X$1</f>
        <v>9154.2000000000007</v>
      </c>
      <c r="R291" s="559">
        <f>F291+120</f>
        <v>9124.2000000000007</v>
      </c>
      <c r="S291" s="257">
        <f t="shared" ref="S291" si="796">+R291*$X$1</f>
        <v>9124.2000000000007</v>
      </c>
      <c r="T291" s="559">
        <f>F291+100</f>
        <v>9104.2000000000007</v>
      </c>
      <c r="U291" s="257">
        <f t="shared" ref="U291" si="797">+T291*$X$1</f>
        <v>9104.2000000000007</v>
      </c>
      <c r="V291" s="559">
        <f>F291+80</f>
        <v>9084.2000000000007</v>
      </c>
      <c r="W291" s="257">
        <f t="shared" ref="W291" si="798">+V291*$X$1</f>
        <v>9084.2000000000007</v>
      </c>
      <c r="X291" s="608"/>
      <c r="Y291" s="609"/>
      <c r="Z291" s="609"/>
      <c r="AA291" s="610"/>
      <c r="AB291" s="178">
        <v>1017</v>
      </c>
      <c r="AC291" s="4"/>
      <c r="AD291" s="4"/>
      <c r="AE291" s="4"/>
      <c r="AF291" s="4"/>
      <c r="AG291" s="4"/>
      <c r="AH291" s="116"/>
      <c r="AI291" s="4"/>
      <c r="AJ291" s="4"/>
      <c r="AK291" s="4"/>
      <c r="AL291" s="4"/>
    </row>
    <row r="292" spans="1:38" s="1" customFormat="1" ht="12.6" customHeight="1" x14ac:dyDescent="0.2">
      <c r="A292" s="18"/>
      <c r="B292" s="696" t="s">
        <v>992</v>
      </c>
      <c r="C292" s="636"/>
      <c r="D292" s="636"/>
      <c r="E292" s="637"/>
      <c r="F292" s="293">
        <v>31600</v>
      </c>
      <c r="G292" s="258">
        <f t="shared" ref="G292:G294" si="799">+F292*$X$1</f>
        <v>31600</v>
      </c>
      <c r="H292" s="82">
        <f t="shared" ref="H292" si="800">F292+600</f>
        <v>32200</v>
      </c>
      <c r="I292" s="258">
        <f t="shared" ref="I292" si="801">+H292*$X$1</f>
        <v>32200</v>
      </c>
      <c r="J292" s="576">
        <f t="shared" ref="J292" si="802">F292+260</f>
        <v>31860</v>
      </c>
      <c r="K292" s="258">
        <f t="shared" si="790"/>
        <v>31860</v>
      </c>
      <c r="L292" s="576">
        <f t="shared" ref="L292" si="803">F292+220</f>
        <v>31820</v>
      </c>
      <c r="M292" s="258">
        <f t="shared" ref="M292:M294" si="804">+L292*$X$1</f>
        <v>31820</v>
      </c>
      <c r="N292" s="576">
        <f t="shared" ref="N292" si="805">F292+180</f>
        <v>31780</v>
      </c>
      <c r="O292" s="258">
        <f t="shared" ref="O292:O294" si="806">+N292*$X$1</f>
        <v>31780</v>
      </c>
      <c r="P292" s="576">
        <f t="shared" ref="P292" si="807">F292+150</f>
        <v>31750</v>
      </c>
      <c r="Q292" s="258">
        <f t="shared" ref="Q292:Q294" si="808">+P292*$X$1</f>
        <v>31750</v>
      </c>
      <c r="R292" s="576">
        <f t="shared" ref="R292" si="809">F292+120</f>
        <v>31720</v>
      </c>
      <c r="S292" s="258">
        <f t="shared" ref="S292:S294" si="810">+R292*$X$1</f>
        <v>31720</v>
      </c>
      <c r="T292" s="576">
        <f t="shared" ref="T292" si="811">F292+100</f>
        <v>31700</v>
      </c>
      <c r="U292" s="258">
        <f t="shared" ref="U292:U294" si="812">+T292*$X$1</f>
        <v>31700</v>
      </c>
      <c r="V292" s="576">
        <f t="shared" ref="V292" si="813">F292+80</f>
        <v>31680</v>
      </c>
      <c r="W292" s="258">
        <f t="shared" ref="W292:W294" si="814">+V292*$X$1</f>
        <v>31680</v>
      </c>
      <c r="X292" s="593"/>
      <c r="Y292" s="594"/>
      <c r="Z292" s="594"/>
      <c r="AA292" s="595"/>
      <c r="AB292" s="178">
        <v>1018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696" t="s">
        <v>1006</v>
      </c>
      <c r="C293" s="636"/>
      <c r="D293" s="636"/>
      <c r="E293" s="637"/>
      <c r="F293" s="337">
        <f>9.7*X2</f>
        <v>12512.999999999998</v>
      </c>
      <c r="G293" s="274">
        <f t="shared" ref="G293" si="815">+F293*$X$1</f>
        <v>12512.999999999998</v>
      </c>
      <c r="H293" s="68">
        <f t="shared" ref="H293" si="816">F293+600</f>
        <v>13112.999999999998</v>
      </c>
      <c r="I293" s="257">
        <f t="shared" ref="I293" si="817">+H293*$X$1</f>
        <v>13112.999999999998</v>
      </c>
      <c r="J293" s="559">
        <f>F293+280</f>
        <v>12792.999999999998</v>
      </c>
      <c r="K293" s="257">
        <f t="shared" ref="K293" si="818">+J293*$X$1</f>
        <v>12792.999999999998</v>
      </c>
      <c r="L293" s="559">
        <f>F293+230</f>
        <v>12742.999999999998</v>
      </c>
      <c r="M293" s="257">
        <f t="shared" si="804"/>
        <v>12742.999999999998</v>
      </c>
      <c r="N293" s="559">
        <f>F293+190</f>
        <v>12702.999999999998</v>
      </c>
      <c r="O293" s="257">
        <f t="shared" si="806"/>
        <v>12702.999999999998</v>
      </c>
      <c r="P293" s="559">
        <f>F293+160</f>
        <v>12672.999999999998</v>
      </c>
      <c r="Q293" s="257">
        <f t="shared" si="808"/>
        <v>12672.999999999998</v>
      </c>
      <c r="R293" s="559">
        <f>F293+130</f>
        <v>12642.999999999998</v>
      </c>
      <c r="S293" s="257">
        <f t="shared" si="810"/>
        <v>12642.999999999998</v>
      </c>
      <c r="T293" s="559">
        <f>F293+110</f>
        <v>12622.999999999998</v>
      </c>
      <c r="U293" s="257">
        <f t="shared" si="812"/>
        <v>12622.999999999998</v>
      </c>
      <c r="V293" s="559">
        <f>F293+90</f>
        <v>12602.999999999998</v>
      </c>
      <c r="W293" s="257">
        <f t="shared" si="814"/>
        <v>12602.999999999998</v>
      </c>
      <c r="X293" s="608"/>
      <c r="Y293" s="609"/>
      <c r="Z293" s="609"/>
      <c r="AA293" s="610"/>
      <c r="AB293" s="178">
        <v>1019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ht="12.6" customHeight="1" x14ac:dyDescent="0.2">
      <c r="A294" s="17"/>
      <c r="B294" s="984" t="s">
        <v>973</v>
      </c>
      <c r="C294" s="985"/>
      <c r="D294" s="985"/>
      <c r="E294" s="985"/>
      <c r="F294" s="336">
        <f>3.18*X2</f>
        <v>4102.2</v>
      </c>
      <c r="G294" s="303">
        <f t="shared" si="799"/>
        <v>4102.2</v>
      </c>
      <c r="H294" s="576">
        <f>F294+800</f>
        <v>4902.2</v>
      </c>
      <c r="I294" s="258">
        <f>+H294*$X$1</f>
        <v>4902.2</v>
      </c>
      <c r="J294" s="576">
        <f>F294+600</f>
        <v>4702.2</v>
      </c>
      <c r="K294" s="258">
        <f>+J294*$X$1</f>
        <v>4702.2</v>
      </c>
      <c r="L294" s="576">
        <f>F294+500</f>
        <v>4602.2</v>
      </c>
      <c r="M294" s="258">
        <f t="shared" si="804"/>
        <v>4602.2</v>
      </c>
      <c r="N294" s="576">
        <f>F294+450</f>
        <v>4552.2</v>
      </c>
      <c r="O294" s="258">
        <f t="shared" si="806"/>
        <v>4552.2</v>
      </c>
      <c r="P294" s="576">
        <f>F294+360</f>
        <v>4462.2</v>
      </c>
      <c r="Q294" s="258">
        <f t="shared" si="808"/>
        <v>4462.2</v>
      </c>
      <c r="R294" s="576">
        <f>F294+330</f>
        <v>4432.2</v>
      </c>
      <c r="S294" s="258">
        <f t="shared" si="810"/>
        <v>4432.2</v>
      </c>
      <c r="T294" s="92">
        <f>F294+300</f>
        <v>4402.2</v>
      </c>
      <c r="U294" s="272">
        <f t="shared" si="812"/>
        <v>4402.2</v>
      </c>
      <c r="V294" s="92">
        <f>F294+260</f>
        <v>4362.2</v>
      </c>
      <c r="W294" s="272">
        <f t="shared" si="814"/>
        <v>4362.2</v>
      </c>
      <c r="X294" s="135"/>
      <c r="Y294" s="135"/>
      <c r="Z294" s="135"/>
      <c r="AA294" s="135"/>
      <c r="AB294" s="178">
        <v>1021</v>
      </c>
    </row>
    <row r="295" spans="1:38" ht="12.6" customHeight="1" x14ac:dyDescent="0.2">
      <c r="A295" s="17"/>
      <c r="B295" s="984" t="s">
        <v>974</v>
      </c>
      <c r="C295" s="985"/>
      <c r="D295" s="985"/>
      <c r="E295" s="985"/>
      <c r="F295" s="337">
        <v>13390</v>
      </c>
      <c r="G295" s="274">
        <f t="shared" ref="G295" si="819">+F295*$X$1</f>
        <v>13390</v>
      </c>
      <c r="H295" s="559"/>
      <c r="I295" s="257"/>
      <c r="J295" s="559">
        <f>F295+600</f>
        <v>13990</v>
      </c>
      <c r="K295" s="257">
        <f>+J295*$X$1</f>
        <v>13990</v>
      </c>
      <c r="L295" s="559">
        <f>F295+500</f>
        <v>13890</v>
      </c>
      <c r="M295" s="257">
        <f t="shared" ref="M295" si="820">+L295*$X$1</f>
        <v>13890</v>
      </c>
      <c r="N295" s="559">
        <f>F295+450</f>
        <v>13840</v>
      </c>
      <c r="O295" s="257">
        <f t="shared" ref="O295" si="821">+N295*$X$1</f>
        <v>13840</v>
      </c>
      <c r="P295" s="559">
        <f>F295+360</f>
        <v>13750</v>
      </c>
      <c r="Q295" s="257">
        <f t="shared" ref="Q295" si="822">+P295*$X$1</f>
        <v>13750</v>
      </c>
      <c r="R295" s="559">
        <f>F295+330</f>
        <v>13720</v>
      </c>
      <c r="S295" s="257">
        <f t="shared" ref="S295" si="823">+R295*$X$1</f>
        <v>13720</v>
      </c>
      <c r="T295" s="93">
        <f>F295+300</f>
        <v>13690</v>
      </c>
      <c r="U295" s="235">
        <f t="shared" ref="U295" si="824">+T295*$X$1</f>
        <v>13690</v>
      </c>
      <c r="V295" s="93">
        <f>F295+260</f>
        <v>13650</v>
      </c>
      <c r="W295" s="235">
        <f t="shared" ref="W295" si="825">+V295*$X$1</f>
        <v>13650</v>
      </c>
      <c r="X295" s="135"/>
      <c r="Y295" s="135"/>
      <c r="Z295" s="135"/>
      <c r="AA295" s="135"/>
      <c r="AB295" s="178">
        <v>1022</v>
      </c>
    </row>
    <row r="296" spans="1:38" ht="12.6" customHeight="1" x14ac:dyDescent="0.2">
      <c r="A296" s="17"/>
      <c r="B296" s="671" t="s">
        <v>911</v>
      </c>
      <c r="C296" s="672"/>
      <c r="D296" s="672"/>
      <c r="E296" s="672"/>
      <c r="F296" s="334">
        <v>5650</v>
      </c>
      <c r="G296" s="258">
        <f>+F296*$X$1</f>
        <v>5650</v>
      </c>
      <c r="H296" s="82"/>
      <c r="I296" s="258"/>
      <c r="J296" s="576">
        <f>F296+280</f>
        <v>5930</v>
      </c>
      <c r="K296" s="258">
        <f t="shared" si="790"/>
        <v>5930</v>
      </c>
      <c r="L296" s="576">
        <f>F296+230</f>
        <v>5880</v>
      </c>
      <c r="M296" s="258">
        <f t="shared" ref="M296" si="826">+L296*$X$1</f>
        <v>5880</v>
      </c>
      <c r="N296" s="576">
        <f>F296+190</f>
        <v>5840</v>
      </c>
      <c r="O296" s="258">
        <f t="shared" ref="O296" si="827">+N296*$X$1</f>
        <v>5840</v>
      </c>
      <c r="P296" s="576">
        <f>F296+160</f>
        <v>5810</v>
      </c>
      <c r="Q296" s="258">
        <f t="shared" ref="Q296" si="828">+P296*$X$1</f>
        <v>5810</v>
      </c>
      <c r="R296" s="576">
        <f>F296+130</f>
        <v>5780</v>
      </c>
      <c r="S296" s="258">
        <f t="shared" ref="S296" si="829">+R296*$X$1</f>
        <v>5780</v>
      </c>
      <c r="T296" s="576">
        <f>F296+110</f>
        <v>5760</v>
      </c>
      <c r="U296" s="258">
        <f t="shared" ref="U296" si="830">+T296*$X$1</f>
        <v>5760</v>
      </c>
      <c r="V296" s="576">
        <f>F296+90</f>
        <v>5740</v>
      </c>
      <c r="W296" s="258">
        <f t="shared" ref="W296" si="831">+V296*$X$1</f>
        <v>5740</v>
      </c>
      <c r="X296" s="697"/>
      <c r="Y296" s="680"/>
      <c r="Z296" s="680"/>
      <c r="AA296" s="681"/>
      <c r="AB296" s="178">
        <v>1023</v>
      </c>
    </row>
    <row r="297" spans="1:38" s="1" customFormat="1" ht="12.6" customHeight="1" x14ac:dyDescent="0.2">
      <c r="A297" s="18"/>
      <c r="B297" s="659" t="s">
        <v>830</v>
      </c>
      <c r="C297" s="707"/>
      <c r="D297" s="707"/>
      <c r="E297" s="708"/>
      <c r="F297" s="333">
        <f>2.55*X2</f>
        <v>3289.4999999999995</v>
      </c>
      <c r="G297" s="257">
        <f>+F297*$X$1</f>
        <v>3289.4999999999995</v>
      </c>
      <c r="H297" s="559">
        <f t="shared" ref="H297:H298" si="832">F297+600</f>
        <v>3889.4999999999995</v>
      </c>
      <c r="I297" s="257">
        <f t="shared" ref="I297:I298" si="833">+H297*$X$1</f>
        <v>3889.4999999999995</v>
      </c>
      <c r="J297" s="559">
        <f t="shared" ref="J297:J298" si="834">F297+260</f>
        <v>3549.4999999999995</v>
      </c>
      <c r="K297" s="257">
        <f t="shared" ref="K297:K298" si="835">+J297*$X$1</f>
        <v>3549.4999999999995</v>
      </c>
      <c r="L297" s="559">
        <f t="shared" ref="L297:L298" si="836">F297+230</f>
        <v>3519.4999999999995</v>
      </c>
      <c r="M297" s="257">
        <f t="shared" ref="M297:M299" si="837">+L297*$X$1</f>
        <v>3519.4999999999995</v>
      </c>
      <c r="N297" s="559">
        <f t="shared" ref="N297:N298" si="838">F297+200</f>
        <v>3489.4999999999995</v>
      </c>
      <c r="O297" s="257">
        <f t="shared" ref="O297:O299" si="839">+N297*$X$1</f>
        <v>3489.4999999999995</v>
      </c>
      <c r="P297" s="559">
        <f t="shared" ref="P297:P298" si="840">F297+170</f>
        <v>3459.4999999999995</v>
      </c>
      <c r="Q297" s="257">
        <f t="shared" ref="Q297:Q299" si="841">+P297*$X$1</f>
        <v>3459.4999999999995</v>
      </c>
      <c r="R297" s="559">
        <f t="shared" ref="R297:R298" si="842">F297+150</f>
        <v>3439.4999999999995</v>
      </c>
      <c r="S297" s="257">
        <f t="shared" ref="S297:S299" si="843">+R297*$X$1</f>
        <v>3439.4999999999995</v>
      </c>
      <c r="T297" s="93">
        <f t="shared" ref="T297:T298" si="844">F297+130</f>
        <v>3419.4999999999995</v>
      </c>
      <c r="U297" s="235">
        <f t="shared" ref="U297:U299" si="845">+T297*$X$1</f>
        <v>3419.4999999999995</v>
      </c>
      <c r="V297" s="93">
        <f t="shared" ref="V297:V298" si="846">F297+110</f>
        <v>3399.4999999999995</v>
      </c>
      <c r="W297" s="235">
        <f t="shared" ref="W297:W299" si="847">+V297*$X$1</f>
        <v>3399.4999999999995</v>
      </c>
      <c r="X297" s="486"/>
      <c r="Y297" s="488"/>
      <c r="Z297" s="488"/>
      <c r="AA297" s="487"/>
      <c r="AB297" s="178">
        <v>1024</v>
      </c>
      <c r="AC297" s="4"/>
      <c r="AD297" s="4"/>
      <c r="AE297" s="4"/>
      <c r="AF297" s="4"/>
      <c r="AG297" s="4"/>
      <c r="AH297" s="433"/>
      <c r="AI297" s="4"/>
      <c r="AJ297" s="4"/>
      <c r="AK297" s="4"/>
      <c r="AL297" s="4"/>
    </row>
    <row r="298" spans="1:38" s="1" customFormat="1" ht="12.6" customHeight="1" x14ac:dyDescent="0.2">
      <c r="A298" s="18"/>
      <c r="B298" s="656" t="s">
        <v>943</v>
      </c>
      <c r="C298" s="669"/>
      <c r="D298" s="669"/>
      <c r="E298" s="670"/>
      <c r="F298" s="334">
        <f>2.55*X2</f>
        <v>3289.4999999999995</v>
      </c>
      <c r="G298" s="258">
        <f>+F298*$X$1</f>
        <v>3289.4999999999995</v>
      </c>
      <c r="H298" s="576">
        <f t="shared" si="832"/>
        <v>3889.4999999999995</v>
      </c>
      <c r="I298" s="258">
        <f t="shared" si="833"/>
        <v>3889.4999999999995</v>
      </c>
      <c r="J298" s="576">
        <f t="shared" si="834"/>
        <v>3549.4999999999995</v>
      </c>
      <c r="K298" s="258">
        <f t="shared" si="835"/>
        <v>3549.4999999999995</v>
      </c>
      <c r="L298" s="576">
        <f t="shared" si="836"/>
        <v>3519.4999999999995</v>
      </c>
      <c r="M298" s="258">
        <f t="shared" si="837"/>
        <v>3519.4999999999995</v>
      </c>
      <c r="N298" s="576">
        <f t="shared" si="838"/>
        <v>3489.4999999999995</v>
      </c>
      <c r="O298" s="258">
        <f t="shared" si="839"/>
        <v>3489.4999999999995</v>
      </c>
      <c r="P298" s="576">
        <f t="shared" si="840"/>
        <v>3459.4999999999995</v>
      </c>
      <c r="Q298" s="258">
        <f t="shared" si="841"/>
        <v>3459.4999999999995</v>
      </c>
      <c r="R298" s="576">
        <f t="shared" si="842"/>
        <v>3439.4999999999995</v>
      </c>
      <c r="S298" s="258">
        <f t="shared" si="843"/>
        <v>3439.4999999999995</v>
      </c>
      <c r="T298" s="92">
        <f t="shared" si="844"/>
        <v>3419.4999999999995</v>
      </c>
      <c r="U298" s="272">
        <f t="shared" si="845"/>
        <v>3419.4999999999995</v>
      </c>
      <c r="V298" s="92">
        <f t="shared" si="846"/>
        <v>3399.4999999999995</v>
      </c>
      <c r="W298" s="272">
        <f t="shared" si="847"/>
        <v>3399.4999999999995</v>
      </c>
      <c r="X298" s="432"/>
      <c r="Y298" s="430"/>
      <c r="Z298" s="430"/>
      <c r="AA298" s="431"/>
      <c r="AB298" s="178">
        <v>1026</v>
      </c>
      <c r="AC298" s="4"/>
      <c r="AD298" s="4"/>
      <c r="AE298" s="4"/>
      <c r="AF298" s="4"/>
      <c r="AG298" s="4"/>
      <c r="AH298" s="433"/>
      <c r="AI298" s="4"/>
      <c r="AJ298" s="4"/>
      <c r="AK298" s="4"/>
      <c r="AL298" s="4"/>
    </row>
    <row r="299" spans="1:38" s="1" customFormat="1" ht="12.6" customHeight="1" x14ac:dyDescent="0.2">
      <c r="A299" s="18"/>
      <c r="B299" s="659" t="s">
        <v>546</v>
      </c>
      <c r="C299" s="707"/>
      <c r="D299" s="707"/>
      <c r="E299" s="708"/>
      <c r="F299" s="465">
        <f>13*X2</f>
        <v>16770</v>
      </c>
      <c r="G299" s="259">
        <f t="shared" ref="G299:G301" si="848">+F299*$X$1</f>
        <v>16770</v>
      </c>
      <c r="H299" s="68">
        <f>F299+650</f>
        <v>17420</v>
      </c>
      <c r="I299" s="257">
        <f>+H299*$X$1</f>
        <v>17420</v>
      </c>
      <c r="J299" s="559">
        <f>F299+280</f>
        <v>17050</v>
      </c>
      <c r="K299" s="257">
        <f>+J299*$X$1</f>
        <v>17050</v>
      </c>
      <c r="L299" s="559">
        <f>F299+230</f>
        <v>17000</v>
      </c>
      <c r="M299" s="257">
        <f t="shared" si="837"/>
        <v>17000</v>
      </c>
      <c r="N299" s="559">
        <f>F299+190</f>
        <v>16960</v>
      </c>
      <c r="O299" s="257">
        <f t="shared" si="839"/>
        <v>16960</v>
      </c>
      <c r="P299" s="559">
        <f>F299+160</f>
        <v>16930</v>
      </c>
      <c r="Q299" s="257">
        <f t="shared" si="841"/>
        <v>16930</v>
      </c>
      <c r="R299" s="559">
        <f>F299+130</f>
        <v>16900</v>
      </c>
      <c r="S299" s="257">
        <f t="shared" si="843"/>
        <v>16900</v>
      </c>
      <c r="T299" s="559">
        <f>F299+110</f>
        <v>16880</v>
      </c>
      <c r="U299" s="257">
        <f t="shared" si="845"/>
        <v>16880</v>
      </c>
      <c r="V299" s="559">
        <f>F299+90</f>
        <v>16860</v>
      </c>
      <c r="W299" s="257">
        <f t="shared" si="847"/>
        <v>16860</v>
      </c>
      <c r="X299" s="299"/>
      <c r="Y299" s="300"/>
      <c r="Z299" s="300"/>
      <c r="AA299" s="301"/>
      <c r="AB299" s="178">
        <v>1028</v>
      </c>
      <c r="AC299" s="4"/>
      <c r="AD299" s="4"/>
      <c r="AE299" s="4"/>
      <c r="AF299" s="4"/>
      <c r="AG299" s="4"/>
      <c r="AH299" s="116"/>
      <c r="AI299" s="4"/>
      <c r="AJ299" s="4"/>
      <c r="AK299" s="4"/>
      <c r="AL299" s="4"/>
    </row>
    <row r="300" spans="1:38" s="1" customFormat="1" ht="12.6" customHeight="1" x14ac:dyDescent="0.2">
      <c r="A300" s="18"/>
      <c r="B300" s="656" t="s">
        <v>776</v>
      </c>
      <c r="C300" s="669"/>
      <c r="D300" s="669"/>
      <c r="E300" s="670"/>
      <c r="F300" s="293">
        <v>3150</v>
      </c>
      <c r="G300" s="258">
        <f t="shared" ref="G300" si="849">+F300*$X$1</f>
        <v>3150</v>
      </c>
      <c r="H300" s="576"/>
      <c r="I300" s="258"/>
      <c r="J300" s="576"/>
      <c r="K300" s="258"/>
      <c r="L300" s="576">
        <f t="shared" ref="L300:L302" si="850">F300+230</f>
        <v>3380</v>
      </c>
      <c r="M300" s="258">
        <f t="shared" ref="M300:M303" si="851">+L300*$X$1</f>
        <v>3380</v>
      </c>
      <c r="N300" s="576">
        <f t="shared" ref="N300:N302" si="852">F300+200</f>
        <v>3350</v>
      </c>
      <c r="O300" s="258">
        <f t="shared" ref="O300:O303" si="853">+N300*$X$1</f>
        <v>3350</v>
      </c>
      <c r="P300" s="576">
        <f t="shared" ref="P300:P302" si="854">F300+170</f>
        <v>3320</v>
      </c>
      <c r="Q300" s="258">
        <f t="shared" ref="Q300:Q303" si="855">+P300*$X$1</f>
        <v>3320</v>
      </c>
      <c r="R300" s="576">
        <f t="shared" ref="R300:R302" si="856">F300+150</f>
        <v>3300</v>
      </c>
      <c r="S300" s="258">
        <f t="shared" ref="S300:S303" si="857">+R300*$X$1</f>
        <v>3300</v>
      </c>
      <c r="T300" s="92">
        <f t="shared" ref="T300:T302" si="858">F300+130</f>
        <v>3280</v>
      </c>
      <c r="U300" s="272">
        <f t="shared" ref="U300:U303" si="859">+T300*$X$1</f>
        <v>3280</v>
      </c>
      <c r="V300" s="92">
        <f t="shared" ref="V300:V302" si="860">F300+110</f>
        <v>3260</v>
      </c>
      <c r="W300" s="272">
        <f t="shared" ref="W300:W303" si="861">+V300*$X$1</f>
        <v>3260</v>
      </c>
      <c r="X300" s="438"/>
      <c r="Y300" s="439"/>
      <c r="Z300" s="439"/>
      <c r="AA300" s="440"/>
      <c r="AB300" s="178">
        <v>1029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59" t="s">
        <v>544</v>
      </c>
      <c r="C301" s="707"/>
      <c r="D301" s="707"/>
      <c r="E301" s="708"/>
      <c r="F301" s="294">
        <v>3150</v>
      </c>
      <c r="G301" s="257">
        <f t="shared" si="848"/>
        <v>3150</v>
      </c>
      <c r="H301" s="559"/>
      <c r="I301" s="257"/>
      <c r="J301" s="559"/>
      <c r="K301" s="257"/>
      <c r="L301" s="559">
        <f t="shared" si="850"/>
        <v>3380</v>
      </c>
      <c r="M301" s="257">
        <f t="shared" si="851"/>
        <v>3380</v>
      </c>
      <c r="N301" s="559">
        <f t="shared" si="852"/>
        <v>3350</v>
      </c>
      <c r="O301" s="257">
        <f t="shared" si="853"/>
        <v>3350</v>
      </c>
      <c r="P301" s="559">
        <f t="shared" si="854"/>
        <v>3320</v>
      </c>
      <c r="Q301" s="257">
        <f t="shared" si="855"/>
        <v>3320</v>
      </c>
      <c r="R301" s="559">
        <f t="shared" si="856"/>
        <v>3300</v>
      </c>
      <c r="S301" s="257">
        <f t="shared" si="857"/>
        <v>3300</v>
      </c>
      <c r="T301" s="93">
        <f t="shared" si="858"/>
        <v>3280</v>
      </c>
      <c r="U301" s="235">
        <f t="shared" si="859"/>
        <v>3280</v>
      </c>
      <c r="V301" s="93">
        <f t="shared" si="860"/>
        <v>3260</v>
      </c>
      <c r="W301" s="235">
        <f t="shared" si="861"/>
        <v>3260</v>
      </c>
      <c r="X301" s="289"/>
      <c r="Y301" s="287"/>
      <c r="Z301" s="287"/>
      <c r="AA301" s="288"/>
      <c r="AB301" s="178">
        <v>1030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56" t="s">
        <v>545</v>
      </c>
      <c r="C302" s="669"/>
      <c r="D302" s="669"/>
      <c r="E302" s="670"/>
      <c r="F302" s="293">
        <v>3150</v>
      </c>
      <c r="G302" s="258">
        <f t="shared" ref="G302:G303" si="862">+F302*$X$1</f>
        <v>3150</v>
      </c>
      <c r="H302" s="576"/>
      <c r="I302" s="258"/>
      <c r="J302" s="576"/>
      <c r="K302" s="258"/>
      <c r="L302" s="576">
        <f t="shared" si="850"/>
        <v>3380</v>
      </c>
      <c r="M302" s="258">
        <f t="shared" si="851"/>
        <v>3380</v>
      </c>
      <c r="N302" s="576">
        <f t="shared" si="852"/>
        <v>3350</v>
      </c>
      <c r="O302" s="258">
        <f t="shared" si="853"/>
        <v>3350</v>
      </c>
      <c r="P302" s="576">
        <f t="shared" si="854"/>
        <v>3320</v>
      </c>
      <c r="Q302" s="258">
        <f t="shared" si="855"/>
        <v>3320</v>
      </c>
      <c r="R302" s="576">
        <f t="shared" si="856"/>
        <v>3300</v>
      </c>
      <c r="S302" s="258">
        <f t="shared" si="857"/>
        <v>3300</v>
      </c>
      <c r="T302" s="92">
        <f t="shared" si="858"/>
        <v>3280</v>
      </c>
      <c r="U302" s="272">
        <f t="shared" si="859"/>
        <v>3280</v>
      </c>
      <c r="V302" s="92">
        <f t="shared" si="860"/>
        <v>3260</v>
      </c>
      <c r="W302" s="272">
        <f t="shared" si="861"/>
        <v>3260</v>
      </c>
      <c r="X302" s="295"/>
      <c r="Y302" s="296"/>
      <c r="Z302" s="296"/>
      <c r="AA302" s="297"/>
      <c r="AB302" s="178">
        <v>1031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59" t="s">
        <v>786</v>
      </c>
      <c r="C303" s="707"/>
      <c r="D303" s="707"/>
      <c r="E303" s="708"/>
      <c r="F303" s="333">
        <f>14.9*X2</f>
        <v>19221</v>
      </c>
      <c r="G303" s="257">
        <f t="shared" si="862"/>
        <v>19221</v>
      </c>
      <c r="H303" s="68">
        <f>F303+600</f>
        <v>19821</v>
      </c>
      <c r="I303" s="257">
        <f t="shared" ref="I303:I315" si="863">+H303*$X$1</f>
        <v>19821</v>
      </c>
      <c r="J303" s="559">
        <f>F303+260</f>
        <v>19481</v>
      </c>
      <c r="K303" s="257">
        <f t="shared" ref="K303:K315" si="864">+J303*$X$1</f>
        <v>19481</v>
      </c>
      <c r="L303" s="559">
        <f>F303+220</f>
        <v>19441</v>
      </c>
      <c r="M303" s="257">
        <f t="shared" si="851"/>
        <v>19441</v>
      </c>
      <c r="N303" s="559">
        <f>F303+180</f>
        <v>19401</v>
      </c>
      <c r="O303" s="257">
        <f t="shared" si="853"/>
        <v>19401</v>
      </c>
      <c r="P303" s="559">
        <f>F303+150</f>
        <v>19371</v>
      </c>
      <c r="Q303" s="257">
        <f t="shared" si="855"/>
        <v>19371</v>
      </c>
      <c r="R303" s="559">
        <f>F303+120</f>
        <v>19341</v>
      </c>
      <c r="S303" s="257">
        <f t="shared" si="857"/>
        <v>19341</v>
      </c>
      <c r="T303" s="559">
        <f>F303+100</f>
        <v>19321</v>
      </c>
      <c r="U303" s="257">
        <f t="shared" si="859"/>
        <v>19321</v>
      </c>
      <c r="V303" s="559">
        <f>F303+80</f>
        <v>19301</v>
      </c>
      <c r="W303" s="257">
        <f t="shared" si="861"/>
        <v>19301</v>
      </c>
      <c r="X303" s="229"/>
      <c r="Y303" s="230"/>
      <c r="Z303" s="230"/>
      <c r="AA303" s="231"/>
      <c r="AB303" s="178">
        <v>1032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56" t="s">
        <v>427</v>
      </c>
      <c r="C304" s="669"/>
      <c r="D304" s="669"/>
      <c r="E304" s="670"/>
      <c r="F304" s="334">
        <f>20.46*X2</f>
        <v>26393.4</v>
      </c>
      <c r="G304" s="258">
        <f t="shared" ref="G304" si="865">+F304*$X$1</f>
        <v>26393.4</v>
      </c>
      <c r="H304" s="82">
        <f>F304+650</f>
        <v>27043.4</v>
      </c>
      <c r="I304" s="258">
        <f t="shared" si="863"/>
        <v>27043.4</v>
      </c>
      <c r="J304" s="576">
        <f>F304+280</f>
        <v>26673.4</v>
      </c>
      <c r="K304" s="258">
        <f t="shared" si="864"/>
        <v>26673.4</v>
      </c>
      <c r="L304" s="576">
        <f>F304+230</f>
        <v>26623.4</v>
      </c>
      <c r="M304" s="258">
        <f t="shared" ref="M304:M306" si="866">+L304*$X$1</f>
        <v>26623.4</v>
      </c>
      <c r="N304" s="576">
        <f>F304+190</f>
        <v>26583.4</v>
      </c>
      <c r="O304" s="258">
        <f t="shared" ref="O304:O306" si="867">+N304*$X$1</f>
        <v>26583.4</v>
      </c>
      <c r="P304" s="576">
        <f>F304+160</f>
        <v>26553.4</v>
      </c>
      <c r="Q304" s="258">
        <f t="shared" ref="Q304:Q306" si="868">+P304*$X$1</f>
        <v>26553.4</v>
      </c>
      <c r="R304" s="576">
        <f>F304+130</f>
        <v>26523.4</v>
      </c>
      <c r="S304" s="258">
        <f t="shared" ref="S304:S306" si="869">+R304*$X$1</f>
        <v>26523.4</v>
      </c>
      <c r="T304" s="576">
        <f>F304+110</f>
        <v>26503.4</v>
      </c>
      <c r="U304" s="258">
        <f t="shared" ref="U304:U306" si="870">+T304*$X$1</f>
        <v>26503.4</v>
      </c>
      <c r="V304" s="576">
        <f>F304+90</f>
        <v>26483.4</v>
      </c>
      <c r="W304" s="258">
        <f t="shared" ref="W304:W306" si="871">+V304*$X$1</f>
        <v>26483.4</v>
      </c>
      <c r="X304" s="222"/>
      <c r="Y304" s="224"/>
      <c r="Z304" s="224"/>
      <c r="AA304" s="223"/>
      <c r="AB304" s="178">
        <v>1034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4" ht="12.6" customHeight="1" x14ac:dyDescent="0.2">
      <c r="A305" s="17"/>
      <c r="B305" s="654" t="s">
        <v>391</v>
      </c>
      <c r="C305" s="655"/>
      <c r="D305" s="655"/>
      <c r="E305" s="655"/>
      <c r="F305" s="294">
        <v>11220</v>
      </c>
      <c r="G305" s="257">
        <f>+F305*$X$1</f>
        <v>11220</v>
      </c>
      <c r="H305" s="68">
        <f>F305+600</f>
        <v>11820</v>
      </c>
      <c r="I305" s="257">
        <f t="shared" si="863"/>
        <v>11820</v>
      </c>
      <c r="J305" s="559">
        <f>F305+260</f>
        <v>11480</v>
      </c>
      <c r="K305" s="257">
        <f t="shared" si="864"/>
        <v>11480</v>
      </c>
      <c r="L305" s="559">
        <f>F305+220</f>
        <v>11440</v>
      </c>
      <c r="M305" s="257">
        <f t="shared" si="866"/>
        <v>11440</v>
      </c>
      <c r="N305" s="559">
        <f>F305+180</f>
        <v>11400</v>
      </c>
      <c r="O305" s="257">
        <f t="shared" si="867"/>
        <v>11400</v>
      </c>
      <c r="P305" s="559">
        <f>F305+150</f>
        <v>11370</v>
      </c>
      <c r="Q305" s="257">
        <f t="shared" si="868"/>
        <v>11370</v>
      </c>
      <c r="R305" s="559">
        <f>F305+120</f>
        <v>11340</v>
      </c>
      <c r="S305" s="257">
        <f t="shared" si="869"/>
        <v>11340</v>
      </c>
      <c r="T305" s="559">
        <f>F305+100</f>
        <v>11320</v>
      </c>
      <c r="U305" s="257">
        <f t="shared" si="870"/>
        <v>11320</v>
      </c>
      <c r="V305" s="559">
        <f>F305+80</f>
        <v>11300</v>
      </c>
      <c r="W305" s="257">
        <f t="shared" si="871"/>
        <v>11300</v>
      </c>
      <c r="X305" s="697"/>
      <c r="Y305" s="680"/>
      <c r="Z305" s="680"/>
      <c r="AA305" s="681"/>
      <c r="AB305" s="178">
        <v>1040</v>
      </c>
      <c r="AC305" s="61"/>
    </row>
    <row r="306" spans="1:34" ht="12.6" customHeight="1" x14ac:dyDescent="0.2">
      <c r="A306" s="17"/>
      <c r="B306" s="645" t="s">
        <v>707</v>
      </c>
      <c r="C306" s="646"/>
      <c r="D306" s="646"/>
      <c r="E306" s="646"/>
      <c r="F306" s="334">
        <f>21.21*X2</f>
        <v>27360.9</v>
      </c>
      <c r="G306" s="258">
        <f>+F306*$X$1</f>
        <v>27360.9</v>
      </c>
      <c r="H306" s="82">
        <f>F306+600</f>
        <v>27960.9</v>
      </c>
      <c r="I306" s="258">
        <f t="shared" si="863"/>
        <v>27960.9</v>
      </c>
      <c r="J306" s="576">
        <f>F306+260</f>
        <v>27620.9</v>
      </c>
      <c r="K306" s="258">
        <f t="shared" si="864"/>
        <v>27620.9</v>
      </c>
      <c r="L306" s="576">
        <f>F306+220</f>
        <v>27580.9</v>
      </c>
      <c r="M306" s="258">
        <f t="shared" si="866"/>
        <v>27580.9</v>
      </c>
      <c r="N306" s="576">
        <f>F306+180</f>
        <v>27540.9</v>
      </c>
      <c r="O306" s="258">
        <f t="shared" si="867"/>
        <v>27540.9</v>
      </c>
      <c r="P306" s="576">
        <f>F306+150</f>
        <v>27510.9</v>
      </c>
      <c r="Q306" s="258">
        <f t="shared" si="868"/>
        <v>27510.9</v>
      </c>
      <c r="R306" s="576">
        <f>F306+120</f>
        <v>27480.9</v>
      </c>
      <c r="S306" s="258">
        <f t="shared" si="869"/>
        <v>27480.9</v>
      </c>
      <c r="T306" s="576">
        <f>F306+100</f>
        <v>27460.9</v>
      </c>
      <c r="U306" s="258">
        <f t="shared" si="870"/>
        <v>27460.9</v>
      </c>
      <c r="V306" s="576">
        <f>F306+80</f>
        <v>27440.9</v>
      </c>
      <c r="W306" s="258">
        <f t="shared" si="871"/>
        <v>27440.9</v>
      </c>
      <c r="X306" s="697"/>
      <c r="Y306" s="680"/>
      <c r="Z306" s="680"/>
      <c r="AA306" s="681"/>
      <c r="AB306" s="178">
        <v>1041</v>
      </c>
      <c r="AC306" s="61"/>
    </row>
    <row r="307" spans="1:34" ht="12.6" customHeight="1" x14ac:dyDescent="0.2">
      <c r="A307" s="17"/>
      <c r="B307" s="654" t="s">
        <v>706</v>
      </c>
      <c r="C307" s="655"/>
      <c r="D307" s="655"/>
      <c r="E307" s="655"/>
      <c r="F307" s="333">
        <f>12.7*X2</f>
        <v>16382.999999999998</v>
      </c>
      <c r="G307" s="257">
        <f t="shared" ref="G307" si="872">+F307*$X$1</f>
        <v>16382.999999999998</v>
      </c>
      <c r="H307" s="68">
        <f>F307+650</f>
        <v>17033</v>
      </c>
      <c r="I307" s="257">
        <f t="shared" si="863"/>
        <v>17033</v>
      </c>
      <c r="J307" s="559">
        <f>F307+280</f>
        <v>16663</v>
      </c>
      <c r="K307" s="257">
        <f t="shared" si="864"/>
        <v>16663</v>
      </c>
      <c r="L307" s="559">
        <f>F307+230</f>
        <v>16613</v>
      </c>
      <c r="M307" s="257">
        <f t="shared" ref="M307:M315" si="873">+L307*$X$1</f>
        <v>16613</v>
      </c>
      <c r="N307" s="559">
        <f>F307+190</f>
        <v>16573</v>
      </c>
      <c r="O307" s="257">
        <f t="shared" ref="O307:O315" si="874">+N307*$X$1</f>
        <v>16573</v>
      </c>
      <c r="P307" s="559">
        <f>F307+160</f>
        <v>16543</v>
      </c>
      <c r="Q307" s="257">
        <f t="shared" ref="Q307:Q315" si="875">+P307*$X$1</f>
        <v>16543</v>
      </c>
      <c r="R307" s="559">
        <f>F307+130</f>
        <v>16513</v>
      </c>
      <c r="S307" s="257">
        <f t="shared" ref="S307:S315" si="876">+R307*$X$1</f>
        <v>16513</v>
      </c>
      <c r="T307" s="559">
        <f>F307+110</f>
        <v>16493</v>
      </c>
      <c r="U307" s="257">
        <f t="shared" ref="U307:U315" si="877">+T307*$X$1</f>
        <v>16493</v>
      </c>
      <c r="V307" s="559">
        <f>F307+90</f>
        <v>16473</v>
      </c>
      <c r="W307" s="257">
        <f t="shared" ref="W307:W315" si="878">+V307*$X$1</f>
        <v>16473</v>
      </c>
      <c r="X307" s="697"/>
      <c r="Y307" s="680"/>
      <c r="Z307" s="680"/>
      <c r="AA307" s="681"/>
      <c r="AB307" s="178">
        <v>1042</v>
      </c>
    </row>
    <row r="308" spans="1:34" ht="12.6" customHeight="1" x14ac:dyDescent="0.2">
      <c r="A308" s="17"/>
      <c r="B308" s="645" t="s">
        <v>476</v>
      </c>
      <c r="C308" s="646"/>
      <c r="D308" s="646"/>
      <c r="E308" s="646"/>
      <c r="F308" s="293">
        <v>17690</v>
      </c>
      <c r="G308" s="258">
        <f t="shared" ref="G308:G314" si="879">+F308*$X$1</f>
        <v>17690</v>
      </c>
      <c r="H308" s="82">
        <f t="shared" ref="H308:H315" si="880">F308+600</f>
        <v>18290</v>
      </c>
      <c r="I308" s="258">
        <f t="shared" si="863"/>
        <v>18290</v>
      </c>
      <c r="J308" s="576">
        <f t="shared" ref="J308:J315" si="881">F308+260</f>
        <v>17950</v>
      </c>
      <c r="K308" s="258">
        <f t="shared" si="864"/>
        <v>17950</v>
      </c>
      <c r="L308" s="576">
        <f t="shared" ref="L308:L315" si="882">F308+220</f>
        <v>17910</v>
      </c>
      <c r="M308" s="258">
        <f t="shared" si="873"/>
        <v>17910</v>
      </c>
      <c r="N308" s="576">
        <f t="shared" ref="N308:N315" si="883">F308+180</f>
        <v>17870</v>
      </c>
      <c r="O308" s="258">
        <f t="shared" si="874"/>
        <v>17870</v>
      </c>
      <c r="P308" s="576">
        <f t="shared" ref="P308:P315" si="884">F308+150</f>
        <v>17840</v>
      </c>
      <c r="Q308" s="258">
        <f t="shared" si="875"/>
        <v>17840</v>
      </c>
      <c r="R308" s="576">
        <f t="shared" ref="R308:R315" si="885">F308+120</f>
        <v>17810</v>
      </c>
      <c r="S308" s="258">
        <f t="shared" si="876"/>
        <v>17810</v>
      </c>
      <c r="T308" s="576">
        <f t="shared" ref="T308:T315" si="886">F308+100</f>
        <v>17790</v>
      </c>
      <c r="U308" s="258">
        <f t="shared" si="877"/>
        <v>17790</v>
      </c>
      <c r="V308" s="576">
        <f t="shared" ref="V308:V315" si="887">F308+80</f>
        <v>17770</v>
      </c>
      <c r="W308" s="258">
        <f t="shared" si="878"/>
        <v>17770</v>
      </c>
      <c r="X308" s="697"/>
      <c r="Y308" s="680"/>
      <c r="Z308" s="680"/>
      <c r="AA308" s="681"/>
      <c r="AB308" s="178">
        <v>1043</v>
      </c>
      <c r="AC308" s="61"/>
    </row>
    <row r="309" spans="1:34" ht="12.6" customHeight="1" x14ac:dyDescent="0.2">
      <c r="A309" s="17"/>
      <c r="B309" s="654" t="s">
        <v>919</v>
      </c>
      <c r="C309" s="655"/>
      <c r="D309" s="655"/>
      <c r="E309" s="655"/>
      <c r="F309" s="294">
        <v>20690</v>
      </c>
      <c r="G309" s="257">
        <f t="shared" si="879"/>
        <v>20690</v>
      </c>
      <c r="H309" s="68">
        <f t="shared" si="880"/>
        <v>21290</v>
      </c>
      <c r="I309" s="257">
        <f t="shared" si="863"/>
        <v>21290</v>
      </c>
      <c r="J309" s="559">
        <f t="shared" si="881"/>
        <v>20950</v>
      </c>
      <c r="K309" s="257">
        <f t="shared" si="864"/>
        <v>20950</v>
      </c>
      <c r="L309" s="559">
        <f t="shared" si="882"/>
        <v>20910</v>
      </c>
      <c r="M309" s="257">
        <f t="shared" si="873"/>
        <v>20910</v>
      </c>
      <c r="N309" s="559">
        <f t="shared" si="883"/>
        <v>20870</v>
      </c>
      <c r="O309" s="257">
        <f t="shared" si="874"/>
        <v>20870</v>
      </c>
      <c r="P309" s="559">
        <f t="shared" si="884"/>
        <v>20840</v>
      </c>
      <c r="Q309" s="257">
        <f t="shared" si="875"/>
        <v>20840</v>
      </c>
      <c r="R309" s="559">
        <f t="shared" si="885"/>
        <v>20810</v>
      </c>
      <c r="S309" s="257">
        <f t="shared" si="876"/>
        <v>20810</v>
      </c>
      <c r="T309" s="559">
        <f t="shared" si="886"/>
        <v>20790</v>
      </c>
      <c r="U309" s="257">
        <f t="shared" si="877"/>
        <v>20790</v>
      </c>
      <c r="V309" s="559">
        <f t="shared" si="887"/>
        <v>20770</v>
      </c>
      <c r="W309" s="257">
        <f t="shared" si="878"/>
        <v>20770</v>
      </c>
      <c r="X309" s="697"/>
      <c r="Y309" s="680"/>
      <c r="Z309" s="680"/>
      <c r="AA309" s="681"/>
      <c r="AB309" s="178">
        <v>1044</v>
      </c>
      <c r="AC309" s="61"/>
    </row>
    <row r="310" spans="1:34" ht="12.6" customHeight="1" x14ac:dyDescent="0.2">
      <c r="A310" s="17"/>
      <c r="B310" s="776" t="s">
        <v>739</v>
      </c>
      <c r="C310" s="788"/>
      <c r="D310" s="788"/>
      <c r="E310" s="788"/>
      <c r="F310" s="589">
        <v>19690</v>
      </c>
      <c r="G310" s="469">
        <f>+F310*$X$1</f>
        <v>19690</v>
      </c>
      <c r="H310" s="471">
        <f t="shared" si="880"/>
        <v>20290</v>
      </c>
      <c r="I310" s="469">
        <f t="shared" si="863"/>
        <v>20290</v>
      </c>
      <c r="J310" s="596">
        <f t="shared" si="881"/>
        <v>19950</v>
      </c>
      <c r="K310" s="469">
        <f t="shared" si="864"/>
        <v>19950</v>
      </c>
      <c r="L310" s="596">
        <f t="shared" si="882"/>
        <v>19910</v>
      </c>
      <c r="M310" s="469">
        <f t="shared" si="873"/>
        <v>19910</v>
      </c>
      <c r="N310" s="596">
        <f t="shared" si="883"/>
        <v>19870</v>
      </c>
      <c r="O310" s="469">
        <f t="shared" si="874"/>
        <v>19870</v>
      </c>
      <c r="P310" s="596">
        <f t="shared" si="884"/>
        <v>19840</v>
      </c>
      <c r="Q310" s="469">
        <f t="shared" si="875"/>
        <v>19840</v>
      </c>
      <c r="R310" s="596">
        <f t="shared" si="885"/>
        <v>19810</v>
      </c>
      <c r="S310" s="469">
        <f t="shared" si="876"/>
        <v>19810</v>
      </c>
      <c r="T310" s="596">
        <f t="shared" si="886"/>
        <v>19790</v>
      </c>
      <c r="U310" s="469">
        <f t="shared" si="877"/>
        <v>19790</v>
      </c>
      <c r="V310" s="596">
        <f t="shared" si="887"/>
        <v>19770</v>
      </c>
      <c r="W310" s="469">
        <f t="shared" si="878"/>
        <v>19770</v>
      </c>
      <c r="X310" s="680"/>
      <c r="Y310" s="680"/>
      <c r="Z310" s="680"/>
      <c r="AA310" s="681"/>
      <c r="AB310" s="178">
        <v>1045</v>
      </c>
      <c r="AC310" s="61"/>
    </row>
    <row r="311" spans="1:34" ht="12.6" customHeight="1" x14ac:dyDescent="0.2">
      <c r="A311" s="17"/>
      <c r="B311" s="645" t="s">
        <v>508</v>
      </c>
      <c r="C311" s="646"/>
      <c r="D311" s="646"/>
      <c r="E311" s="646"/>
      <c r="F311" s="293">
        <v>11390</v>
      </c>
      <c r="G311" s="258">
        <f t="shared" si="879"/>
        <v>11390</v>
      </c>
      <c r="H311" s="82">
        <f t="shared" si="880"/>
        <v>11990</v>
      </c>
      <c r="I311" s="258">
        <f t="shared" si="863"/>
        <v>11990</v>
      </c>
      <c r="J311" s="576">
        <f t="shared" si="881"/>
        <v>11650</v>
      </c>
      <c r="K311" s="258">
        <f t="shared" si="864"/>
        <v>11650</v>
      </c>
      <c r="L311" s="576">
        <f t="shared" si="882"/>
        <v>11610</v>
      </c>
      <c r="M311" s="258">
        <f t="shared" si="873"/>
        <v>11610</v>
      </c>
      <c r="N311" s="576">
        <f t="shared" si="883"/>
        <v>11570</v>
      </c>
      <c r="O311" s="258">
        <f t="shared" si="874"/>
        <v>11570</v>
      </c>
      <c r="P311" s="576">
        <f t="shared" si="884"/>
        <v>11540</v>
      </c>
      <c r="Q311" s="258">
        <f t="shared" si="875"/>
        <v>11540</v>
      </c>
      <c r="R311" s="576">
        <f t="shared" si="885"/>
        <v>11510</v>
      </c>
      <c r="S311" s="258">
        <f t="shared" si="876"/>
        <v>11510</v>
      </c>
      <c r="T311" s="576">
        <f t="shared" si="886"/>
        <v>11490</v>
      </c>
      <c r="U311" s="258">
        <f t="shared" si="877"/>
        <v>11490</v>
      </c>
      <c r="V311" s="576">
        <f t="shared" si="887"/>
        <v>11470</v>
      </c>
      <c r="W311" s="258">
        <f t="shared" si="878"/>
        <v>11470</v>
      </c>
      <c r="X311" s="697"/>
      <c r="Y311" s="680"/>
      <c r="Z311" s="680"/>
      <c r="AA311" s="681"/>
      <c r="AB311" s="178">
        <v>1048</v>
      </c>
      <c r="AC311" s="61"/>
    </row>
    <row r="312" spans="1:34" ht="12.6" customHeight="1" x14ac:dyDescent="0.2">
      <c r="A312" s="17"/>
      <c r="B312" s="654" t="s">
        <v>507</v>
      </c>
      <c r="C312" s="655"/>
      <c r="D312" s="655"/>
      <c r="E312" s="655"/>
      <c r="F312" s="294">
        <v>8895</v>
      </c>
      <c r="G312" s="257">
        <f t="shared" si="879"/>
        <v>8895</v>
      </c>
      <c r="H312" s="68">
        <f t="shared" si="880"/>
        <v>9495</v>
      </c>
      <c r="I312" s="257">
        <f t="shared" si="863"/>
        <v>9495</v>
      </c>
      <c r="J312" s="559">
        <f t="shared" si="881"/>
        <v>9155</v>
      </c>
      <c r="K312" s="257">
        <f t="shared" si="864"/>
        <v>9155</v>
      </c>
      <c r="L312" s="559">
        <f t="shared" si="882"/>
        <v>9115</v>
      </c>
      <c r="M312" s="257">
        <f t="shared" si="873"/>
        <v>9115</v>
      </c>
      <c r="N312" s="559">
        <f t="shared" si="883"/>
        <v>9075</v>
      </c>
      <c r="O312" s="257">
        <f t="shared" si="874"/>
        <v>9075</v>
      </c>
      <c r="P312" s="559">
        <f t="shared" si="884"/>
        <v>9045</v>
      </c>
      <c r="Q312" s="257">
        <f t="shared" si="875"/>
        <v>9045</v>
      </c>
      <c r="R312" s="559">
        <f t="shared" si="885"/>
        <v>9015</v>
      </c>
      <c r="S312" s="257">
        <f t="shared" si="876"/>
        <v>9015</v>
      </c>
      <c r="T312" s="559">
        <f t="shared" si="886"/>
        <v>8995</v>
      </c>
      <c r="U312" s="257">
        <f t="shared" si="877"/>
        <v>8995</v>
      </c>
      <c r="V312" s="559">
        <f t="shared" si="887"/>
        <v>8975</v>
      </c>
      <c r="W312" s="257">
        <f t="shared" si="878"/>
        <v>8975</v>
      </c>
      <c r="X312" s="697"/>
      <c r="Y312" s="680"/>
      <c r="Z312" s="680"/>
      <c r="AA312" s="681"/>
      <c r="AB312" s="178">
        <v>1049</v>
      </c>
      <c r="AC312" s="61"/>
    </row>
    <row r="313" spans="1:34" ht="12.6" customHeight="1" x14ac:dyDescent="0.2">
      <c r="A313" s="17"/>
      <c r="B313" s="645" t="s">
        <v>509</v>
      </c>
      <c r="C313" s="646"/>
      <c r="D313" s="646"/>
      <c r="E313" s="646"/>
      <c r="F313" s="293">
        <v>10250</v>
      </c>
      <c r="G313" s="258">
        <f t="shared" si="879"/>
        <v>10250</v>
      </c>
      <c r="H313" s="82">
        <f t="shared" si="880"/>
        <v>10850</v>
      </c>
      <c r="I313" s="258">
        <f t="shared" si="863"/>
        <v>10850</v>
      </c>
      <c r="J313" s="576">
        <f t="shared" si="881"/>
        <v>10510</v>
      </c>
      <c r="K313" s="258">
        <f t="shared" si="864"/>
        <v>10510</v>
      </c>
      <c r="L313" s="576">
        <f t="shared" si="882"/>
        <v>10470</v>
      </c>
      <c r="M313" s="258">
        <f t="shared" si="873"/>
        <v>10470</v>
      </c>
      <c r="N313" s="576">
        <f t="shared" si="883"/>
        <v>10430</v>
      </c>
      <c r="O313" s="258">
        <f t="shared" si="874"/>
        <v>10430</v>
      </c>
      <c r="P313" s="576">
        <f t="shared" si="884"/>
        <v>10400</v>
      </c>
      <c r="Q313" s="258">
        <f t="shared" si="875"/>
        <v>10400</v>
      </c>
      <c r="R313" s="576">
        <f t="shared" si="885"/>
        <v>10370</v>
      </c>
      <c r="S313" s="258">
        <f t="shared" si="876"/>
        <v>10370</v>
      </c>
      <c r="T313" s="576">
        <f t="shared" si="886"/>
        <v>10350</v>
      </c>
      <c r="U313" s="258">
        <f t="shared" si="877"/>
        <v>10350</v>
      </c>
      <c r="V313" s="576">
        <f t="shared" si="887"/>
        <v>10330</v>
      </c>
      <c r="W313" s="258">
        <f t="shared" si="878"/>
        <v>10330</v>
      </c>
      <c r="X313" s="697"/>
      <c r="Y313" s="680"/>
      <c r="Z313" s="680"/>
      <c r="AA313" s="681"/>
      <c r="AB313" s="178">
        <v>1050</v>
      </c>
      <c r="AC313" s="61"/>
    </row>
    <row r="314" spans="1:34" ht="12.6" customHeight="1" x14ac:dyDescent="0.2">
      <c r="A314" s="17"/>
      <c r="B314" s="984" t="s">
        <v>922</v>
      </c>
      <c r="C314" s="985"/>
      <c r="D314" s="985"/>
      <c r="E314" s="985"/>
      <c r="F314" s="337">
        <f>13.1*X2</f>
        <v>16899</v>
      </c>
      <c r="G314" s="274">
        <f t="shared" si="879"/>
        <v>16899</v>
      </c>
      <c r="H314" s="559">
        <f>F314+800</f>
        <v>17699</v>
      </c>
      <c r="I314" s="257">
        <f>+H314*$X$1</f>
        <v>17699</v>
      </c>
      <c r="J314" s="559">
        <f>F314+600</f>
        <v>17499</v>
      </c>
      <c r="K314" s="257">
        <f>+J314*$X$1</f>
        <v>17499</v>
      </c>
      <c r="L314" s="559">
        <f>F314+500</f>
        <v>17399</v>
      </c>
      <c r="M314" s="257">
        <f t="shared" si="873"/>
        <v>17399</v>
      </c>
      <c r="N314" s="559">
        <f>F314+450</f>
        <v>17349</v>
      </c>
      <c r="O314" s="257">
        <f t="shared" si="874"/>
        <v>17349</v>
      </c>
      <c r="P314" s="559">
        <f>F314+360</f>
        <v>17259</v>
      </c>
      <c r="Q314" s="257">
        <f t="shared" si="875"/>
        <v>17259</v>
      </c>
      <c r="R314" s="559">
        <f>F314+330</f>
        <v>17229</v>
      </c>
      <c r="S314" s="257">
        <f t="shared" si="876"/>
        <v>17229</v>
      </c>
      <c r="T314" s="93">
        <f>F314+300</f>
        <v>17199</v>
      </c>
      <c r="U314" s="235">
        <f t="shared" si="877"/>
        <v>17199</v>
      </c>
      <c r="V314" s="93">
        <f>F314+260</f>
        <v>17159</v>
      </c>
      <c r="W314" s="235">
        <f t="shared" si="878"/>
        <v>17159</v>
      </c>
      <c r="X314" s="135"/>
      <c r="Y314" s="135"/>
      <c r="Z314" s="135"/>
      <c r="AA314" s="135"/>
      <c r="AB314" s="178">
        <v>1051</v>
      </c>
    </row>
    <row r="315" spans="1:34" ht="12.6" customHeight="1" x14ac:dyDescent="0.2">
      <c r="A315" s="17"/>
      <c r="B315" s="664" t="s">
        <v>740</v>
      </c>
      <c r="C315" s="733"/>
      <c r="D315" s="733"/>
      <c r="E315" s="734"/>
      <c r="F315" s="473">
        <f>11.1*X2</f>
        <v>14319</v>
      </c>
      <c r="G315" s="469">
        <f t="shared" ref="G315" si="888">+F315*$X$1</f>
        <v>14319</v>
      </c>
      <c r="H315" s="471">
        <f t="shared" si="880"/>
        <v>14919</v>
      </c>
      <c r="I315" s="469">
        <f t="shared" si="863"/>
        <v>14919</v>
      </c>
      <c r="J315" s="554">
        <f t="shared" si="881"/>
        <v>14579</v>
      </c>
      <c r="K315" s="469">
        <f t="shared" si="864"/>
        <v>14579</v>
      </c>
      <c r="L315" s="554">
        <f t="shared" si="882"/>
        <v>14539</v>
      </c>
      <c r="M315" s="469">
        <f t="shared" si="873"/>
        <v>14539</v>
      </c>
      <c r="N315" s="554">
        <f t="shared" si="883"/>
        <v>14499</v>
      </c>
      <c r="O315" s="469">
        <f t="shared" si="874"/>
        <v>14499</v>
      </c>
      <c r="P315" s="554">
        <f t="shared" si="884"/>
        <v>14469</v>
      </c>
      <c r="Q315" s="469">
        <f t="shared" si="875"/>
        <v>14469</v>
      </c>
      <c r="R315" s="554">
        <f t="shared" si="885"/>
        <v>14439</v>
      </c>
      <c r="S315" s="469">
        <f t="shared" si="876"/>
        <v>14439</v>
      </c>
      <c r="T315" s="554">
        <f t="shared" si="886"/>
        <v>14419</v>
      </c>
      <c r="U315" s="469">
        <f t="shared" si="877"/>
        <v>14419</v>
      </c>
      <c r="V315" s="554">
        <f t="shared" si="887"/>
        <v>14399</v>
      </c>
      <c r="W315" s="469">
        <f t="shared" si="878"/>
        <v>14399</v>
      </c>
      <c r="X315" s="697"/>
      <c r="Y315" s="680"/>
      <c r="Z315" s="680"/>
      <c r="AA315" s="681"/>
      <c r="AB315" s="178">
        <v>1052</v>
      </c>
      <c r="AC315" s="61"/>
    </row>
    <row r="316" spans="1:34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7"/>
      <c r="B319" s="745" t="s">
        <v>11</v>
      </c>
      <c r="C319" s="702" t="s">
        <v>12</v>
      </c>
      <c r="D319" s="703"/>
      <c r="E319" s="703"/>
      <c r="F319" s="729" t="s">
        <v>13</v>
      </c>
      <c r="G319" s="729" t="s">
        <v>13</v>
      </c>
      <c r="H319" s="700" t="s">
        <v>742</v>
      </c>
      <c r="I319" s="700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647" t="s">
        <v>14</v>
      </c>
      <c r="Y319" s="648"/>
      <c r="Z319" s="648"/>
      <c r="AA319" s="649"/>
      <c r="AB319" s="692" t="s">
        <v>15</v>
      </c>
      <c r="AF319" s="694" t="s">
        <v>3</v>
      </c>
      <c r="AG319" s="695"/>
      <c r="AH319" s="695"/>
    </row>
    <row r="320" spans="1:34" ht="11.25" customHeight="1" x14ac:dyDescent="0.2">
      <c r="A320" s="17"/>
      <c r="B320" s="745"/>
      <c r="C320" s="703"/>
      <c r="D320" s="703"/>
      <c r="E320" s="703"/>
      <c r="F320" s="730"/>
      <c r="G320" s="730"/>
      <c r="H320" s="421"/>
      <c r="I320" s="413" t="s">
        <v>267</v>
      </c>
      <c r="J320" s="415"/>
      <c r="K320" s="413" t="s">
        <v>17</v>
      </c>
      <c r="L320" s="416"/>
      <c r="M320" s="416" t="s">
        <v>18</v>
      </c>
      <c r="N320" s="416"/>
      <c r="O320" s="413" t="s">
        <v>19</v>
      </c>
      <c r="P320" s="416"/>
      <c r="Q320" s="416" t="s">
        <v>268</v>
      </c>
      <c r="R320" s="416"/>
      <c r="S320" s="416" t="s">
        <v>20</v>
      </c>
      <c r="T320" s="416"/>
      <c r="U320" s="416" t="s">
        <v>21</v>
      </c>
      <c r="V320" s="416"/>
      <c r="W320" s="416" t="s">
        <v>22</v>
      </c>
      <c r="X320" s="650"/>
      <c r="Y320" s="651"/>
      <c r="Z320" s="651"/>
      <c r="AA320" s="652"/>
      <c r="AB320" s="693"/>
    </row>
    <row r="321" spans="1:29" ht="12.6" customHeight="1" x14ac:dyDescent="0.2">
      <c r="A321" s="17"/>
      <c r="B321" s="656" t="s">
        <v>419</v>
      </c>
      <c r="C321" s="657"/>
      <c r="D321" s="657"/>
      <c r="E321" s="658"/>
      <c r="F321" s="334">
        <f>24.4*X2</f>
        <v>31475.999999999996</v>
      </c>
      <c r="G321" s="258">
        <f>+F321*$X$1</f>
        <v>31475.999999999996</v>
      </c>
      <c r="H321" s="82">
        <f>F321+600</f>
        <v>32075.999999999996</v>
      </c>
      <c r="I321" s="258">
        <f>+H321*$X$1</f>
        <v>32075.999999999996</v>
      </c>
      <c r="J321" s="576">
        <f>F321+260</f>
        <v>31735.999999999996</v>
      </c>
      <c r="K321" s="258">
        <f>+J321*$X$1</f>
        <v>31735.999999999996</v>
      </c>
      <c r="L321" s="576">
        <f>F321+220</f>
        <v>31695.999999999996</v>
      </c>
      <c r="M321" s="258">
        <f>+L321*$X$1</f>
        <v>31695.999999999996</v>
      </c>
      <c r="N321" s="576">
        <f>F321+180</f>
        <v>31655.999999999996</v>
      </c>
      <c r="O321" s="258">
        <f>+N321*$X$1</f>
        <v>31655.999999999996</v>
      </c>
      <c r="P321" s="576">
        <f>F321+150</f>
        <v>31625.999999999996</v>
      </c>
      <c r="Q321" s="258">
        <f>+P321*$X$1</f>
        <v>31625.999999999996</v>
      </c>
      <c r="R321" s="576">
        <f>F321+120</f>
        <v>31595.999999999996</v>
      </c>
      <c r="S321" s="258">
        <f>+R321*$X$1</f>
        <v>31595.999999999996</v>
      </c>
      <c r="T321" s="576">
        <f>F321+100</f>
        <v>31575.999999999996</v>
      </c>
      <c r="U321" s="258">
        <f>+T321*$X$1</f>
        <v>31575.999999999996</v>
      </c>
      <c r="V321" s="576">
        <f>F321+80</f>
        <v>31555.999999999996</v>
      </c>
      <c r="W321" s="258">
        <f>+V321*$X$1</f>
        <v>31555.999999999996</v>
      </c>
      <c r="X321" s="697"/>
      <c r="Y321" s="680"/>
      <c r="Z321" s="680"/>
      <c r="AA321" s="681"/>
      <c r="AB321" s="178">
        <v>1053</v>
      </c>
      <c r="AC321" s="61"/>
    </row>
    <row r="322" spans="1:29" ht="12.6" customHeight="1" x14ac:dyDescent="0.2">
      <c r="A322" s="17"/>
      <c r="B322" s="664" t="s">
        <v>791</v>
      </c>
      <c r="C322" s="733"/>
      <c r="D322" s="733"/>
      <c r="E322" s="734"/>
      <c r="F322" s="473">
        <f>9*X2</f>
        <v>11610</v>
      </c>
      <c r="G322" s="469">
        <f t="shared" ref="G322" si="889">+F322*$X$1</f>
        <v>11610</v>
      </c>
      <c r="H322" s="471">
        <f>F322+600</f>
        <v>12210</v>
      </c>
      <c r="I322" s="469">
        <f>+H322*$X$1</f>
        <v>12210</v>
      </c>
      <c r="J322" s="554">
        <f>F322+260</f>
        <v>11870</v>
      </c>
      <c r="K322" s="469">
        <f>+J322*$X$1</f>
        <v>11870</v>
      </c>
      <c r="L322" s="554">
        <f>F322+220</f>
        <v>11830</v>
      </c>
      <c r="M322" s="469">
        <f>+L322*$X$1</f>
        <v>11830</v>
      </c>
      <c r="N322" s="554">
        <f>F322+180</f>
        <v>11790</v>
      </c>
      <c r="O322" s="469">
        <f>+N322*$X$1</f>
        <v>11790</v>
      </c>
      <c r="P322" s="554">
        <f>F322+150</f>
        <v>11760</v>
      </c>
      <c r="Q322" s="469">
        <f>+P322*$X$1</f>
        <v>11760</v>
      </c>
      <c r="R322" s="554">
        <f>F322+120</f>
        <v>11730</v>
      </c>
      <c r="S322" s="469">
        <f>+R322*$X$1</f>
        <v>11730</v>
      </c>
      <c r="T322" s="554">
        <f>F322+100</f>
        <v>11710</v>
      </c>
      <c r="U322" s="469">
        <f>+T322*$X$1</f>
        <v>11710</v>
      </c>
      <c r="V322" s="554">
        <f>F322+80</f>
        <v>11690</v>
      </c>
      <c r="W322" s="469">
        <f>+V322*$X$1</f>
        <v>11690</v>
      </c>
      <c r="X322" s="697"/>
      <c r="Y322" s="680"/>
      <c r="Z322" s="680"/>
      <c r="AA322" s="681"/>
      <c r="AB322" s="178">
        <v>1054</v>
      </c>
      <c r="AC322" s="61"/>
    </row>
    <row r="323" spans="1:29" ht="12.6" customHeight="1" x14ac:dyDescent="0.2">
      <c r="A323" s="17"/>
      <c r="B323" s="656" t="s">
        <v>852</v>
      </c>
      <c r="C323" s="657"/>
      <c r="D323" s="657"/>
      <c r="E323" s="658"/>
      <c r="F323" s="334">
        <f>20.9*X2</f>
        <v>26960.999999999996</v>
      </c>
      <c r="G323" s="258">
        <f t="shared" ref="G323" si="890">+F323*$X$1</f>
        <v>26960.999999999996</v>
      </c>
      <c r="H323" s="82">
        <f>F323+600</f>
        <v>27560.999999999996</v>
      </c>
      <c r="I323" s="258">
        <f>+H323*$X$1</f>
        <v>27560.999999999996</v>
      </c>
      <c r="J323" s="576">
        <f>F323+260</f>
        <v>27220.999999999996</v>
      </c>
      <c r="K323" s="258">
        <f>+J323*$X$1</f>
        <v>27220.999999999996</v>
      </c>
      <c r="L323" s="576">
        <f>F323+220</f>
        <v>27180.999999999996</v>
      </c>
      <c r="M323" s="258">
        <f>+L323*$X$1</f>
        <v>27180.999999999996</v>
      </c>
      <c r="N323" s="576">
        <f>F323+180</f>
        <v>27140.999999999996</v>
      </c>
      <c r="O323" s="258">
        <f>+N323*$X$1</f>
        <v>27140.999999999996</v>
      </c>
      <c r="P323" s="576">
        <f>F323+150</f>
        <v>27110.999999999996</v>
      </c>
      <c r="Q323" s="258">
        <f>+P323*$X$1</f>
        <v>27110.999999999996</v>
      </c>
      <c r="R323" s="576">
        <f>F323+120</f>
        <v>27080.999999999996</v>
      </c>
      <c r="S323" s="258">
        <f>+R323*$X$1</f>
        <v>27080.999999999996</v>
      </c>
      <c r="T323" s="576">
        <f>F323+100</f>
        <v>27060.999999999996</v>
      </c>
      <c r="U323" s="258">
        <f>+T323*$X$1</f>
        <v>27060.999999999996</v>
      </c>
      <c r="V323" s="576">
        <f>F323+80</f>
        <v>27040.999999999996</v>
      </c>
      <c r="W323" s="258">
        <f>+V323*$X$1</f>
        <v>27040.999999999996</v>
      </c>
      <c r="X323" s="697"/>
      <c r="Y323" s="680"/>
      <c r="Z323" s="680"/>
      <c r="AA323" s="681"/>
      <c r="AB323" s="178">
        <v>1056</v>
      </c>
      <c r="AC323" s="61"/>
    </row>
    <row r="324" spans="1:29" ht="12.6" customHeight="1" x14ac:dyDescent="0.2">
      <c r="A324" s="17"/>
      <c r="B324" s="654" t="s">
        <v>554</v>
      </c>
      <c r="C324" s="655"/>
      <c r="D324" s="655"/>
      <c r="E324" s="655"/>
      <c r="F324" s="294">
        <v>17490</v>
      </c>
      <c r="G324" s="257">
        <f>+F324*$X$1</f>
        <v>17490</v>
      </c>
      <c r="H324" s="68">
        <f>F324+600</f>
        <v>18090</v>
      </c>
      <c r="I324" s="257">
        <f>+H324*$X$1</f>
        <v>18090</v>
      </c>
      <c r="J324" s="559">
        <f>F324+260</f>
        <v>17750</v>
      </c>
      <c r="K324" s="257">
        <f>+J324*$X$1</f>
        <v>17750</v>
      </c>
      <c r="L324" s="559">
        <f>F324+220</f>
        <v>17710</v>
      </c>
      <c r="M324" s="257">
        <f t="shared" ref="M324" si="891">+L324*$X$1</f>
        <v>17710</v>
      </c>
      <c r="N324" s="559">
        <f>F324+180</f>
        <v>17670</v>
      </c>
      <c r="O324" s="257">
        <f t="shared" ref="O324" si="892">+N324*$X$1</f>
        <v>17670</v>
      </c>
      <c r="P324" s="559">
        <f>F324+150</f>
        <v>17640</v>
      </c>
      <c r="Q324" s="257">
        <f t="shared" ref="Q324" si="893">+P324*$X$1</f>
        <v>17640</v>
      </c>
      <c r="R324" s="559">
        <f>F324+120</f>
        <v>17610</v>
      </c>
      <c r="S324" s="257">
        <f t="shared" ref="S324" si="894">+R324*$X$1</f>
        <v>17610</v>
      </c>
      <c r="T324" s="559">
        <f>F324+100</f>
        <v>17590</v>
      </c>
      <c r="U324" s="257">
        <f t="shared" ref="U324" si="895">+T324*$X$1</f>
        <v>17590</v>
      </c>
      <c r="V324" s="559">
        <f>F324+80</f>
        <v>17570</v>
      </c>
      <c r="W324" s="257">
        <f t="shared" ref="W324" si="896">+V324*$X$1</f>
        <v>17570</v>
      </c>
      <c r="X324" s="697"/>
      <c r="Y324" s="680"/>
      <c r="Z324" s="680"/>
      <c r="AA324" s="681"/>
      <c r="AB324" s="178">
        <v>1057</v>
      </c>
    </row>
    <row r="325" spans="1:29" ht="12.6" customHeight="1" x14ac:dyDescent="0.2">
      <c r="A325" s="17"/>
      <c r="B325" s="696" t="s">
        <v>910</v>
      </c>
      <c r="C325" s="786"/>
      <c r="D325" s="786"/>
      <c r="E325" s="787"/>
      <c r="F325" s="334">
        <f>10.7*X2</f>
        <v>13802.999999999998</v>
      </c>
      <c r="G325" s="258">
        <f t="shared" ref="G325:G326" si="897">+F325*$X$1</f>
        <v>13802.999999999998</v>
      </c>
      <c r="H325" s="82">
        <f t="shared" ref="H325:H326" si="898">F325+600</f>
        <v>14402.999999999998</v>
      </c>
      <c r="I325" s="258">
        <f t="shared" ref="I325:I326" si="899">+H325*$X$1</f>
        <v>14402.999999999998</v>
      </c>
      <c r="J325" s="576">
        <f t="shared" ref="J325:J326" si="900">F325+260</f>
        <v>14062.999999999998</v>
      </c>
      <c r="K325" s="258">
        <f t="shared" ref="K325:K326" si="901">+J325*$X$1</f>
        <v>14062.999999999998</v>
      </c>
      <c r="L325" s="576">
        <f t="shared" ref="L325:L326" si="902">F325+220</f>
        <v>14022.999999999998</v>
      </c>
      <c r="M325" s="258">
        <f>+L325*$X$1</f>
        <v>14022.999999999998</v>
      </c>
      <c r="N325" s="576">
        <f t="shared" ref="N325:N326" si="903">F325+180</f>
        <v>13982.999999999998</v>
      </c>
      <c r="O325" s="258">
        <f>+N325*$X$1</f>
        <v>13982.999999999998</v>
      </c>
      <c r="P325" s="576">
        <f t="shared" ref="P325:P326" si="904">F325+150</f>
        <v>13952.999999999998</v>
      </c>
      <c r="Q325" s="258">
        <f>+P325*$X$1</f>
        <v>13952.999999999998</v>
      </c>
      <c r="R325" s="576">
        <f t="shared" ref="R325:R326" si="905">F325+120</f>
        <v>13922.999999999998</v>
      </c>
      <c r="S325" s="258">
        <f>+R325*$X$1</f>
        <v>13922.999999999998</v>
      </c>
      <c r="T325" s="576">
        <f t="shared" ref="T325:T326" si="906">F325+100</f>
        <v>13902.999999999998</v>
      </c>
      <c r="U325" s="258">
        <f>+T325*$X$1</f>
        <v>13902.999999999998</v>
      </c>
      <c r="V325" s="576">
        <f t="shared" ref="V325:V326" si="907">F325+80</f>
        <v>13882.999999999998</v>
      </c>
      <c r="W325" s="258">
        <f>+V325*$X$1</f>
        <v>13882.999999999998</v>
      </c>
      <c r="X325" s="697"/>
      <c r="Y325" s="680"/>
      <c r="Z325" s="680"/>
      <c r="AA325" s="681"/>
      <c r="AB325" s="178">
        <v>1059</v>
      </c>
      <c r="AC325" s="61"/>
    </row>
    <row r="326" spans="1:29" ht="12.6" customHeight="1" x14ac:dyDescent="0.2">
      <c r="A326" s="17"/>
      <c r="B326" s="696" t="s">
        <v>997</v>
      </c>
      <c r="C326" s="786"/>
      <c r="D326" s="786"/>
      <c r="E326" s="787"/>
      <c r="F326" s="333">
        <f>23.15*X2</f>
        <v>29863.499999999996</v>
      </c>
      <c r="G326" s="257">
        <f t="shared" si="897"/>
        <v>29863.499999999996</v>
      </c>
      <c r="H326" s="68">
        <f t="shared" si="898"/>
        <v>30463.499999999996</v>
      </c>
      <c r="I326" s="257">
        <f t="shared" si="899"/>
        <v>30463.499999999996</v>
      </c>
      <c r="J326" s="559">
        <f t="shared" si="900"/>
        <v>30123.499999999996</v>
      </c>
      <c r="K326" s="257">
        <f t="shared" si="901"/>
        <v>30123.499999999996</v>
      </c>
      <c r="L326" s="559">
        <f t="shared" si="902"/>
        <v>30083.499999999996</v>
      </c>
      <c r="M326" s="257">
        <f t="shared" ref="M326" si="908">+L326*$X$1</f>
        <v>30083.499999999996</v>
      </c>
      <c r="N326" s="559">
        <f t="shared" si="903"/>
        <v>30043.499999999996</v>
      </c>
      <c r="O326" s="257">
        <f t="shared" ref="O326" si="909">+N326*$X$1</f>
        <v>30043.499999999996</v>
      </c>
      <c r="P326" s="559">
        <f t="shared" si="904"/>
        <v>30013.499999999996</v>
      </c>
      <c r="Q326" s="257">
        <f t="shared" ref="Q326" si="910">+P326*$X$1</f>
        <v>30013.499999999996</v>
      </c>
      <c r="R326" s="559">
        <f t="shared" si="905"/>
        <v>29983.499999999996</v>
      </c>
      <c r="S326" s="257">
        <f t="shared" ref="S326" si="911">+R326*$X$1</f>
        <v>29983.499999999996</v>
      </c>
      <c r="T326" s="559">
        <f t="shared" si="906"/>
        <v>29963.499999999996</v>
      </c>
      <c r="U326" s="257">
        <f t="shared" ref="U326" si="912">+T326*$X$1</f>
        <v>29963.499999999996</v>
      </c>
      <c r="V326" s="559">
        <f t="shared" si="907"/>
        <v>29943.499999999996</v>
      </c>
      <c r="W326" s="257">
        <f t="shared" ref="W326" si="913">+V326*$X$1</f>
        <v>29943.499999999996</v>
      </c>
      <c r="X326" s="697"/>
      <c r="Y326" s="680"/>
      <c r="Z326" s="680"/>
      <c r="AA326" s="681"/>
      <c r="AB326" s="178">
        <v>1062</v>
      </c>
      <c r="AC326" s="61"/>
    </row>
    <row r="327" spans="1:29" ht="12.6" customHeight="1" x14ac:dyDescent="0.2">
      <c r="A327" s="17"/>
      <c r="B327" s="645" t="s">
        <v>389</v>
      </c>
      <c r="C327" s="646"/>
      <c r="D327" s="646"/>
      <c r="E327" s="646"/>
      <c r="F327" s="336">
        <f>12.8*X2</f>
        <v>16512</v>
      </c>
      <c r="G327" s="283">
        <f t="shared" ref="G327:G328" si="914">+F327*$X$1</f>
        <v>16512</v>
      </c>
      <c r="H327" s="82">
        <f>F327+600</f>
        <v>17112</v>
      </c>
      <c r="I327" s="258">
        <f>+H327*$X$1</f>
        <v>17112</v>
      </c>
      <c r="J327" s="576"/>
      <c r="K327" s="258"/>
      <c r="L327" s="576"/>
      <c r="M327" s="258"/>
      <c r="N327" s="576"/>
      <c r="O327" s="258"/>
      <c r="P327" s="576"/>
      <c r="Q327" s="258"/>
      <c r="R327" s="576"/>
      <c r="S327" s="258"/>
      <c r="T327" s="576"/>
      <c r="U327" s="258"/>
      <c r="V327" s="576"/>
      <c r="W327" s="258"/>
      <c r="X327" s="697"/>
      <c r="Y327" s="680"/>
      <c r="Z327" s="680"/>
      <c r="AA327" s="681"/>
      <c r="AB327" s="178">
        <v>1064</v>
      </c>
      <c r="AC327" s="61"/>
    </row>
    <row r="328" spans="1:29" ht="12.6" customHeight="1" x14ac:dyDescent="0.2">
      <c r="A328" s="17"/>
      <c r="B328" s="696" t="s">
        <v>994</v>
      </c>
      <c r="C328" s="786"/>
      <c r="D328" s="786"/>
      <c r="E328" s="787"/>
      <c r="F328" s="333">
        <f>16.6*X2</f>
        <v>21414.000000000004</v>
      </c>
      <c r="G328" s="257">
        <f t="shared" si="914"/>
        <v>21414.000000000004</v>
      </c>
      <c r="H328" s="68">
        <f t="shared" ref="H328" si="915">F328+600</f>
        <v>22014.000000000004</v>
      </c>
      <c r="I328" s="257">
        <f t="shared" ref="I328" si="916">+H328*$X$1</f>
        <v>22014.000000000004</v>
      </c>
      <c r="J328" s="559">
        <f t="shared" ref="J328" si="917">F328+260</f>
        <v>21674.000000000004</v>
      </c>
      <c r="K328" s="257">
        <f t="shared" ref="K328" si="918">+J328*$X$1</f>
        <v>21674.000000000004</v>
      </c>
      <c r="L328" s="559">
        <f t="shared" ref="L328" si="919">F328+220</f>
        <v>21634.000000000004</v>
      </c>
      <c r="M328" s="257">
        <f t="shared" ref="M328" si="920">+L328*$X$1</f>
        <v>21634.000000000004</v>
      </c>
      <c r="N328" s="559">
        <f t="shared" ref="N328" si="921">F328+180</f>
        <v>21594.000000000004</v>
      </c>
      <c r="O328" s="257">
        <f t="shared" ref="O328" si="922">+N328*$X$1</f>
        <v>21594.000000000004</v>
      </c>
      <c r="P328" s="559">
        <f t="shared" ref="P328" si="923">F328+150</f>
        <v>21564.000000000004</v>
      </c>
      <c r="Q328" s="257">
        <f t="shared" ref="Q328" si="924">+P328*$X$1</f>
        <v>21564.000000000004</v>
      </c>
      <c r="R328" s="559">
        <f t="shared" ref="R328" si="925">F328+120</f>
        <v>21534.000000000004</v>
      </c>
      <c r="S328" s="257">
        <f t="shared" ref="S328" si="926">+R328*$X$1</f>
        <v>21534.000000000004</v>
      </c>
      <c r="T328" s="559">
        <f t="shared" ref="T328" si="927">F328+100</f>
        <v>21514.000000000004</v>
      </c>
      <c r="U328" s="257">
        <f t="shared" ref="U328" si="928">+T328*$X$1</f>
        <v>21514.000000000004</v>
      </c>
      <c r="V328" s="559">
        <f t="shared" ref="V328" si="929">F328+80</f>
        <v>21494.000000000004</v>
      </c>
      <c r="W328" s="257">
        <f t="shared" ref="W328" si="930">+V328*$X$1</f>
        <v>21494.000000000004</v>
      </c>
      <c r="X328" s="697"/>
      <c r="Y328" s="680"/>
      <c r="Z328" s="680"/>
      <c r="AA328" s="681"/>
      <c r="AB328" s="178">
        <v>1065</v>
      </c>
      <c r="AC328" s="61"/>
    </row>
    <row r="329" spans="1:29" ht="12.6" customHeight="1" x14ac:dyDescent="0.2">
      <c r="A329" s="17"/>
      <c r="B329" s="664" t="s">
        <v>853</v>
      </c>
      <c r="C329" s="665"/>
      <c r="D329" s="665"/>
      <c r="E329" s="666"/>
      <c r="F329" s="473">
        <f>4.8*X2</f>
        <v>6192</v>
      </c>
      <c r="G329" s="469">
        <f>+F329*$X$1</f>
        <v>6192</v>
      </c>
      <c r="H329" s="597">
        <f t="shared" ref="H329:H331" si="931">F329+600</f>
        <v>6792</v>
      </c>
      <c r="I329" s="469">
        <f t="shared" ref="I329:I331" si="932">+H329*$X$1</f>
        <v>6792</v>
      </c>
      <c r="J329" s="597">
        <f t="shared" ref="J329:J331" si="933">F329+260</f>
        <v>6452</v>
      </c>
      <c r="K329" s="469">
        <f t="shared" ref="K329:K331" si="934">+J329*$X$1</f>
        <v>6452</v>
      </c>
      <c r="L329" s="597">
        <f t="shared" ref="L329" si="935">F329+230</f>
        <v>6422</v>
      </c>
      <c r="M329" s="469">
        <f>+L329*$X$1</f>
        <v>6422</v>
      </c>
      <c r="N329" s="597">
        <f t="shared" ref="N329" si="936">F329+200</f>
        <v>6392</v>
      </c>
      <c r="O329" s="469">
        <f>+N329*$X$1</f>
        <v>6392</v>
      </c>
      <c r="P329" s="597">
        <f t="shared" ref="P329" si="937">F329+170</f>
        <v>6362</v>
      </c>
      <c r="Q329" s="469">
        <f>+P329*$X$1</f>
        <v>6362</v>
      </c>
      <c r="R329" s="597">
        <f t="shared" ref="R329" si="938">F329+150</f>
        <v>6342</v>
      </c>
      <c r="S329" s="469">
        <f>+R329*$X$1</f>
        <v>6342</v>
      </c>
      <c r="T329" s="549">
        <f t="shared" ref="T329" si="939">F329+130</f>
        <v>6322</v>
      </c>
      <c r="U329" s="548">
        <f>+T329*$X$1</f>
        <v>6322</v>
      </c>
      <c r="V329" s="549">
        <f t="shared" ref="V329" si="940">F329+110</f>
        <v>6302</v>
      </c>
      <c r="W329" s="469">
        <f>+V329*$X$1</f>
        <v>6302</v>
      </c>
      <c r="X329" s="489"/>
      <c r="Y329" s="495"/>
      <c r="Z329" s="495"/>
      <c r="AA329" s="490"/>
      <c r="AB329" s="178">
        <v>1066</v>
      </c>
    </row>
    <row r="330" spans="1:29" ht="12.6" customHeight="1" x14ac:dyDescent="0.2">
      <c r="A330" s="17"/>
      <c r="B330" s="696" t="s">
        <v>993</v>
      </c>
      <c r="C330" s="786"/>
      <c r="D330" s="786"/>
      <c r="E330" s="787"/>
      <c r="F330" s="333">
        <f>24.31*X2</f>
        <v>31359.899999999998</v>
      </c>
      <c r="G330" s="257">
        <f t="shared" ref="G330:G331" si="941">+F330*$X$1</f>
        <v>31359.899999999998</v>
      </c>
      <c r="H330" s="68">
        <f t="shared" si="931"/>
        <v>31959.899999999998</v>
      </c>
      <c r="I330" s="257">
        <f t="shared" si="932"/>
        <v>31959.899999999998</v>
      </c>
      <c r="J330" s="559">
        <f t="shared" si="933"/>
        <v>31619.899999999998</v>
      </c>
      <c r="K330" s="257">
        <f t="shared" si="934"/>
        <v>31619.899999999998</v>
      </c>
      <c r="L330" s="559">
        <f t="shared" ref="L330:L331" si="942">F330+220</f>
        <v>31579.899999999998</v>
      </c>
      <c r="M330" s="257">
        <f t="shared" ref="M330:M331" si="943">+L330*$X$1</f>
        <v>31579.899999999998</v>
      </c>
      <c r="N330" s="559">
        <f t="shared" ref="N330:N331" si="944">F330+180</f>
        <v>31539.899999999998</v>
      </c>
      <c r="O330" s="257">
        <f t="shared" ref="O330:O331" si="945">+N330*$X$1</f>
        <v>31539.899999999998</v>
      </c>
      <c r="P330" s="559">
        <f t="shared" ref="P330:P331" si="946">F330+150</f>
        <v>31509.899999999998</v>
      </c>
      <c r="Q330" s="257">
        <f t="shared" ref="Q330:Q331" si="947">+P330*$X$1</f>
        <v>31509.899999999998</v>
      </c>
      <c r="R330" s="559">
        <f t="shared" ref="R330:R331" si="948">F330+120</f>
        <v>31479.899999999998</v>
      </c>
      <c r="S330" s="257">
        <f t="shared" ref="S330:S331" si="949">+R330*$X$1</f>
        <v>31479.899999999998</v>
      </c>
      <c r="T330" s="559">
        <f t="shared" ref="T330:T331" si="950">F330+100</f>
        <v>31459.899999999998</v>
      </c>
      <c r="U330" s="257">
        <f t="shared" ref="U330:U331" si="951">+T330*$X$1</f>
        <v>31459.899999999998</v>
      </c>
      <c r="V330" s="559">
        <f t="shared" ref="V330:V331" si="952">F330+80</f>
        <v>31439.899999999998</v>
      </c>
      <c r="W330" s="257">
        <f t="shared" ref="W330:W331" si="953">+V330*$X$1</f>
        <v>31439.899999999998</v>
      </c>
      <c r="X330" s="697"/>
      <c r="Y330" s="680"/>
      <c r="Z330" s="680"/>
      <c r="AA330" s="681"/>
      <c r="AB330" s="178">
        <v>1070</v>
      </c>
      <c r="AC330" s="61"/>
    </row>
    <row r="331" spans="1:29" ht="12.6" customHeight="1" x14ac:dyDescent="0.2">
      <c r="A331" s="17"/>
      <c r="B331" s="696" t="s">
        <v>995</v>
      </c>
      <c r="C331" s="786"/>
      <c r="D331" s="786"/>
      <c r="E331" s="787"/>
      <c r="F331" s="334">
        <f>26.44*X2</f>
        <v>34107.599999999999</v>
      </c>
      <c r="G331" s="258">
        <f t="shared" si="941"/>
        <v>34107.599999999999</v>
      </c>
      <c r="H331" s="82">
        <f t="shared" si="931"/>
        <v>34707.599999999999</v>
      </c>
      <c r="I331" s="258">
        <f t="shared" si="932"/>
        <v>34707.599999999999</v>
      </c>
      <c r="J331" s="576">
        <f t="shared" si="933"/>
        <v>34367.599999999999</v>
      </c>
      <c r="K331" s="258">
        <f t="shared" si="934"/>
        <v>34367.599999999999</v>
      </c>
      <c r="L331" s="576">
        <f t="shared" si="942"/>
        <v>34327.599999999999</v>
      </c>
      <c r="M331" s="258">
        <f t="shared" si="943"/>
        <v>34327.599999999999</v>
      </c>
      <c r="N331" s="576">
        <f t="shared" si="944"/>
        <v>34287.599999999999</v>
      </c>
      <c r="O331" s="258">
        <f t="shared" si="945"/>
        <v>34287.599999999999</v>
      </c>
      <c r="P331" s="576">
        <f t="shared" si="946"/>
        <v>34257.599999999999</v>
      </c>
      <c r="Q331" s="258">
        <f t="shared" si="947"/>
        <v>34257.599999999999</v>
      </c>
      <c r="R331" s="576">
        <f t="shared" si="948"/>
        <v>34227.599999999999</v>
      </c>
      <c r="S331" s="258">
        <f t="shared" si="949"/>
        <v>34227.599999999999</v>
      </c>
      <c r="T331" s="576">
        <f t="shared" si="950"/>
        <v>34207.599999999999</v>
      </c>
      <c r="U331" s="258">
        <f t="shared" si="951"/>
        <v>34207.599999999999</v>
      </c>
      <c r="V331" s="576">
        <f t="shared" si="952"/>
        <v>34187.599999999999</v>
      </c>
      <c r="W331" s="258">
        <f t="shared" si="953"/>
        <v>34187.599999999999</v>
      </c>
      <c r="X331" s="697"/>
      <c r="Y331" s="680"/>
      <c r="Z331" s="680"/>
      <c r="AA331" s="681"/>
      <c r="AB331" s="178">
        <v>1073</v>
      </c>
      <c r="AC331" s="61"/>
    </row>
    <row r="332" spans="1:29" ht="12.6" customHeight="1" x14ac:dyDescent="0.2">
      <c r="A332" s="17"/>
      <c r="B332" s="659" t="s">
        <v>196</v>
      </c>
      <c r="C332" s="707"/>
      <c r="D332" s="707"/>
      <c r="E332" s="708"/>
      <c r="F332" s="333">
        <f>12.16*X2</f>
        <v>15686.4</v>
      </c>
      <c r="G332" s="257">
        <f>+F332*$X$1</f>
        <v>15686.4</v>
      </c>
      <c r="H332" s="559">
        <f t="shared" ref="H332" si="954">F332+600</f>
        <v>16286.4</v>
      </c>
      <c r="I332" s="257">
        <f t="shared" ref="I332" si="955">+H332*$X$1</f>
        <v>16286.4</v>
      </c>
      <c r="J332" s="559">
        <f t="shared" ref="J332:J333" si="956">F332+260</f>
        <v>15946.4</v>
      </c>
      <c r="K332" s="257">
        <f t="shared" ref="K332:K333" si="957">+J332*$X$1</f>
        <v>15946.4</v>
      </c>
      <c r="L332" s="559">
        <f t="shared" ref="L332" si="958">F332+230</f>
        <v>15916.4</v>
      </c>
      <c r="M332" s="257">
        <f>+L332*$X$1</f>
        <v>15916.4</v>
      </c>
      <c r="N332" s="559">
        <f t="shared" ref="N332" si="959">F332+200</f>
        <v>15886.4</v>
      </c>
      <c r="O332" s="257">
        <f>+N332*$X$1</f>
        <v>15886.4</v>
      </c>
      <c r="P332" s="559">
        <f t="shared" ref="P332" si="960">F332+170</f>
        <v>15856.4</v>
      </c>
      <c r="Q332" s="257">
        <f>+P332*$X$1</f>
        <v>15856.4</v>
      </c>
      <c r="R332" s="559">
        <f t="shared" ref="R332" si="961">F332+150</f>
        <v>15836.4</v>
      </c>
      <c r="S332" s="257">
        <f>+R332*$X$1</f>
        <v>15836.4</v>
      </c>
      <c r="T332" s="93">
        <f t="shared" ref="T332" si="962">F332+130</f>
        <v>15816.4</v>
      </c>
      <c r="U332" s="235">
        <f>+T332*$X$1</f>
        <v>15816.4</v>
      </c>
      <c r="V332" s="93">
        <f t="shared" ref="V332" si="963">F332+110</f>
        <v>15796.4</v>
      </c>
      <c r="W332" s="257">
        <f>+V332*$X$1</f>
        <v>15796.4</v>
      </c>
      <c r="X332" s="165"/>
      <c r="Y332" s="168"/>
      <c r="Z332" s="168"/>
      <c r="AA332" s="167"/>
      <c r="AB332" s="178">
        <v>1075</v>
      </c>
    </row>
    <row r="333" spans="1:29" ht="12.6" customHeight="1" x14ac:dyDescent="0.2">
      <c r="A333" s="17"/>
      <c r="B333" s="671" t="s">
        <v>989</v>
      </c>
      <c r="C333" s="704"/>
      <c r="D333" s="704"/>
      <c r="E333" s="704"/>
      <c r="F333" s="293">
        <v>8890</v>
      </c>
      <c r="G333" s="258">
        <f>+F333*$X$1</f>
        <v>8890</v>
      </c>
      <c r="H333" s="82"/>
      <c r="I333" s="258"/>
      <c r="J333" s="576">
        <f t="shared" si="956"/>
        <v>9150</v>
      </c>
      <c r="K333" s="258">
        <f t="shared" si="957"/>
        <v>9150</v>
      </c>
      <c r="L333" s="576">
        <f t="shared" ref="L333" si="964">F333+220</f>
        <v>9110</v>
      </c>
      <c r="M333" s="258">
        <f t="shared" ref="M333" si="965">+L333*$X$1</f>
        <v>9110</v>
      </c>
      <c r="N333" s="576">
        <f t="shared" ref="N333" si="966">F333+180</f>
        <v>9070</v>
      </c>
      <c r="O333" s="258">
        <f t="shared" ref="O333" si="967">+N333*$X$1</f>
        <v>9070</v>
      </c>
      <c r="P333" s="576">
        <f t="shared" ref="P333" si="968">F333+150</f>
        <v>9040</v>
      </c>
      <c r="Q333" s="258">
        <f t="shared" ref="Q333" si="969">+P333*$X$1</f>
        <v>9040</v>
      </c>
      <c r="R333" s="576">
        <f t="shared" ref="R333" si="970">F333+120</f>
        <v>9010</v>
      </c>
      <c r="S333" s="258">
        <f t="shared" ref="S333" si="971">+R333*$X$1</f>
        <v>9010</v>
      </c>
      <c r="T333" s="576">
        <f t="shared" ref="T333" si="972">F333+100</f>
        <v>8990</v>
      </c>
      <c r="U333" s="258">
        <f t="shared" ref="U333" si="973">+T333*$X$1</f>
        <v>8990</v>
      </c>
      <c r="V333" s="576">
        <f t="shared" ref="V333" si="974">F333+80</f>
        <v>8970</v>
      </c>
      <c r="W333" s="258">
        <f t="shared" ref="W333" si="975">+V333*$X$1</f>
        <v>8970</v>
      </c>
      <c r="X333" s="697"/>
      <c r="Y333" s="680"/>
      <c r="Z333" s="680"/>
      <c r="AA333" s="681"/>
      <c r="AB333" s="178">
        <v>1076</v>
      </c>
    </row>
    <row r="334" spans="1:29" ht="12.6" customHeight="1" x14ac:dyDescent="0.2">
      <c r="A334" s="17"/>
      <c r="B334" s="671" t="s">
        <v>971</v>
      </c>
      <c r="C334" s="704"/>
      <c r="D334" s="704"/>
      <c r="E334" s="704"/>
      <c r="F334" s="337">
        <f>9.7*X2</f>
        <v>12512.999999999998</v>
      </c>
      <c r="G334" s="273">
        <f t="shared" ref="G334" si="976">+F334*$X$1</f>
        <v>12512.999999999998</v>
      </c>
      <c r="H334" s="68">
        <f>F334+650</f>
        <v>13162.999999999998</v>
      </c>
      <c r="I334" s="257">
        <f t="shared" ref="I334:I339" si="977">+H334*$X$1</f>
        <v>13162.999999999998</v>
      </c>
      <c r="J334" s="559">
        <f>F334+280</f>
        <v>12792.999999999998</v>
      </c>
      <c r="K334" s="257">
        <f t="shared" ref="K334:K339" si="978">+J334*$X$1</f>
        <v>12792.999999999998</v>
      </c>
      <c r="L334" s="559">
        <f>F334+230</f>
        <v>12742.999999999998</v>
      </c>
      <c r="M334" s="257">
        <f t="shared" ref="M334" si="979">+L334*$X$1</f>
        <v>12742.999999999998</v>
      </c>
      <c r="N334" s="559">
        <f>F334+190</f>
        <v>12702.999999999998</v>
      </c>
      <c r="O334" s="257">
        <f t="shared" ref="O334" si="980">+N334*$X$1</f>
        <v>12702.999999999998</v>
      </c>
      <c r="P334" s="559">
        <f>F334+160</f>
        <v>12672.999999999998</v>
      </c>
      <c r="Q334" s="257">
        <f t="shared" ref="Q334" si="981">+P334*$X$1</f>
        <v>12672.999999999998</v>
      </c>
      <c r="R334" s="559">
        <f>F334+130</f>
        <v>12642.999999999998</v>
      </c>
      <c r="S334" s="257">
        <f t="shared" ref="S334" si="982">+R334*$X$1</f>
        <v>12642.999999999998</v>
      </c>
      <c r="T334" s="559">
        <f>F334+110</f>
        <v>12622.999999999998</v>
      </c>
      <c r="U334" s="257">
        <f t="shared" ref="U334" si="983">+T334*$X$1</f>
        <v>12622.999999999998</v>
      </c>
      <c r="V334" s="559">
        <f>F334+90</f>
        <v>12602.999999999998</v>
      </c>
      <c r="W334" s="257">
        <f t="shared" ref="W334" si="984">+V334*$X$1</f>
        <v>12602.999999999998</v>
      </c>
      <c r="X334" s="697"/>
      <c r="Y334" s="680"/>
      <c r="Z334" s="680"/>
      <c r="AA334" s="681"/>
      <c r="AB334" s="178">
        <v>1077</v>
      </c>
    </row>
    <row r="335" spans="1:29" ht="12.6" customHeight="1" x14ac:dyDescent="0.2">
      <c r="A335" s="17"/>
      <c r="B335" s="645" t="s">
        <v>351</v>
      </c>
      <c r="C335" s="709"/>
      <c r="D335" s="709"/>
      <c r="E335" s="709"/>
      <c r="F335" s="336">
        <f>6.6*X2</f>
        <v>8514</v>
      </c>
      <c r="G335" s="283">
        <f t="shared" ref="G335" si="985">+F335*$X$1</f>
        <v>8514</v>
      </c>
      <c r="H335" s="82">
        <f>F335+650</f>
        <v>9164</v>
      </c>
      <c r="I335" s="258">
        <f t="shared" si="977"/>
        <v>9164</v>
      </c>
      <c r="J335" s="576">
        <f>F335+280</f>
        <v>8794</v>
      </c>
      <c r="K335" s="258">
        <f t="shared" si="978"/>
        <v>8794</v>
      </c>
      <c r="L335" s="576">
        <f>F335+230</f>
        <v>8744</v>
      </c>
      <c r="M335" s="258">
        <f t="shared" ref="M335" si="986">+L335*$X$1</f>
        <v>8744</v>
      </c>
      <c r="N335" s="576">
        <f>F335+190</f>
        <v>8704</v>
      </c>
      <c r="O335" s="258">
        <f t="shared" ref="O335" si="987">+N335*$X$1</f>
        <v>8704</v>
      </c>
      <c r="P335" s="576">
        <f>F335+160</f>
        <v>8674</v>
      </c>
      <c r="Q335" s="258">
        <f t="shared" ref="Q335" si="988">+P335*$X$1</f>
        <v>8674</v>
      </c>
      <c r="R335" s="576">
        <f>F335+130</f>
        <v>8644</v>
      </c>
      <c r="S335" s="258">
        <f t="shared" ref="S335" si="989">+R335*$X$1</f>
        <v>8644</v>
      </c>
      <c r="T335" s="576">
        <f>F335+110</f>
        <v>8624</v>
      </c>
      <c r="U335" s="258">
        <f t="shared" ref="U335" si="990">+T335*$X$1</f>
        <v>8624</v>
      </c>
      <c r="V335" s="576">
        <f>F335+90</f>
        <v>8604</v>
      </c>
      <c r="W335" s="258">
        <f t="shared" ref="W335" si="991">+V335*$X$1</f>
        <v>8604</v>
      </c>
      <c r="X335" s="697"/>
      <c r="Y335" s="680"/>
      <c r="Z335" s="680"/>
      <c r="AA335" s="681"/>
      <c r="AB335" s="178">
        <v>1078</v>
      </c>
    </row>
    <row r="336" spans="1:29" ht="12.6" customHeight="1" x14ac:dyDescent="0.2">
      <c r="A336" s="17"/>
      <c r="B336" s="643" t="s">
        <v>353</v>
      </c>
      <c r="C336" s="714"/>
      <c r="D336" s="714"/>
      <c r="E336" s="714"/>
      <c r="F336" s="337">
        <f>5.35*X2</f>
        <v>6901.4999999999991</v>
      </c>
      <c r="G336" s="273">
        <f t="shared" ref="G336" si="992">+F336*$X$1</f>
        <v>6901.4999999999991</v>
      </c>
      <c r="H336" s="68">
        <f>F336+650</f>
        <v>7551.4999999999991</v>
      </c>
      <c r="I336" s="257">
        <f t="shared" si="977"/>
        <v>7551.4999999999991</v>
      </c>
      <c r="J336" s="559">
        <f>F336+280</f>
        <v>7181.4999999999991</v>
      </c>
      <c r="K336" s="257">
        <f t="shared" si="978"/>
        <v>7181.4999999999991</v>
      </c>
      <c r="L336" s="559">
        <f>F336+230</f>
        <v>7131.4999999999991</v>
      </c>
      <c r="M336" s="257">
        <f t="shared" ref="M336" si="993">+L336*$X$1</f>
        <v>7131.4999999999991</v>
      </c>
      <c r="N336" s="559">
        <f>F336+190</f>
        <v>7091.4999999999991</v>
      </c>
      <c r="O336" s="257">
        <f t="shared" ref="O336" si="994">+N336*$X$1</f>
        <v>7091.4999999999991</v>
      </c>
      <c r="P336" s="559">
        <f>F336+160</f>
        <v>7061.4999999999991</v>
      </c>
      <c r="Q336" s="257">
        <f t="shared" ref="Q336" si="995">+P336*$X$1</f>
        <v>7061.4999999999991</v>
      </c>
      <c r="R336" s="559">
        <f>F336+130</f>
        <v>7031.4999999999991</v>
      </c>
      <c r="S336" s="257">
        <f t="shared" ref="S336" si="996">+R336*$X$1</f>
        <v>7031.4999999999991</v>
      </c>
      <c r="T336" s="559">
        <f>F336+110</f>
        <v>7011.4999999999991</v>
      </c>
      <c r="U336" s="257">
        <f t="shared" ref="U336" si="997">+T336*$X$1</f>
        <v>7011.4999999999991</v>
      </c>
      <c r="V336" s="559">
        <f>F336+90</f>
        <v>6991.4999999999991</v>
      </c>
      <c r="W336" s="257">
        <f t="shared" ref="W336" si="998">+V336*$X$1</f>
        <v>6991.4999999999991</v>
      </c>
      <c r="X336" s="680"/>
      <c r="Y336" s="680"/>
      <c r="Z336" s="680"/>
      <c r="AA336" s="681"/>
      <c r="AB336" s="178">
        <v>1079</v>
      </c>
    </row>
    <row r="337" spans="1:34" ht="12.6" customHeight="1" x14ac:dyDescent="0.2">
      <c r="A337" s="17"/>
      <c r="B337" s="645" t="s">
        <v>474</v>
      </c>
      <c r="C337" s="646"/>
      <c r="D337" s="646"/>
      <c r="E337" s="646"/>
      <c r="F337" s="293">
        <v>15190</v>
      </c>
      <c r="G337" s="258">
        <f>+F337*$X$1</f>
        <v>15190</v>
      </c>
      <c r="H337" s="82">
        <f>F337+600</f>
        <v>15790</v>
      </c>
      <c r="I337" s="258">
        <f t="shared" si="977"/>
        <v>15790</v>
      </c>
      <c r="J337" s="576">
        <f>F337+260</f>
        <v>15450</v>
      </c>
      <c r="K337" s="258">
        <f t="shared" si="978"/>
        <v>15450</v>
      </c>
      <c r="L337" s="576">
        <f>F337+220</f>
        <v>15410</v>
      </c>
      <c r="M337" s="258">
        <f t="shared" ref="M337" si="999">+L337*$X$1</f>
        <v>15410</v>
      </c>
      <c r="N337" s="576">
        <f>F337+180</f>
        <v>15370</v>
      </c>
      <c r="O337" s="258">
        <f t="shared" ref="O337" si="1000">+N337*$X$1</f>
        <v>15370</v>
      </c>
      <c r="P337" s="576">
        <f>F337+150</f>
        <v>15340</v>
      </c>
      <c r="Q337" s="258">
        <f t="shared" ref="Q337" si="1001">+P337*$X$1</f>
        <v>15340</v>
      </c>
      <c r="R337" s="576">
        <f>F337+120</f>
        <v>15310</v>
      </c>
      <c r="S337" s="258">
        <f t="shared" ref="S337" si="1002">+R337*$X$1</f>
        <v>15310</v>
      </c>
      <c r="T337" s="576">
        <f>F337+100</f>
        <v>15290</v>
      </c>
      <c r="U337" s="258">
        <f t="shared" ref="U337" si="1003">+T337*$X$1</f>
        <v>15290</v>
      </c>
      <c r="V337" s="576">
        <f>F337+80</f>
        <v>15270</v>
      </c>
      <c r="W337" s="258">
        <f t="shared" ref="W337" si="1004">+V337*$X$1</f>
        <v>15270</v>
      </c>
      <c r="X337" s="680"/>
      <c r="Y337" s="680"/>
      <c r="Z337" s="680"/>
      <c r="AA337" s="681"/>
      <c r="AB337" s="178">
        <v>1080</v>
      </c>
      <c r="AC337" s="61"/>
    </row>
    <row r="338" spans="1:34" ht="12.6" customHeight="1" x14ac:dyDescent="0.2">
      <c r="A338" s="17"/>
      <c r="B338" s="654" t="s">
        <v>475</v>
      </c>
      <c r="C338" s="655"/>
      <c r="D338" s="655"/>
      <c r="E338" s="655"/>
      <c r="F338" s="294">
        <v>16390</v>
      </c>
      <c r="G338" s="257">
        <f>+F338*$X$1</f>
        <v>16390</v>
      </c>
      <c r="H338" s="68">
        <f>F338+600</f>
        <v>16990</v>
      </c>
      <c r="I338" s="257">
        <f t="shared" si="977"/>
        <v>16990</v>
      </c>
      <c r="J338" s="559">
        <f>F338+260</f>
        <v>16650</v>
      </c>
      <c r="K338" s="257">
        <f t="shared" si="978"/>
        <v>16650</v>
      </c>
      <c r="L338" s="559">
        <f>F338+220</f>
        <v>16610</v>
      </c>
      <c r="M338" s="257">
        <f t="shared" ref="M338" si="1005">+L338*$X$1</f>
        <v>16610</v>
      </c>
      <c r="N338" s="559">
        <f>F338+180</f>
        <v>16570</v>
      </c>
      <c r="O338" s="257">
        <f t="shared" ref="O338" si="1006">+N338*$X$1</f>
        <v>16570</v>
      </c>
      <c r="P338" s="559">
        <f>F338+150</f>
        <v>16540</v>
      </c>
      <c r="Q338" s="257">
        <f t="shared" ref="Q338" si="1007">+P338*$X$1</f>
        <v>16540</v>
      </c>
      <c r="R338" s="559">
        <f>F338+120</f>
        <v>16510</v>
      </c>
      <c r="S338" s="257">
        <f t="shared" ref="S338" si="1008">+R338*$X$1</f>
        <v>16510</v>
      </c>
      <c r="T338" s="559">
        <f>F338+100</f>
        <v>16490</v>
      </c>
      <c r="U338" s="257">
        <f t="shared" ref="U338" si="1009">+T338*$X$1</f>
        <v>16490</v>
      </c>
      <c r="V338" s="559">
        <f>F338+80</f>
        <v>16470</v>
      </c>
      <c r="W338" s="257">
        <f t="shared" ref="W338" si="1010">+V338*$X$1</f>
        <v>16470</v>
      </c>
      <c r="X338" s="680"/>
      <c r="Y338" s="680"/>
      <c r="Z338" s="680"/>
      <c r="AA338" s="681"/>
      <c r="AB338" s="178">
        <v>1081</v>
      </c>
      <c r="AC338" s="61"/>
    </row>
    <row r="339" spans="1:34" ht="12.6" customHeight="1" x14ac:dyDescent="0.2">
      <c r="A339" s="17"/>
      <c r="B339" s="645" t="s">
        <v>393</v>
      </c>
      <c r="C339" s="646"/>
      <c r="D339" s="646"/>
      <c r="E339" s="646"/>
      <c r="F339" s="293">
        <v>13490</v>
      </c>
      <c r="G339" s="258">
        <f>+F339*$X$1</f>
        <v>13490</v>
      </c>
      <c r="H339" s="82">
        <f>F339+600</f>
        <v>14090</v>
      </c>
      <c r="I339" s="258">
        <f t="shared" si="977"/>
        <v>14090</v>
      </c>
      <c r="J339" s="576">
        <f>F339+260</f>
        <v>13750</v>
      </c>
      <c r="K339" s="258">
        <f t="shared" si="978"/>
        <v>13750</v>
      </c>
      <c r="L339" s="576">
        <f>F339+220</f>
        <v>13710</v>
      </c>
      <c r="M339" s="258">
        <f t="shared" ref="M339:M342" si="1011">+L339*$X$1</f>
        <v>13710</v>
      </c>
      <c r="N339" s="576">
        <f>F339+180</f>
        <v>13670</v>
      </c>
      <c r="O339" s="258">
        <f t="shared" ref="O339:O342" si="1012">+N339*$X$1</f>
        <v>13670</v>
      </c>
      <c r="P339" s="576">
        <f>F339+150</f>
        <v>13640</v>
      </c>
      <c r="Q339" s="258">
        <f t="shared" ref="Q339:Q342" si="1013">+P339*$X$1</f>
        <v>13640</v>
      </c>
      <c r="R339" s="576">
        <f>F339+120</f>
        <v>13610</v>
      </c>
      <c r="S339" s="258">
        <f t="shared" ref="S339:S342" si="1014">+R339*$X$1</f>
        <v>13610</v>
      </c>
      <c r="T339" s="576">
        <f>F339+100</f>
        <v>13590</v>
      </c>
      <c r="U339" s="258">
        <f t="shared" ref="U339:U342" si="1015">+T339*$X$1</f>
        <v>13590</v>
      </c>
      <c r="V339" s="576">
        <f>F339+80</f>
        <v>13570</v>
      </c>
      <c r="W339" s="258">
        <f t="shared" ref="W339:W342" si="1016">+V339*$X$1</f>
        <v>13570</v>
      </c>
      <c r="X339" s="680"/>
      <c r="Y339" s="680"/>
      <c r="Z339" s="680"/>
      <c r="AA339" s="681"/>
      <c r="AB339" s="178">
        <v>1083</v>
      </c>
      <c r="AC339" s="61"/>
    </row>
    <row r="340" spans="1:34" ht="12.6" customHeight="1" x14ac:dyDescent="0.2">
      <c r="A340" s="17"/>
      <c r="B340" s="671" t="s">
        <v>990</v>
      </c>
      <c r="C340" s="704"/>
      <c r="D340" s="704"/>
      <c r="E340" s="704"/>
      <c r="F340" s="337">
        <f>9.35*X2</f>
        <v>12061.5</v>
      </c>
      <c r="G340" s="273">
        <f t="shared" ref="G340" si="1017">+F340*$X$1</f>
        <v>12061.5</v>
      </c>
      <c r="H340" s="68">
        <f>F340+650</f>
        <v>12711.5</v>
      </c>
      <c r="I340" s="257">
        <f t="shared" ref="I340:I341" si="1018">+H340*$X$1</f>
        <v>12711.5</v>
      </c>
      <c r="J340" s="559">
        <f>F340+280</f>
        <v>12341.5</v>
      </c>
      <c r="K340" s="257">
        <f t="shared" ref="K340:K341" si="1019">+J340*$X$1</f>
        <v>12341.5</v>
      </c>
      <c r="L340" s="559">
        <f>F340+230</f>
        <v>12291.5</v>
      </c>
      <c r="M340" s="257">
        <f t="shared" si="1011"/>
        <v>12291.5</v>
      </c>
      <c r="N340" s="559">
        <f>F340+190</f>
        <v>12251.5</v>
      </c>
      <c r="O340" s="257">
        <f t="shared" si="1012"/>
        <v>12251.5</v>
      </c>
      <c r="P340" s="559">
        <f>F340+160</f>
        <v>12221.5</v>
      </c>
      <c r="Q340" s="257">
        <f t="shared" si="1013"/>
        <v>12221.5</v>
      </c>
      <c r="R340" s="559">
        <f>F340+130</f>
        <v>12191.5</v>
      </c>
      <c r="S340" s="257">
        <f t="shared" si="1014"/>
        <v>12191.5</v>
      </c>
      <c r="T340" s="559">
        <f>F340+110</f>
        <v>12171.5</v>
      </c>
      <c r="U340" s="257">
        <f t="shared" si="1015"/>
        <v>12171.5</v>
      </c>
      <c r="V340" s="559">
        <f>F340+90</f>
        <v>12151.5</v>
      </c>
      <c r="W340" s="257">
        <f t="shared" si="1016"/>
        <v>12151.5</v>
      </c>
      <c r="X340" s="697"/>
      <c r="Y340" s="680"/>
      <c r="Z340" s="680"/>
      <c r="AA340" s="681"/>
      <c r="AB340" s="178">
        <v>1087</v>
      </c>
    </row>
    <row r="341" spans="1:34" ht="12.6" customHeight="1" x14ac:dyDescent="0.2">
      <c r="A341" s="17"/>
      <c r="B341" s="671" t="s">
        <v>991</v>
      </c>
      <c r="C341" s="704"/>
      <c r="D341" s="704"/>
      <c r="E341" s="704"/>
      <c r="F341" s="283">
        <v>43410</v>
      </c>
      <c r="G341" s="258">
        <f>+F341*$X$1</f>
        <v>43410</v>
      </c>
      <c r="H341" s="576">
        <f>F341+700</f>
        <v>44110</v>
      </c>
      <c r="I341" s="258">
        <f t="shared" si="1018"/>
        <v>44110</v>
      </c>
      <c r="J341" s="576">
        <f>F341+350</f>
        <v>43760</v>
      </c>
      <c r="K341" s="258">
        <f t="shared" si="1019"/>
        <v>43760</v>
      </c>
      <c r="L341" s="576">
        <f>F341+300</f>
        <v>43710</v>
      </c>
      <c r="M341" s="258">
        <f>+L341*$X$1</f>
        <v>43710</v>
      </c>
      <c r="N341" s="576">
        <f>F341+260</f>
        <v>43670</v>
      </c>
      <c r="O341" s="258">
        <f>+N341*$X$1</f>
        <v>43670</v>
      </c>
      <c r="P341" s="576">
        <f>F341+230</f>
        <v>43640</v>
      </c>
      <c r="Q341" s="258">
        <f>+P341*$X$1</f>
        <v>43640</v>
      </c>
      <c r="R341" s="576">
        <f>F341+210</f>
        <v>43620</v>
      </c>
      <c r="S341" s="258">
        <f>+R341*$X$1</f>
        <v>43620</v>
      </c>
      <c r="T341" s="92">
        <f>F341+190</f>
        <v>43600</v>
      </c>
      <c r="U341" s="272">
        <f>+T341*$X$1</f>
        <v>43600</v>
      </c>
      <c r="V341" s="92">
        <f>F341+160</f>
        <v>43570</v>
      </c>
      <c r="W341" s="258">
        <f>+V341*$X$1</f>
        <v>43570</v>
      </c>
      <c r="X341" s="697"/>
      <c r="Y341" s="680"/>
      <c r="Z341" s="680"/>
      <c r="AA341" s="681"/>
      <c r="AB341" s="178">
        <v>1107</v>
      </c>
    </row>
    <row r="342" spans="1:34" ht="12.6" customHeight="1" x14ac:dyDescent="0.2">
      <c r="A342" s="17"/>
      <c r="B342" s="643" t="s">
        <v>753</v>
      </c>
      <c r="C342" s="714"/>
      <c r="D342" s="714"/>
      <c r="E342" s="714"/>
      <c r="F342" s="333">
        <f>2.32*X2</f>
        <v>2992.7999999999997</v>
      </c>
      <c r="G342" s="257">
        <f t="shared" ref="G342" si="1020">+F342*$X$1</f>
        <v>2992.7999999999997</v>
      </c>
      <c r="H342" s="534">
        <f>F342+600</f>
        <v>3592.7999999999997</v>
      </c>
      <c r="I342" s="257">
        <f t="shared" ref="I342" si="1021">+H342*$X$1</f>
        <v>3592.7999999999997</v>
      </c>
      <c r="J342" s="68">
        <f>F342+220</f>
        <v>3212.7999999999997</v>
      </c>
      <c r="K342" s="257">
        <f t="shared" ref="K342" si="1022">+J342*$X$1</f>
        <v>3212.7999999999997</v>
      </c>
      <c r="L342" s="534">
        <f t="shared" ref="L342" si="1023">F342+150</f>
        <v>3142.7999999999997</v>
      </c>
      <c r="M342" s="257">
        <f t="shared" si="1011"/>
        <v>3142.7999999999997</v>
      </c>
      <c r="N342" s="534">
        <f t="shared" ref="N342" si="1024">F342+110</f>
        <v>3102.7999999999997</v>
      </c>
      <c r="O342" s="257">
        <f t="shared" si="1012"/>
        <v>3102.7999999999997</v>
      </c>
      <c r="P342" s="534">
        <f t="shared" ref="P342" si="1025">F342+100</f>
        <v>3092.7999999999997</v>
      </c>
      <c r="Q342" s="257">
        <f t="shared" si="1013"/>
        <v>3092.7999999999997</v>
      </c>
      <c r="R342" s="534">
        <f t="shared" ref="R342" si="1026">F342+80</f>
        <v>3072.7999999999997</v>
      </c>
      <c r="S342" s="257">
        <f t="shared" si="1014"/>
        <v>3072.7999999999997</v>
      </c>
      <c r="T342" s="534">
        <f t="shared" ref="T342" si="1027">F342+65</f>
        <v>3057.7999999999997</v>
      </c>
      <c r="U342" s="257">
        <f t="shared" si="1015"/>
        <v>3057.7999999999997</v>
      </c>
      <c r="V342" s="534">
        <f t="shared" ref="V342" si="1028">F342+56</f>
        <v>3048.7999999999997</v>
      </c>
      <c r="W342" s="257">
        <f t="shared" si="1016"/>
        <v>3048.7999999999997</v>
      </c>
      <c r="X342" s="715"/>
      <c r="Y342" s="716"/>
      <c r="Z342" s="716"/>
      <c r="AA342" s="717"/>
      <c r="AB342" s="353">
        <v>2130</v>
      </c>
      <c r="AC342" s="62"/>
    </row>
    <row r="343" spans="1:34" ht="12.6" customHeight="1" x14ac:dyDescent="0.2">
      <c r="A343" s="17"/>
      <c r="B343" s="712" t="s">
        <v>754</v>
      </c>
      <c r="C343" s="797"/>
      <c r="D343" s="797"/>
      <c r="E343" s="797"/>
      <c r="F343" s="334">
        <f>2.25*X2</f>
        <v>2902.5</v>
      </c>
      <c r="G343" s="258">
        <f t="shared" ref="G343" si="1029">+F343*$X$1</f>
        <v>2902.5</v>
      </c>
      <c r="H343" s="406">
        <f>F343+600</f>
        <v>3502.5</v>
      </c>
      <c r="I343" s="258">
        <f t="shared" ref="I343" si="1030">+H343*$X$1</f>
        <v>3502.5</v>
      </c>
      <c r="J343" s="82">
        <f>F343+250</f>
        <v>3152.5</v>
      </c>
      <c r="K343" s="258">
        <f t="shared" ref="K343" si="1031">+J343*$X$1</f>
        <v>3152.5</v>
      </c>
      <c r="L343" s="406">
        <f>F343+180</f>
        <v>3082.5</v>
      </c>
      <c r="M343" s="258">
        <f t="shared" ref="M343:M344" si="1032">+L343*$X$1</f>
        <v>3082.5</v>
      </c>
      <c r="N343" s="406">
        <f>F343+130</f>
        <v>3032.5</v>
      </c>
      <c r="O343" s="258">
        <f t="shared" ref="O343:O344" si="1033">+N343*$X$1</f>
        <v>3032.5</v>
      </c>
      <c r="P343" s="406">
        <f>F343+110</f>
        <v>3012.5</v>
      </c>
      <c r="Q343" s="258">
        <f t="shared" ref="Q343:Q344" si="1034">+P343*$X$1</f>
        <v>3012.5</v>
      </c>
      <c r="R343" s="406">
        <f>F343+90</f>
        <v>2992.5</v>
      </c>
      <c r="S343" s="258">
        <f t="shared" ref="S343:S344" si="1035">+R343*$X$1</f>
        <v>2992.5</v>
      </c>
      <c r="T343" s="406"/>
      <c r="U343" s="258"/>
      <c r="V343" s="406"/>
      <c r="W343" s="258"/>
      <c r="X343" s="715"/>
      <c r="Y343" s="716"/>
      <c r="Z343" s="716"/>
      <c r="AA343" s="717"/>
      <c r="AB343" s="353">
        <v>2131</v>
      </c>
      <c r="AC343" s="62"/>
    </row>
    <row r="344" spans="1:34" ht="12.6" customHeight="1" x14ac:dyDescent="0.2">
      <c r="A344" s="94"/>
      <c r="B344" s="654" t="s">
        <v>197</v>
      </c>
      <c r="C344" s="655"/>
      <c r="D344" s="655"/>
      <c r="E344" s="655"/>
      <c r="F344" s="333">
        <f>0.41*X2</f>
        <v>528.9</v>
      </c>
      <c r="G344" s="257">
        <f t="shared" ref="G344:G345" si="1036">+F344*$X$1</f>
        <v>528.9</v>
      </c>
      <c r="H344" s="252"/>
      <c r="I344" s="305"/>
      <c r="J344" s="534"/>
      <c r="K344" s="257"/>
      <c r="L344" s="534">
        <f>F344+160</f>
        <v>688.9</v>
      </c>
      <c r="M344" s="257">
        <f t="shared" si="1032"/>
        <v>688.9</v>
      </c>
      <c r="N344" s="534">
        <f>F344+100</f>
        <v>628.9</v>
      </c>
      <c r="O344" s="257">
        <f t="shared" si="1033"/>
        <v>628.9</v>
      </c>
      <c r="P344" s="534">
        <f>F344+75</f>
        <v>603.9</v>
      </c>
      <c r="Q344" s="257">
        <f t="shared" si="1034"/>
        <v>603.9</v>
      </c>
      <c r="R344" s="534">
        <f>F344+65</f>
        <v>593.9</v>
      </c>
      <c r="S344" s="257">
        <f t="shared" si="1035"/>
        <v>593.9</v>
      </c>
      <c r="T344" s="93">
        <f>F344+50</f>
        <v>578.9</v>
      </c>
      <c r="U344" s="235">
        <f t="shared" ref="U344" si="1037">+T344*$X$1</f>
        <v>578.9</v>
      </c>
      <c r="V344" s="93">
        <f>F344+38</f>
        <v>566.9</v>
      </c>
      <c r="W344" s="235">
        <f t="shared" ref="W344" si="1038">+V344*$X$1</f>
        <v>566.9</v>
      </c>
      <c r="X344" s="121"/>
      <c r="Y344" s="119"/>
      <c r="Z344" s="119"/>
      <c r="AA344" s="119"/>
      <c r="AB344" s="353">
        <v>2145</v>
      </c>
      <c r="AC344" s="62"/>
    </row>
    <row r="345" spans="1:34" ht="12.6" customHeight="1" x14ac:dyDescent="0.25">
      <c r="A345" s="115"/>
      <c r="B345" s="645" t="s">
        <v>894</v>
      </c>
      <c r="C345" s="646"/>
      <c r="D345" s="646"/>
      <c r="E345" s="646"/>
      <c r="F345" s="334">
        <v>170</v>
      </c>
      <c r="G345" s="258">
        <f t="shared" si="1036"/>
        <v>170</v>
      </c>
      <c r="H345" s="251"/>
      <c r="I345" s="306"/>
      <c r="J345" s="483"/>
      <c r="K345" s="258"/>
      <c r="L345" s="484"/>
      <c r="M345" s="258"/>
      <c r="N345" s="484"/>
      <c r="O345" s="485"/>
      <c r="P345" s="251"/>
      <c r="Q345" s="306"/>
      <c r="R345" s="484"/>
      <c r="S345" s="485"/>
      <c r="T345" s="484"/>
      <c r="U345" s="485"/>
      <c r="V345" s="484"/>
      <c r="W345" s="485"/>
      <c r="X345" s="119"/>
      <c r="Y345" s="119"/>
      <c r="Z345" s="119"/>
      <c r="AA345" s="119"/>
      <c r="AB345" s="178">
        <v>2147</v>
      </c>
    </row>
    <row r="346" spans="1:34" ht="12.6" customHeight="1" x14ac:dyDescent="0.2">
      <c r="A346" s="17"/>
      <c r="B346" s="654" t="s">
        <v>198</v>
      </c>
      <c r="C346" s="655"/>
      <c r="D346" s="655"/>
      <c r="E346" s="655"/>
      <c r="F346" s="333">
        <v>48</v>
      </c>
      <c r="G346" s="257">
        <f t="shared" ref="G346:G351" si="1039">+F346*$X$1</f>
        <v>48</v>
      </c>
      <c r="H346" s="252"/>
      <c r="I346" s="305"/>
      <c r="J346" s="534">
        <f>F346+210</f>
        <v>258</v>
      </c>
      <c r="K346" s="257">
        <f t="shared" ref="K346" si="1040">+J346*$X$1</f>
        <v>258</v>
      </c>
      <c r="L346" s="534">
        <f>F346+160</f>
        <v>208</v>
      </c>
      <c r="M346" s="257">
        <f t="shared" ref="M346" si="1041">+L346*$X$1</f>
        <v>208</v>
      </c>
      <c r="N346" s="534">
        <f>F346+100</f>
        <v>148</v>
      </c>
      <c r="O346" s="257">
        <f t="shared" ref="O346" si="1042">+N346*$X$1</f>
        <v>148</v>
      </c>
      <c r="P346" s="534">
        <f>F346+75</f>
        <v>123</v>
      </c>
      <c r="Q346" s="257">
        <f t="shared" ref="Q346" si="1043">+P346*$X$1</f>
        <v>123</v>
      </c>
      <c r="R346" s="534">
        <f>F346+65</f>
        <v>113</v>
      </c>
      <c r="S346" s="257">
        <f t="shared" ref="S346" si="1044">+R346*$X$1</f>
        <v>113</v>
      </c>
      <c r="T346" s="93">
        <f>F346+50</f>
        <v>98</v>
      </c>
      <c r="U346" s="235">
        <f t="shared" ref="U346" si="1045">+T346*$X$1</f>
        <v>98</v>
      </c>
      <c r="V346" s="93">
        <f>F346+38</f>
        <v>86</v>
      </c>
      <c r="W346" s="235">
        <f t="shared" ref="W346" si="1046">+V346*$X$1</f>
        <v>86</v>
      </c>
      <c r="X346" s="119"/>
      <c r="Y346" s="119"/>
      <c r="Z346" s="119"/>
      <c r="AA346" s="119"/>
      <c r="AB346" s="353">
        <v>2149</v>
      </c>
    </row>
    <row r="347" spans="1:34" ht="12.6" customHeight="1" x14ac:dyDescent="0.25">
      <c r="A347" s="115"/>
      <c r="B347" s="645" t="s">
        <v>833</v>
      </c>
      <c r="C347" s="646"/>
      <c r="D347" s="646"/>
      <c r="E347" s="646"/>
      <c r="F347" s="334">
        <f>1.41*X2</f>
        <v>1818.8999999999999</v>
      </c>
      <c r="G347" s="258">
        <f t="shared" si="1039"/>
        <v>1818.8999999999999</v>
      </c>
      <c r="H347" s="251"/>
      <c r="I347" s="306"/>
      <c r="J347" s="483"/>
      <c r="K347" s="258"/>
      <c r="L347" s="484"/>
      <c r="M347" s="258"/>
      <c r="N347" s="484"/>
      <c r="O347" s="485"/>
      <c r="P347" s="251"/>
      <c r="Q347" s="306"/>
      <c r="R347" s="484"/>
      <c r="S347" s="485"/>
      <c r="T347" s="484"/>
      <c r="U347" s="485"/>
      <c r="V347" s="484"/>
      <c r="W347" s="485"/>
      <c r="X347" s="119"/>
      <c r="Y347" s="119"/>
      <c r="Z347" s="119"/>
      <c r="AA347" s="119"/>
      <c r="AB347" s="178">
        <v>2150</v>
      </c>
    </row>
    <row r="348" spans="1:34" ht="12.6" customHeight="1" x14ac:dyDescent="0.25">
      <c r="A348" s="115"/>
      <c r="B348" s="654" t="s">
        <v>199</v>
      </c>
      <c r="C348" s="655"/>
      <c r="D348" s="655"/>
      <c r="E348" s="655"/>
      <c r="F348" s="333">
        <f>0.85*X2</f>
        <v>1096.5</v>
      </c>
      <c r="G348" s="257">
        <f t="shared" si="1039"/>
        <v>1096.5</v>
      </c>
      <c r="H348" s="252"/>
      <c r="I348" s="305"/>
      <c r="J348" s="524"/>
      <c r="K348" s="257"/>
      <c r="L348" s="525"/>
      <c r="M348" s="257"/>
      <c r="N348" s="525"/>
      <c r="O348" s="526"/>
      <c r="P348" s="252"/>
      <c r="Q348" s="305"/>
      <c r="R348" s="525"/>
      <c r="S348" s="526"/>
      <c r="T348" s="525"/>
      <c r="U348" s="526"/>
      <c r="V348" s="525"/>
      <c r="W348" s="526"/>
      <c r="X348" s="119"/>
      <c r="Y348" s="119"/>
      <c r="Z348" s="119"/>
      <c r="AA348" s="119"/>
      <c r="AB348" s="178">
        <v>2151</v>
      </c>
    </row>
    <row r="349" spans="1:34" ht="12.6" customHeight="1" x14ac:dyDescent="0.2">
      <c r="A349" s="17"/>
      <c r="B349" s="712" t="s">
        <v>200</v>
      </c>
      <c r="C349" s="713"/>
      <c r="D349" s="713"/>
      <c r="E349" s="713"/>
      <c r="F349" s="336">
        <f>0.57*X2</f>
        <v>735.3</v>
      </c>
      <c r="G349" s="283">
        <f t="shared" si="1039"/>
        <v>735.3</v>
      </c>
      <c r="H349" s="500"/>
      <c r="I349" s="501"/>
      <c r="J349" s="92"/>
      <c r="K349" s="283"/>
      <c r="L349" s="406">
        <f t="shared" ref="L349:L363" si="1047">F349+160</f>
        <v>895.3</v>
      </c>
      <c r="M349" s="258">
        <f t="shared" ref="M349" si="1048">+L349*$X$1</f>
        <v>895.3</v>
      </c>
      <c r="N349" s="406">
        <f t="shared" ref="N349:N363" si="1049">F349+100</f>
        <v>835.3</v>
      </c>
      <c r="O349" s="258">
        <f t="shared" ref="O349" si="1050">+N349*$X$1</f>
        <v>835.3</v>
      </c>
      <c r="P349" s="406">
        <f t="shared" ref="P349:P355" si="1051">F349+75</f>
        <v>810.3</v>
      </c>
      <c r="Q349" s="258">
        <f t="shared" ref="Q349" si="1052">+P349*$X$1</f>
        <v>810.3</v>
      </c>
      <c r="R349" s="406">
        <f t="shared" ref="R349:R355" si="1053">F349+65</f>
        <v>800.3</v>
      </c>
      <c r="S349" s="258">
        <f t="shared" ref="S349" si="1054">+R349*$X$1</f>
        <v>800.3</v>
      </c>
      <c r="T349" s="92">
        <f t="shared" ref="T349:T355" si="1055">F349+50</f>
        <v>785.3</v>
      </c>
      <c r="U349" s="272">
        <f t="shared" ref="U349" si="1056">+T349*$X$1</f>
        <v>785.3</v>
      </c>
      <c r="V349" s="92">
        <f t="shared" ref="V349:V355" si="1057">F349+38</f>
        <v>773.3</v>
      </c>
      <c r="W349" s="272">
        <f t="shared" ref="W349" si="1058">+V349*$X$1</f>
        <v>773.3</v>
      </c>
      <c r="X349" s="119"/>
      <c r="Y349" s="119"/>
      <c r="Z349" s="119"/>
      <c r="AA349" s="119"/>
      <c r="AB349" s="367">
        <v>2153</v>
      </c>
      <c r="AC349" s="62"/>
    </row>
    <row r="350" spans="1:34" ht="12.6" customHeight="1" x14ac:dyDescent="0.2">
      <c r="A350" s="17"/>
      <c r="B350" s="654" t="s">
        <v>345</v>
      </c>
      <c r="C350" s="655"/>
      <c r="D350" s="655"/>
      <c r="E350" s="655"/>
      <c r="F350" s="333">
        <f>0.43*X2</f>
        <v>554.70000000000005</v>
      </c>
      <c r="G350" s="257">
        <f t="shared" si="1039"/>
        <v>554.70000000000005</v>
      </c>
      <c r="H350" s="252"/>
      <c r="I350" s="305"/>
      <c r="J350" s="534"/>
      <c r="K350" s="257"/>
      <c r="L350" s="534">
        <f t="shared" si="1047"/>
        <v>714.7</v>
      </c>
      <c r="M350" s="257">
        <f t="shared" ref="M350:M351" si="1059">+L350*$X$1</f>
        <v>714.7</v>
      </c>
      <c r="N350" s="534">
        <f t="shared" si="1049"/>
        <v>654.70000000000005</v>
      </c>
      <c r="O350" s="257">
        <f t="shared" ref="O350:O351" si="1060">+N350*$X$1</f>
        <v>654.70000000000005</v>
      </c>
      <c r="P350" s="534">
        <f t="shared" si="1051"/>
        <v>629.70000000000005</v>
      </c>
      <c r="Q350" s="257">
        <f t="shared" ref="Q350:Q351" si="1061">+P350*$X$1</f>
        <v>629.70000000000005</v>
      </c>
      <c r="R350" s="534">
        <f t="shared" si="1053"/>
        <v>619.70000000000005</v>
      </c>
      <c r="S350" s="257">
        <f t="shared" ref="S350:S351" si="1062">+R350*$X$1</f>
        <v>619.70000000000005</v>
      </c>
      <c r="T350" s="93">
        <f t="shared" si="1055"/>
        <v>604.70000000000005</v>
      </c>
      <c r="U350" s="235">
        <f t="shared" ref="U350:U351" si="1063">+T350*$X$1</f>
        <v>604.70000000000005</v>
      </c>
      <c r="V350" s="93">
        <f t="shared" si="1057"/>
        <v>592.70000000000005</v>
      </c>
      <c r="W350" s="235">
        <f t="shared" ref="W350:W351" si="1064">+V350*$X$1</f>
        <v>592.70000000000005</v>
      </c>
      <c r="X350" s="119"/>
      <c r="Y350" s="126"/>
      <c r="Z350" s="126"/>
      <c r="AA350" s="126"/>
      <c r="AB350" s="366">
        <v>2154</v>
      </c>
      <c r="AC350" s="21"/>
      <c r="AD350" s="21"/>
    </row>
    <row r="351" spans="1:34" ht="12.6" customHeight="1" x14ac:dyDescent="0.2">
      <c r="A351" s="17"/>
      <c r="B351" s="645" t="s">
        <v>346</v>
      </c>
      <c r="C351" s="646"/>
      <c r="D351" s="646"/>
      <c r="E351" s="646"/>
      <c r="F351" s="334">
        <f>0.51*X2</f>
        <v>657.9</v>
      </c>
      <c r="G351" s="258">
        <f t="shared" si="1039"/>
        <v>657.9</v>
      </c>
      <c r="H351" s="251"/>
      <c r="I351" s="306"/>
      <c r="J351" s="406"/>
      <c r="K351" s="258"/>
      <c r="L351" s="406">
        <f t="shared" si="1047"/>
        <v>817.9</v>
      </c>
      <c r="M351" s="258">
        <f t="shared" si="1059"/>
        <v>817.9</v>
      </c>
      <c r="N351" s="406">
        <f t="shared" si="1049"/>
        <v>757.9</v>
      </c>
      <c r="O351" s="258">
        <f t="shared" si="1060"/>
        <v>757.9</v>
      </c>
      <c r="P351" s="406">
        <f t="shared" si="1051"/>
        <v>732.9</v>
      </c>
      <c r="Q351" s="258">
        <f t="shared" si="1061"/>
        <v>732.9</v>
      </c>
      <c r="R351" s="406">
        <f t="shared" si="1053"/>
        <v>722.9</v>
      </c>
      <c r="S351" s="258">
        <f t="shared" si="1062"/>
        <v>722.9</v>
      </c>
      <c r="T351" s="92">
        <f t="shared" si="1055"/>
        <v>707.9</v>
      </c>
      <c r="U351" s="272">
        <f t="shared" si="1063"/>
        <v>707.9</v>
      </c>
      <c r="V351" s="92">
        <f t="shared" si="1057"/>
        <v>695.9</v>
      </c>
      <c r="W351" s="272">
        <f t="shared" si="1064"/>
        <v>695.9</v>
      </c>
      <c r="X351" s="138"/>
      <c r="Y351" s="119"/>
      <c r="Z351" s="126"/>
      <c r="AA351" s="126"/>
      <c r="AB351" s="366">
        <v>2156</v>
      </c>
      <c r="AC351" s="21"/>
      <c r="AD351" s="21"/>
    </row>
    <row r="352" spans="1:34" ht="12.6" customHeight="1" x14ac:dyDescent="0.2">
      <c r="A352" s="17"/>
      <c r="B352" s="659" t="s">
        <v>201</v>
      </c>
      <c r="C352" s="707"/>
      <c r="D352" s="707"/>
      <c r="E352" s="708"/>
      <c r="F352" s="333">
        <f>0.43*X2</f>
        <v>554.70000000000005</v>
      </c>
      <c r="G352" s="257">
        <f t="shared" ref="G352" si="1065">+F352*$X$1</f>
        <v>554.70000000000005</v>
      </c>
      <c r="H352" s="252"/>
      <c r="I352" s="305"/>
      <c r="J352" s="534"/>
      <c r="K352" s="257"/>
      <c r="L352" s="534">
        <f t="shared" si="1047"/>
        <v>714.7</v>
      </c>
      <c r="M352" s="257">
        <f t="shared" ref="M352:M356" si="1066">+L352*$X$1</f>
        <v>714.7</v>
      </c>
      <c r="N352" s="534">
        <f t="shared" si="1049"/>
        <v>654.70000000000005</v>
      </c>
      <c r="O352" s="257">
        <f t="shared" ref="O352:O356" si="1067">+N352*$X$1</f>
        <v>654.70000000000005</v>
      </c>
      <c r="P352" s="534">
        <f t="shared" si="1051"/>
        <v>629.70000000000005</v>
      </c>
      <c r="Q352" s="257">
        <f t="shared" ref="Q352:Q355" si="1068">+P352*$X$1</f>
        <v>629.70000000000005</v>
      </c>
      <c r="R352" s="534">
        <f t="shared" si="1053"/>
        <v>619.70000000000005</v>
      </c>
      <c r="S352" s="257">
        <f t="shared" ref="S352:S355" si="1069">+R352*$X$1</f>
        <v>619.70000000000005</v>
      </c>
      <c r="T352" s="93">
        <f t="shared" si="1055"/>
        <v>604.70000000000005</v>
      </c>
      <c r="U352" s="235">
        <f t="shared" ref="U352:U355" si="1070">+T352*$X$1</f>
        <v>604.70000000000005</v>
      </c>
      <c r="V352" s="93">
        <f t="shared" si="1057"/>
        <v>592.70000000000005</v>
      </c>
      <c r="W352" s="235">
        <f t="shared" ref="W352:W355" si="1071">+V352*$X$1</f>
        <v>592.70000000000005</v>
      </c>
      <c r="X352" s="119"/>
      <c r="Y352" s="126"/>
      <c r="Z352" s="126"/>
      <c r="AA352" s="126"/>
      <c r="AB352" s="366">
        <v>2160</v>
      </c>
      <c r="AC352" s="21"/>
      <c r="AD352" s="21"/>
      <c r="AH352" s="61"/>
    </row>
    <row r="353" spans="1:31" ht="12.6" customHeight="1" x14ac:dyDescent="0.2">
      <c r="A353" s="88"/>
      <c r="B353" s="673" t="s">
        <v>202</v>
      </c>
      <c r="C353" s="674"/>
      <c r="D353" s="674"/>
      <c r="E353" s="675"/>
      <c r="F353" s="334">
        <f>0.47*X2</f>
        <v>606.29999999999995</v>
      </c>
      <c r="G353" s="272">
        <f t="shared" ref="G353" si="1072">+F353*$X$1</f>
        <v>606.29999999999995</v>
      </c>
      <c r="H353" s="406"/>
      <c r="I353" s="406"/>
      <c r="J353" s="109"/>
      <c r="K353" s="258"/>
      <c r="L353" s="406">
        <f t="shared" si="1047"/>
        <v>766.3</v>
      </c>
      <c r="M353" s="258">
        <f t="shared" si="1066"/>
        <v>766.3</v>
      </c>
      <c r="N353" s="406">
        <f t="shared" si="1049"/>
        <v>706.3</v>
      </c>
      <c r="O353" s="258">
        <f t="shared" si="1067"/>
        <v>706.3</v>
      </c>
      <c r="P353" s="406">
        <f t="shared" si="1051"/>
        <v>681.3</v>
      </c>
      <c r="Q353" s="258">
        <f t="shared" si="1068"/>
        <v>681.3</v>
      </c>
      <c r="R353" s="406">
        <f t="shared" si="1053"/>
        <v>671.3</v>
      </c>
      <c r="S353" s="258">
        <f t="shared" si="1069"/>
        <v>671.3</v>
      </c>
      <c r="T353" s="92">
        <f t="shared" si="1055"/>
        <v>656.3</v>
      </c>
      <c r="U353" s="272">
        <f t="shared" si="1070"/>
        <v>656.3</v>
      </c>
      <c r="V353" s="92">
        <f t="shared" si="1057"/>
        <v>644.29999999999995</v>
      </c>
      <c r="W353" s="272">
        <f t="shared" si="1071"/>
        <v>644.29999999999995</v>
      </c>
      <c r="X353" s="119"/>
      <c r="Y353" s="126"/>
      <c r="Z353" s="126"/>
      <c r="AA353" s="126"/>
      <c r="AB353" s="353">
        <v>2174</v>
      </c>
      <c r="AC353" s="63"/>
      <c r="AD353" s="21"/>
    </row>
    <row r="354" spans="1:31" ht="12.6" customHeight="1" x14ac:dyDescent="0.2">
      <c r="A354" s="88"/>
      <c r="B354" s="791" t="s">
        <v>203</v>
      </c>
      <c r="C354" s="792"/>
      <c r="D354" s="792"/>
      <c r="E354" s="793"/>
      <c r="F354" s="333">
        <f>0.47*X2</f>
        <v>606.29999999999995</v>
      </c>
      <c r="G354" s="235">
        <f>+F354*$X$1</f>
        <v>606.29999999999995</v>
      </c>
      <c r="H354" s="534"/>
      <c r="I354" s="534"/>
      <c r="J354" s="110"/>
      <c r="K354" s="257"/>
      <c r="L354" s="534">
        <f t="shared" si="1047"/>
        <v>766.3</v>
      </c>
      <c r="M354" s="257">
        <f t="shared" si="1066"/>
        <v>766.3</v>
      </c>
      <c r="N354" s="534">
        <f t="shared" si="1049"/>
        <v>706.3</v>
      </c>
      <c r="O354" s="257">
        <f t="shared" si="1067"/>
        <v>706.3</v>
      </c>
      <c r="P354" s="534">
        <f t="shared" si="1051"/>
        <v>681.3</v>
      </c>
      <c r="Q354" s="257">
        <f t="shared" si="1068"/>
        <v>681.3</v>
      </c>
      <c r="R354" s="534">
        <f t="shared" si="1053"/>
        <v>671.3</v>
      </c>
      <c r="S354" s="257">
        <f t="shared" si="1069"/>
        <v>671.3</v>
      </c>
      <c r="T354" s="93">
        <f t="shared" si="1055"/>
        <v>656.3</v>
      </c>
      <c r="U354" s="235">
        <f t="shared" si="1070"/>
        <v>656.3</v>
      </c>
      <c r="V354" s="93">
        <f t="shared" si="1057"/>
        <v>644.29999999999995</v>
      </c>
      <c r="W354" s="235">
        <f t="shared" si="1071"/>
        <v>644.29999999999995</v>
      </c>
      <c r="X354" s="119"/>
      <c r="Y354" s="126"/>
      <c r="Z354" s="126"/>
      <c r="AA354" s="126"/>
      <c r="AB354" s="353" t="s">
        <v>310</v>
      </c>
      <c r="AC354" s="63"/>
      <c r="AD354" s="21"/>
    </row>
    <row r="355" spans="1:31" ht="12.6" customHeight="1" x14ac:dyDescent="0.2">
      <c r="A355" s="88"/>
      <c r="B355" s="645" t="s">
        <v>626</v>
      </c>
      <c r="C355" s="646"/>
      <c r="D355" s="646"/>
      <c r="E355" s="646"/>
      <c r="F355" s="334">
        <f>0.49*X2</f>
        <v>632.1</v>
      </c>
      <c r="G355" s="272">
        <f>+F355*$X$1</f>
        <v>632.1</v>
      </c>
      <c r="H355" s="406"/>
      <c r="I355" s="406"/>
      <c r="J355" s="109"/>
      <c r="K355" s="258"/>
      <c r="L355" s="406">
        <f t="shared" si="1047"/>
        <v>792.1</v>
      </c>
      <c r="M355" s="258">
        <f t="shared" si="1066"/>
        <v>792.1</v>
      </c>
      <c r="N355" s="406">
        <f t="shared" si="1049"/>
        <v>732.1</v>
      </c>
      <c r="O355" s="258">
        <f t="shared" si="1067"/>
        <v>732.1</v>
      </c>
      <c r="P355" s="406">
        <f t="shared" si="1051"/>
        <v>707.1</v>
      </c>
      <c r="Q355" s="258">
        <f t="shared" si="1068"/>
        <v>707.1</v>
      </c>
      <c r="R355" s="406">
        <f t="shared" si="1053"/>
        <v>697.1</v>
      </c>
      <c r="S355" s="258">
        <f t="shared" si="1069"/>
        <v>697.1</v>
      </c>
      <c r="T355" s="92">
        <f t="shared" si="1055"/>
        <v>682.1</v>
      </c>
      <c r="U355" s="272">
        <f t="shared" si="1070"/>
        <v>682.1</v>
      </c>
      <c r="V355" s="92">
        <f t="shared" si="1057"/>
        <v>670.1</v>
      </c>
      <c r="W355" s="272">
        <f t="shared" si="1071"/>
        <v>670.1</v>
      </c>
      <c r="X355" s="119"/>
      <c r="Y355" s="126"/>
      <c r="Z355" s="126"/>
      <c r="AA355" s="126"/>
      <c r="AB355" s="353">
        <v>2180</v>
      </c>
      <c r="AC355" s="21"/>
      <c r="AD355" s="21"/>
    </row>
    <row r="356" spans="1:31" ht="12" customHeight="1" x14ac:dyDescent="0.2">
      <c r="A356" s="170"/>
      <c r="B356" s="659" t="s">
        <v>204</v>
      </c>
      <c r="C356" s="660"/>
      <c r="D356" s="660"/>
      <c r="E356" s="661"/>
      <c r="F356" s="333">
        <f>0.64*X2</f>
        <v>825.6</v>
      </c>
      <c r="G356" s="235">
        <f>+F356*$X$1</f>
        <v>825.6</v>
      </c>
      <c r="H356" s="534"/>
      <c r="I356" s="534"/>
      <c r="J356" s="110"/>
      <c r="K356" s="257"/>
      <c r="L356" s="534">
        <f t="shared" si="1047"/>
        <v>985.6</v>
      </c>
      <c r="M356" s="257">
        <f t="shared" si="1066"/>
        <v>985.6</v>
      </c>
      <c r="N356" s="534">
        <f t="shared" si="1049"/>
        <v>925.6</v>
      </c>
      <c r="O356" s="257">
        <f t="shared" si="1067"/>
        <v>925.6</v>
      </c>
      <c r="P356" s="534"/>
      <c r="Q356" s="257"/>
      <c r="R356" s="534"/>
      <c r="S356" s="257"/>
      <c r="T356" s="93"/>
      <c r="U356" s="235"/>
      <c r="V356" s="93"/>
      <c r="W356" s="235"/>
      <c r="X356" s="119"/>
      <c r="Y356" s="119"/>
      <c r="Z356" s="119"/>
      <c r="AA356" s="119"/>
      <c r="AB356" s="353">
        <v>2184</v>
      </c>
    </row>
    <row r="357" spans="1:31" ht="12" customHeight="1" x14ac:dyDescent="0.2">
      <c r="A357" s="170"/>
      <c r="B357" s="656" t="s">
        <v>205</v>
      </c>
      <c r="C357" s="669"/>
      <c r="D357" s="669"/>
      <c r="E357" s="670"/>
      <c r="F357" s="334">
        <f>0.64*X2</f>
        <v>825.6</v>
      </c>
      <c r="G357" s="272">
        <f>+F357*$X$1</f>
        <v>825.6</v>
      </c>
      <c r="H357" s="406"/>
      <c r="I357" s="406"/>
      <c r="J357" s="109"/>
      <c r="K357" s="258"/>
      <c r="L357" s="406">
        <f t="shared" si="1047"/>
        <v>985.6</v>
      </c>
      <c r="M357" s="258">
        <f t="shared" ref="M357:M359" si="1073">+L357*$X$1</f>
        <v>985.6</v>
      </c>
      <c r="N357" s="406">
        <f t="shared" si="1049"/>
        <v>925.6</v>
      </c>
      <c r="O357" s="258">
        <f t="shared" ref="O357:O359" si="1074">+N357*$X$1</f>
        <v>925.6</v>
      </c>
      <c r="P357" s="406">
        <f t="shared" ref="P357:P363" si="1075">F357+75</f>
        <v>900.6</v>
      </c>
      <c r="Q357" s="258">
        <f t="shared" ref="Q357:Q359" si="1076">+P357*$X$1</f>
        <v>900.6</v>
      </c>
      <c r="R357" s="406">
        <f t="shared" ref="R357:R361" si="1077">F357+65</f>
        <v>890.6</v>
      </c>
      <c r="S357" s="258">
        <f t="shared" ref="S357:S359" si="1078">+R357*$X$1</f>
        <v>890.6</v>
      </c>
      <c r="T357" s="92">
        <f t="shared" ref="T357:T361" si="1079">F357+50</f>
        <v>875.6</v>
      </c>
      <c r="U357" s="272">
        <f t="shared" ref="U357:U359" si="1080">+T357*$X$1</f>
        <v>875.6</v>
      </c>
      <c r="V357" s="92">
        <f t="shared" ref="V357:V361" si="1081">F357+38</f>
        <v>863.6</v>
      </c>
      <c r="W357" s="272">
        <f t="shared" ref="W357:W359" si="1082">+V357*$X$1</f>
        <v>863.6</v>
      </c>
      <c r="X357" s="119"/>
      <c r="Y357" s="119"/>
      <c r="Z357" s="119"/>
      <c r="AA357" s="119"/>
      <c r="AB357" s="353" t="s">
        <v>206</v>
      </c>
    </row>
    <row r="358" spans="1:31" ht="12" customHeight="1" x14ac:dyDescent="0.2">
      <c r="A358" s="88"/>
      <c r="B358" s="659" t="s">
        <v>207</v>
      </c>
      <c r="C358" s="707"/>
      <c r="D358" s="707"/>
      <c r="E358" s="708"/>
      <c r="F358" s="333">
        <f>0.34*X2</f>
        <v>438.6</v>
      </c>
      <c r="G358" s="235">
        <f>+F358*$X$1</f>
        <v>438.6</v>
      </c>
      <c r="H358" s="534"/>
      <c r="I358" s="534"/>
      <c r="J358" s="110"/>
      <c r="K358" s="257"/>
      <c r="L358" s="534">
        <f t="shared" si="1047"/>
        <v>598.6</v>
      </c>
      <c r="M358" s="257">
        <f t="shared" si="1073"/>
        <v>598.6</v>
      </c>
      <c r="N358" s="534">
        <f t="shared" si="1049"/>
        <v>538.6</v>
      </c>
      <c r="O358" s="257">
        <f t="shared" si="1074"/>
        <v>538.6</v>
      </c>
      <c r="P358" s="534">
        <f t="shared" si="1075"/>
        <v>513.6</v>
      </c>
      <c r="Q358" s="257">
        <f t="shared" si="1076"/>
        <v>513.6</v>
      </c>
      <c r="R358" s="534">
        <f t="shared" si="1077"/>
        <v>503.6</v>
      </c>
      <c r="S358" s="257">
        <f t="shared" si="1078"/>
        <v>503.6</v>
      </c>
      <c r="T358" s="93">
        <f t="shared" si="1079"/>
        <v>488.6</v>
      </c>
      <c r="U358" s="235">
        <f t="shared" si="1080"/>
        <v>488.6</v>
      </c>
      <c r="V358" s="93">
        <f t="shared" si="1081"/>
        <v>476.6</v>
      </c>
      <c r="W358" s="235">
        <f t="shared" si="1082"/>
        <v>476.6</v>
      </c>
      <c r="X358" s="119"/>
      <c r="Y358" s="119"/>
      <c r="Z358" s="119"/>
      <c r="AA358" s="119"/>
      <c r="AB358" s="353">
        <v>2189</v>
      </c>
    </row>
    <row r="359" spans="1:31" ht="12.6" customHeight="1" x14ac:dyDescent="0.2">
      <c r="A359" s="88"/>
      <c r="B359" s="656" t="s">
        <v>208</v>
      </c>
      <c r="C359" s="669"/>
      <c r="D359" s="669"/>
      <c r="E359" s="670"/>
      <c r="F359" s="334">
        <f>0.54*X2</f>
        <v>696.6</v>
      </c>
      <c r="G359" s="272">
        <f t="shared" ref="G359" si="1083">+F359*$X$1</f>
        <v>696.6</v>
      </c>
      <c r="H359" s="406"/>
      <c r="I359" s="406"/>
      <c r="J359" s="109"/>
      <c r="K359" s="258"/>
      <c r="L359" s="406">
        <f t="shared" si="1047"/>
        <v>856.6</v>
      </c>
      <c r="M359" s="258">
        <f t="shared" si="1073"/>
        <v>856.6</v>
      </c>
      <c r="N359" s="406">
        <f t="shared" si="1049"/>
        <v>796.6</v>
      </c>
      <c r="O359" s="258">
        <f t="shared" si="1074"/>
        <v>796.6</v>
      </c>
      <c r="P359" s="406">
        <f t="shared" si="1075"/>
        <v>771.6</v>
      </c>
      <c r="Q359" s="258">
        <f t="shared" si="1076"/>
        <v>771.6</v>
      </c>
      <c r="R359" s="406">
        <f t="shared" si="1077"/>
        <v>761.6</v>
      </c>
      <c r="S359" s="258">
        <f t="shared" si="1078"/>
        <v>761.6</v>
      </c>
      <c r="T359" s="92">
        <f t="shared" si="1079"/>
        <v>746.6</v>
      </c>
      <c r="U359" s="272">
        <f t="shared" si="1080"/>
        <v>746.6</v>
      </c>
      <c r="V359" s="92">
        <f t="shared" si="1081"/>
        <v>734.6</v>
      </c>
      <c r="W359" s="272">
        <f t="shared" si="1082"/>
        <v>734.6</v>
      </c>
      <c r="X359" s="119"/>
      <c r="Y359" s="119"/>
      <c r="Z359" s="119"/>
      <c r="AA359" s="119"/>
      <c r="AB359" s="353">
        <v>2190</v>
      </c>
    </row>
    <row r="360" spans="1:31" ht="12.6" customHeight="1" x14ac:dyDescent="0.2">
      <c r="A360" s="17"/>
      <c r="B360" s="654" t="s">
        <v>209</v>
      </c>
      <c r="C360" s="655"/>
      <c r="D360" s="655"/>
      <c r="E360" s="655"/>
      <c r="F360" s="333">
        <f>0.503*X2</f>
        <v>648.87</v>
      </c>
      <c r="G360" s="235">
        <f>+F360*$X$1</f>
        <v>648.87</v>
      </c>
      <c r="H360" s="559"/>
      <c r="I360" s="559"/>
      <c r="J360" s="110"/>
      <c r="K360" s="257"/>
      <c r="L360" s="559">
        <f t="shared" si="1047"/>
        <v>808.87</v>
      </c>
      <c r="M360" s="257">
        <f t="shared" ref="M360:M362" si="1084">+L360*$X$1</f>
        <v>808.87</v>
      </c>
      <c r="N360" s="559">
        <f t="shared" si="1049"/>
        <v>748.87</v>
      </c>
      <c r="O360" s="257">
        <f t="shared" ref="O360:O362" si="1085">+N360*$X$1</f>
        <v>748.87</v>
      </c>
      <c r="P360" s="559">
        <f t="shared" si="1075"/>
        <v>723.87</v>
      </c>
      <c r="Q360" s="257">
        <f t="shared" ref="Q360:Q362" si="1086">+P360*$X$1</f>
        <v>723.87</v>
      </c>
      <c r="R360" s="559">
        <f t="shared" si="1077"/>
        <v>713.87</v>
      </c>
      <c r="S360" s="257">
        <f t="shared" ref="S360:S361" si="1087">+R360*$X$1</f>
        <v>713.87</v>
      </c>
      <c r="T360" s="93">
        <f t="shared" si="1079"/>
        <v>698.87</v>
      </c>
      <c r="U360" s="235">
        <f t="shared" ref="U360:U361" si="1088">+T360*$X$1</f>
        <v>698.87</v>
      </c>
      <c r="V360" s="93">
        <f t="shared" si="1081"/>
        <v>686.87</v>
      </c>
      <c r="W360" s="235">
        <f t="shared" ref="W360:W361" si="1089">+V360*$X$1</f>
        <v>686.87</v>
      </c>
      <c r="X360" s="119"/>
      <c r="Y360" s="119"/>
      <c r="Z360" s="119"/>
      <c r="AA360" s="119"/>
      <c r="AB360" s="353">
        <v>2194</v>
      </c>
    </row>
    <row r="361" spans="1:31" ht="12.6" customHeight="1" x14ac:dyDescent="0.2">
      <c r="A361" s="17"/>
      <c r="B361" s="721" t="s">
        <v>210</v>
      </c>
      <c r="C361" s="722"/>
      <c r="D361" s="722"/>
      <c r="E361" s="723"/>
      <c r="F361" s="334">
        <f>0.596*X2</f>
        <v>768.83999999999992</v>
      </c>
      <c r="G361" s="272">
        <f>+F361*$X$1</f>
        <v>768.83999999999992</v>
      </c>
      <c r="H361" s="576"/>
      <c r="I361" s="576"/>
      <c r="J361" s="109"/>
      <c r="K361" s="258"/>
      <c r="L361" s="576">
        <f t="shared" si="1047"/>
        <v>928.83999999999992</v>
      </c>
      <c r="M361" s="258">
        <f t="shared" si="1084"/>
        <v>928.83999999999992</v>
      </c>
      <c r="N361" s="576">
        <f t="shared" si="1049"/>
        <v>868.83999999999992</v>
      </c>
      <c r="O361" s="258">
        <f t="shared" si="1085"/>
        <v>868.83999999999992</v>
      </c>
      <c r="P361" s="576">
        <f t="shared" si="1075"/>
        <v>843.83999999999992</v>
      </c>
      <c r="Q361" s="258">
        <f t="shared" si="1086"/>
        <v>843.83999999999992</v>
      </c>
      <c r="R361" s="576">
        <f t="shared" si="1077"/>
        <v>833.83999999999992</v>
      </c>
      <c r="S361" s="258">
        <f t="shared" si="1087"/>
        <v>833.83999999999992</v>
      </c>
      <c r="T361" s="92">
        <f t="shared" si="1079"/>
        <v>818.83999999999992</v>
      </c>
      <c r="U361" s="272">
        <f t="shared" si="1088"/>
        <v>818.83999999999992</v>
      </c>
      <c r="V361" s="92">
        <f t="shared" si="1081"/>
        <v>806.83999999999992</v>
      </c>
      <c r="W361" s="272">
        <f t="shared" si="1089"/>
        <v>806.83999999999992</v>
      </c>
      <c r="X361" s="119"/>
      <c r="Y361" s="119"/>
      <c r="Z361" s="119"/>
      <c r="AA361" s="119"/>
      <c r="AB361" s="353">
        <v>2195</v>
      </c>
    </row>
    <row r="362" spans="1:31" ht="12.6" customHeight="1" x14ac:dyDescent="0.2">
      <c r="A362" s="17"/>
      <c r="B362" s="776" t="s">
        <v>211</v>
      </c>
      <c r="C362" s="788"/>
      <c r="D362" s="788"/>
      <c r="E362" s="788"/>
      <c r="F362" s="473">
        <f>0.35*X2</f>
        <v>451.49999999999994</v>
      </c>
      <c r="G362" s="548">
        <f>+F362*$X$1</f>
        <v>451.49999999999994</v>
      </c>
      <c r="H362" s="607"/>
      <c r="I362" s="607"/>
      <c r="J362" s="607"/>
      <c r="K362" s="469"/>
      <c r="L362" s="607">
        <f t="shared" si="1047"/>
        <v>611.5</v>
      </c>
      <c r="M362" s="469">
        <f t="shared" si="1084"/>
        <v>611.5</v>
      </c>
      <c r="N362" s="607">
        <f t="shared" si="1049"/>
        <v>551.5</v>
      </c>
      <c r="O362" s="469">
        <f t="shared" si="1085"/>
        <v>551.5</v>
      </c>
      <c r="P362" s="607">
        <f t="shared" si="1075"/>
        <v>526.5</v>
      </c>
      <c r="Q362" s="469">
        <f t="shared" si="1086"/>
        <v>526.5</v>
      </c>
      <c r="R362" s="607"/>
      <c r="S362" s="469"/>
      <c r="T362" s="549"/>
      <c r="U362" s="548"/>
      <c r="V362" s="549"/>
      <c r="W362" s="548"/>
      <c r="X362" s="119"/>
      <c r="Y362" s="119"/>
      <c r="Z362" s="119"/>
      <c r="AA362" s="119"/>
      <c r="AB362" s="353">
        <v>2198</v>
      </c>
    </row>
    <row r="363" spans="1:31" ht="12.6" customHeight="1" x14ac:dyDescent="0.2">
      <c r="A363" s="94"/>
      <c r="B363" s="645" t="s">
        <v>301</v>
      </c>
      <c r="C363" s="679"/>
      <c r="D363" s="679"/>
      <c r="E363" s="679"/>
      <c r="F363" s="334">
        <f>0.4*X2</f>
        <v>516</v>
      </c>
      <c r="G363" s="272">
        <f>+F363*$X$1</f>
        <v>516</v>
      </c>
      <c r="H363" s="576"/>
      <c r="I363" s="576"/>
      <c r="J363" s="576"/>
      <c r="K363" s="258"/>
      <c r="L363" s="576">
        <f t="shared" si="1047"/>
        <v>676</v>
      </c>
      <c r="M363" s="258">
        <f t="shared" ref="M363" si="1090">+L363*$X$1</f>
        <v>676</v>
      </c>
      <c r="N363" s="576">
        <f t="shared" si="1049"/>
        <v>616</v>
      </c>
      <c r="O363" s="258">
        <f t="shared" ref="O363" si="1091">+N363*$X$1</f>
        <v>616</v>
      </c>
      <c r="P363" s="576">
        <f t="shared" si="1075"/>
        <v>591</v>
      </c>
      <c r="Q363" s="258">
        <f t="shared" ref="Q363" si="1092">+P363*$X$1</f>
        <v>591</v>
      </c>
      <c r="R363" s="576">
        <f>F363+65</f>
        <v>581</v>
      </c>
      <c r="S363" s="258">
        <f t="shared" ref="S363" si="1093">+R363*$X$1</f>
        <v>581</v>
      </c>
      <c r="T363" s="92">
        <f>F363+50</f>
        <v>566</v>
      </c>
      <c r="U363" s="272">
        <f t="shared" ref="U363" si="1094">+T363*$X$1</f>
        <v>566</v>
      </c>
      <c r="V363" s="92">
        <f>F363+38</f>
        <v>554</v>
      </c>
      <c r="W363" s="272">
        <f t="shared" ref="W363" si="1095">+V363*$X$1</f>
        <v>554</v>
      </c>
      <c r="X363" s="140"/>
      <c r="Y363" s="119"/>
      <c r="Z363" s="119"/>
      <c r="AA363" s="119"/>
      <c r="AB363" s="353">
        <v>2202</v>
      </c>
    </row>
    <row r="364" spans="1:31" ht="12.6" customHeight="1" x14ac:dyDescent="0.2">
      <c r="A364" s="94"/>
      <c r="B364" s="654" t="s">
        <v>302</v>
      </c>
      <c r="C364" s="798"/>
      <c r="D364" s="798"/>
      <c r="E364" s="798"/>
      <c r="F364" s="333">
        <f>0.4*X2</f>
        <v>516</v>
      </c>
      <c r="G364" s="235">
        <f t="shared" ref="G364:G368" si="1096">+F364*$X$1</f>
        <v>516</v>
      </c>
      <c r="H364" s="559"/>
      <c r="I364" s="559"/>
      <c r="J364" s="559"/>
      <c r="K364" s="257"/>
      <c r="L364" s="559">
        <f t="shared" ref="L364:L371" si="1097">F364+160</f>
        <v>676</v>
      </c>
      <c r="M364" s="257">
        <f t="shared" ref="M364:M372" si="1098">+L364*$X$1</f>
        <v>676</v>
      </c>
      <c r="N364" s="559">
        <f t="shared" ref="N364:N371" si="1099">F364+100</f>
        <v>616</v>
      </c>
      <c r="O364" s="257">
        <f t="shared" ref="O364:O371" si="1100">+N364*$X$1</f>
        <v>616</v>
      </c>
      <c r="P364" s="559">
        <f t="shared" ref="P364:P371" si="1101">F364+75</f>
        <v>591</v>
      </c>
      <c r="Q364" s="257">
        <f t="shared" ref="Q364:Q372" si="1102">+P364*$X$1</f>
        <v>591</v>
      </c>
      <c r="R364" s="559">
        <f t="shared" ref="R364:R371" si="1103">F364+65</f>
        <v>581</v>
      </c>
      <c r="S364" s="257">
        <f t="shared" ref="S364:S371" si="1104">+R364*$X$1</f>
        <v>581</v>
      </c>
      <c r="T364" s="93">
        <f t="shared" ref="T364:T371" si="1105">F364+50</f>
        <v>566</v>
      </c>
      <c r="U364" s="235">
        <f t="shared" ref="U364:U372" si="1106">+T364*$X$1</f>
        <v>566</v>
      </c>
      <c r="V364" s="93">
        <f t="shared" ref="V364:V371" si="1107">F364+38</f>
        <v>554</v>
      </c>
      <c r="W364" s="235">
        <f t="shared" ref="W364:W372" si="1108">+V364*$X$1</f>
        <v>554</v>
      </c>
      <c r="X364" s="119"/>
      <c r="Y364" s="119"/>
      <c r="Z364" s="119"/>
      <c r="AA364" s="119"/>
      <c r="AB364" s="353" t="s">
        <v>212</v>
      </c>
    </row>
    <row r="365" spans="1:31" ht="12.6" customHeight="1" x14ac:dyDescent="0.2">
      <c r="A365" s="94"/>
      <c r="B365" s="645" t="s">
        <v>303</v>
      </c>
      <c r="C365" s="679"/>
      <c r="D365" s="679"/>
      <c r="E365" s="679"/>
      <c r="F365" s="334">
        <f>0.4*X2</f>
        <v>516</v>
      </c>
      <c r="G365" s="272">
        <f t="shared" ref="G365:G369" si="1109">+F365*$X$1</f>
        <v>516</v>
      </c>
      <c r="H365" s="576"/>
      <c r="I365" s="576"/>
      <c r="J365" s="576"/>
      <c r="K365" s="283"/>
      <c r="L365" s="576">
        <f t="shared" si="1097"/>
        <v>676</v>
      </c>
      <c r="M365" s="258">
        <f t="shared" si="1098"/>
        <v>676</v>
      </c>
      <c r="N365" s="576">
        <f t="shared" si="1099"/>
        <v>616</v>
      </c>
      <c r="O365" s="258">
        <f t="shared" si="1100"/>
        <v>616</v>
      </c>
      <c r="P365" s="576">
        <f t="shared" si="1101"/>
        <v>591</v>
      </c>
      <c r="Q365" s="258">
        <f t="shared" si="1102"/>
        <v>591</v>
      </c>
      <c r="R365" s="576">
        <f t="shared" si="1103"/>
        <v>581</v>
      </c>
      <c r="S365" s="258">
        <f t="shared" si="1104"/>
        <v>581</v>
      </c>
      <c r="T365" s="92">
        <f t="shared" si="1105"/>
        <v>566</v>
      </c>
      <c r="U365" s="272">
        <f t="shared" si="1106"/>
        <v>566</v>
      </c>
      <c r="V365" s="92">
        <f t="shared" si="1107"/>
        <v>554</v>
      </c>
      <c r="W365" s="272">
        <f t="shared" si="1108"/>
        <v>554</v>
      </c>
      <c r="X365" s="119"/>
      <c r="Y365" s="119"/>
      <c r="Z365" s="119"/>
      <c r="AA365" s="119"/>
      <c r="AB365" s="353" t="s">
        <v>213</v>
      </c>
    </row>
    <row r="366" spans="1:31" ht="12.6" customHeight="1" x14ac:dyDescent="0.2">
      <c r="A366" s="94"/>
      <c r="B366" s="654" t="s">
        <v>785</v>
      </c>
      <c r="C366" s="798"/>
      <c r="D366" s="798"/>
      <c r="E366" s="798"/>
      <c r="F366" s="333">
        <f>0.4*X2</f>
        <v>516</v>
      </c>
      <c r="G366" s="235">
        <f t="shared" ref="G366" si="1110">+F366*$X$1</f>
        <v>516</v>
      </c>
      <c r="H366" s="559"/>
      <c r="I366" s="559"/>
      <c r="J366" s="559"/>
      <c r="K366" s="273"/>
      <c r="L366" s="559">
        <f t="shared" si="1097"/>
        <v>676</v>
      </c>
      <c r="M366" s="257">
        <f t="shared" si="1098"/>
        <v>676</v>
      </c>
      <c r="N366" s="559">
        <f t="shared" si="1099"/>
        <v>616</v>
      </c>
      <c r="O366" s="257">
        <f t="shared" si="1100"/>
        <v>616</v>
      </c>
      <c r="P366" s="559">
        <f t="shared" si="1101"/>
        <v>591</v>
      </c>
      <c r="Q366" s="257">
        <f t="shared" si="1102"/>
        <v>591</v>
      </c>
      <c r="R366" s="559">
        <f t="shared" si="1103"/>
        <v>581</v>
      </c>
      <c r="S366" s="257">
        <f t="shared" si="1104"/>
        <v>581</v>
      </c>
      <c r="T366" s="93">
        <f t="shared" si="1105"/>
        <v>566</v>
      </c>
      <c r="U366" s="235">
        <f t="shared" si="1106"/>
        <v>566</v>
      </c>
      <c r="V366" s="93">
        <f t="shared" si="1107"/>
        <v>554</v>
      </c>
      <c r="W366" s="235">
        <f t="shared" si="1108"/>
        <v>554</v>
      </c>
      <c r="X366" s="119"/>
      <c r="Y366" s="119"/>
      <c r="Z366" s="119"/>
      <c r="AA366" s="119"/>
      <c r="AB366" s="453" t="s">
        <v>784</v>
      </c>
    </row>
    <row r="367" spans="1:31" ht="12.6" customHeight="1" x14ac:dyDescent="0.2">
      <c r="A367" s="94"/>
      <c r="B367" s="742" t="s">
        <v>586</v>
      </c>
      <c r="C367" s="800"/>
      <c r="D367" s="800"/>
      <c r="E367" s="801"/>
      <c r="F367" s="334">
        <f>0.597*X2</f>
        <v>770.13</v>
      </c>
      <c r="G367" s="272">
        <f t="shared" si="1109"/>
        <v>770.13</v>
      </c>
      <c r="H367" s="576"/>
      <c r="I367" s="576"/>
      <c r="J367" s="576"/>
      <c r="K367" s="258"/>
      <c r="L367" s="576">
        <f t="shared" si="1097"/>
        <v>930.13</v>
      </c>
      <c r="M367" s="258">
        <f t="shared" si="1098"/>
        <v>930.13</v>
      </c>
      <c r="N367" s="576">
        <f t="shared" si="1099"/>
        <v>870.13</v>
      </c>
      <c r="O367" s="258">
        <f t="shared" si="1100"/>
        <v>870.13</v>
      </c>
      <c r="P367" s="576">
        <f t="shared" si="1101"/>
        <v>845.13</v>
      </c>
      <c r="Q367" s="258">
        <f t="shared" si="1102"/>
        <v>845.13</v>
      </c>
      <c r="R367" s="576">
        <f t="shared" si="1103"/>
        <v>835.13</v>
      </c>
      <c r="S367" s="258">
        <f t="shared" si="1104"/>
        <v>835.13</v>
      </c>
      <c r="T367" s="92">
        <f t="shared" si="1105"/>
        <v>820.13</v>
      </c>
      <c r="U367" s="272">
        <f t="shared" si="1106"/>
        <v>820.13</v>
      </c>
      <c r="V367" s="92">
        <f t="shared" si="1107"/>
        <v>808.13</v>
      </c>
      <c r="W367" s="272">
        <f t="shared" si="1108"/>
        <v>808.13</v>
      </c>
      <c r="X367" s="638"/>
      <c r="Y367" s="638"/>
      <c r="Z367" s="638"/>
      <c r="AA367" s="640"/>
      <c r="AB367" s="353" t="s">
        <v>590</v>
      </c>
      <c r="AC367" s="62"/>
      <c r="AE367" s="80"/>
    </row>
    <row r="368" spans="1:31" ht="12.6" customHeight="1" x14ac:dyDescent="0.2">
      <c r="A368" s="94"/>
      <c r="B368" s="676" t="s">
        <v>214</v>
      </c>
      <c r="C368" s="795"/>
      <c r="D368" s="795"/>
      <c r="E368" s="796"/>
      <c r="F368" s="333">
        <f>0.67*X2</f>
        <v>864.30000000000007</v>
      </c>
      <c r="G368" s="235">
        <f t="shared" si="1096"/>
        <v>864.30000000000007</v>
      </c>
      <c r="H368" s="559"/>
      <c r="I368" s="559"/>
      <c r="J368" s="559"/>
      <c r="K368" s="257"/>
      <c r="L368" s="559">
        <f t="shared" si="1097"/>
        <v>1024.3000000000002</v>
      </c>
      <c r="M368" s="257">
        <f t="shared" si="1098"/>
        <v>1024.3000000000002</v>
      </c>
      <c r="N368" s="559">
        <f t="shared" si="1099"/>
        <v>964.30000000000007</v>
      </c>
      <c r="O368" s="257">
        <f t="shared" si="1100"/>
        <v>964.30000000000007</v>
      </c>
      <c r="P368" s="559">
        <f t="shared" si="1101"/>
        <v>939.30000000000007</v>
      </c>
      <c r="Q368" s="257">
        <f t="shared" si="1102"/>
        <v>939.30000000000007</v>
      </c>
      <c r="R368" s="559">
        <f t="shared" si="1103"/>
        <v>929.30000000000007</v>
      </c>
      <c r="S368" s="257">
        <f t="shared" si="1104"/>
        <v>929.30000000000007</v>
      </c>
      <c r="T368" s="93">
        <f t="shared" si="1105"/>
        <v>914.30000000000007</v>
      </c>
      <c r="U368" s="235">
        <f t="shared" si="1106"/>
        <v>914.30000000000007</v>
      </c>
      <c r="V368" s="93">
        <f t="shared" si="1107"/>
        <v>902.30000000000007</v>
      </c>
      <c r="W368" s="235">
        <f t="shared" si="1108"/>
        <v>902.30000000000007</v>
      </c>
      <c r="X368" s="638"/>
      <c r="Y368" s="638"/>
      <c r="Z368" s="638"/>
      <c r="AA368" s="640"/>
      <c r="AB368" s="353" t="s">
        <v>215</v>
      </c>
      <c r="AC368" s="62"/>
      <c r="AE368" s="80"/>
    </row>
    <row r="369" spans="1:29" ht="12.6" customHeight="1" x14ac:dyDescent="0.2">
      <c r="A369" s="88"/>
      <c r="B369" s="742" t="s">
        <v>216</v>
      </c>
      <c r="C369" s="789"/>
      <c r="D369" s="789"/>
      <c r="E369" s="790"/>
      <c r="F369" s="334">
        <f>0.6*X2</f>
        <v>774</v>
      </c>
      <c r="G369" s="272">
        <f t="shared" si="1109"/>
        <v>774</v>
      </c>
      <c r="H369" s="576"/>
      <c r="I369" s="576"/>
      <c r="J369" s="576"/>
      <c r="K369" s="258"/>
      <c r="L369" s="576">
        <f t="shared" si="1097"/>
        <v>934</v>
      </c>
      <c r="M369" s="258">
        <f t="shared" si="1098"/>
        <v>934</v>
      </c>
      <c r="N369" s="576">
        <f t="shared" si="1099"/>
        <v>874</v>
      </c>
      <c r="O369" s="258">
        <f t="shared" si="1100"/>
        <v>874</v>
      </c>
      <c r="P369" s="576">
        <f t="shared" si="1101"/>
        <v>849</v>
      </c>
      <c r="Q369" s="258">
        <f t="shared" si="1102"/>
        <v>849</v>
      </c>
      <c r="R369" s="576">
        <f t="shared" si="1103"/>
        <v>839</v>
      </c>
      <c r="S369" s="258">
        <f t="shared" si="1104"/>
        <v>839</v>
      </c>
      <c r="T369" s="92">
        <f t="shared" si="1105"/>
        <v>824</v>
      </c>
      <c r="U369" s="272">
        <f t="shared" si="1106"/>
        <v>824</v>
      </c>
      <c r="V369" s="92">
        <f t="shared" si="1107"/>
        <v>812</v>
      </c>
      <c r="W369" s="272">
        <f t="shared" si="1108"/>
        <v>812</v>
      </c>
      <c r="X369" s="156"/>
      <c r="Y369" s="119"/>
      <c r="Z369" s="119"/>
      <c r="AA369" s="119"/>
      <c r="AB369" s="353">
        <v>2203</v>
      </c>
      <c r="AC369" s="211"/>
    </row>
    <row r="370" spans="1:29" ht="12.6" customHeight="1" x14ac:dyDescent="0.2">
      <c r="A370" s="88"/>
      <c r="B370" s="710" t="s">
        <v>217</v>
      </c>
      <c r="C370" s="724"/>
      <c r="D370" s="724"/>
      <c r="E370" s="724"/>
      <c r="F370" s="333">
        <f>0.708*X2</f>
        <v>913.31999999999994</v>
      </c>
      <c r="G370" s="235">
        <f>+F370*$X$1</f>
        <v>913.31999999999994</v>
      </c>
      <c r="H370" s="559"/>
      <c r="I370" s="559"/>
      <c r="J370" s="559"/>
      <c r="K370" s="257"/>
      <c r="L370" s="559">
        <f t="shared" si="1097"/>
        <v>1073.32</v>
      </c>
      <c r="M370" s="257">
        <f t="shared" si="1098"/>
        <v>1073.32</v>
      </c>
      <c r="N370" s="559">
        <f t="shared" si="1099"/>
        <v>1013.3199999999999</v>
      </c>
      <c r="O370" s="257">
        <f t="shared" si="1100"/>
        <v>1013.3199999999999</v>
      </c>
      <c r="P370" s="559">
        <f t="shared" si="1101"/>
        <v>988.31999999999994</v>
      </c>
      <c r="Q370" s="257">
        <f t="shared" si="1102"/>
        <v>988.31999999999994</v>
      </c>
      <c r="R370" s="559">
        <f t="shared" si="1103"/>
        <v>978.31999999999994</v>
      </c>
      <c r="S370" s="257">
        <f t="shared" si="1104"/>
        <v>978.31999999999994</v>
      </c>
      <c r="T370" s="93">
        <f t="shared" si="1105"/>
        <v>963.31999999999994</v>
      </c>
      <c r="U370" s="235">
        <f t="shared" si="1106"/>
        <v>963.31999999999994</v>
      </c>
      <c r="V370" s="93">
        <f t="shared" si="1107"/>
        <v>951.31999999999994</v>
      </c>
      <c r="W370" s="235">
        <f t="shared" si="1108"/>
        <v>951.31999999999994</v>
      </c>
      <c r="X370" s="157"/>
      <c r="Y370" s="122"/>
      <c r="Z370" s="122"/>
      <c r="AA370" s="125"/>
      <c r="AB370" s="353">
        <v>2205</v>
      </c>
      <c r="AC370" s="62"/>
    </row>
    <row r="371" spans="1:29" ht="12.6" customHeight="1" x14ac:dyDescent="0.2">
      <c r="A371" s="88"/>
      <c r="B371" s="645" t="s">
        <v>218</v>
      </c>
      <c r="C371" s="679"/>
      <c r="D371" s="679"/>
      <c r="E371" s="679"/>
      <c r="F371" s="334">
        <f>0.428*X2</f>
        <v>552.12</v>
      </c>
      <c r="G371" s="272">
        <f>+F371*$X$1</f>
        <v>552.12</v>
      </c>
      <c r="H371" s="576"/>
      <c r="I371" s="576"/>
      <c r="J371" s="576"/>
      <c r="K371" s="258"/>
      <c r="L371" s="576">
        <f t="shared" si="1097"/>
        <v>712.12</v>
      </c>
      <c r="M371" s="258">
        <f t="shared" si="1098"/>
        <v>712.12</v>
      </c>
      <c r="N371" s="576">
        <f t="shared" si="1099"/>
        <v>652.12</v>
      </c>
      <c r="O371" s="258">
        <f t="shared" si="1100"/>
        <v>652.12</v>
      </c>
      <c r="P371" s="576">
        <f t="shared" si="1101"/>
        <v>627.12</v>
      </c>
      <c r="Q371" s="258">
        <f t="shared" si="1102"/>
        <v>627.12</v>
      </c>
      <c r="R371" s="576">
        <f t="shared" si="1103"/>
        <v>617.12</v>
      </c>
      <c r="S371" s="258">
        <f t="shared" si="1104"/>
        <v>617.12</v>
      </c>
      <c r="T371" s="92">
        <f t="shared" si="1105"/>
        <v>602.12</v>
      </c>
      <c r="U371" s="272">
        <f t="shared" si="1106"/>
        <v>602.12</v>
      </c>
      <c r="V371" s="92">
        <f t="shared" si="1107"/>
        <v>590.12</v>
      </c>
      <c r="W371" s="272">
        <f t="shared" si="1108"/>
        <v>590.12</v>
      </c>
      <c r="X371" s="122"/>
      <c r="Y371" s="122"/>
      <c r="Z371" s="122"/>
      <c r="AA371" s="125"/>
      <c r="AB371" s="353">
        <v>2207</v>
      </c>
    </row>
    <row r="372" spans="1:29" ht="12.6" customHeight="1" x14ac:dyDescent="0.2">
      <c r="A372" s="88"/>
      <c r="B372" s="731" t="s">
        <v>219</v>
      </c>
      <c r="C372" s="732"/>
      <c r="D372" s="732"/>
      <c r="E372" s="732"/>
      <c r="F372" s="333">
        <f>4.17*X2</f>
        <v>5379.3</v>
      </c>
      <c r="G372" s="257">
        <f t="shared" ref="G372" si="1111">+F372*$X$1</f>
        <v>5379.3</v>
      </c>
      <c r="H372" s="559">
        <f t="shared" ref="H372" si="1112">F372+600</f>
        <v>5979.3</v>
      </c>
      <c r="I372" s="257">
        <f t="shared" ref="I372" si="1113">+H372*$X$1</f>
        <v>5979.3</v>
      </c>
      <c r="J372" s="559">
        <f t="shared" ref="J372" si="1114">F372+200</f>
        <v>5579.3</v>
      </c>
      <c r="K372" s="257">
        <f t="shared" ref="K372" si="1115">+J372*$X$1</f>
        <v>5579.3</v>
      </c>
      <c r="L372" s="559">
        <f>F372+150</f>
        <v>5529.3</v>
      </c>
      <c r="M372" s="257">
        <f t="shared" si="1098"/>
        <v>5529.3</v>
      </c>
      <c r="N372" s="559">
        <f>F372+110</f>
        <v>5489.3</v>
      </c>
      <c r="O372" s="257">
        <f>+N372*$X$1</f>
        <v>5489.3</v>
      </c>
      <c r="P372" s="559">
        <f>F372+90</f>
        <v>5469.3</v>
      </c>
      <c r="Q372" s="257">
        <f t="shared" si="1102"/>
        <v>5469.3</v>
      </c>
      <c r="R372" s="559">
        <f>F372+70</f>
        <v>5449.3</v>
      </c>
      <c r="S372" s="257">
        <f>+R372*$X$1</f>
        <v>5449.3</v>
      </c>
      <c r="T372" s="559">
        <f>F372+56</f>
        <v>5435.3</v>
      </c>
      <c r="U372" s="257">
        <f t="shared" si="1106"/>
        <v>5435.3</v>
      </c>
      <c r="V372" s="559">
        <f>F372+49</f>
        <v>5428.3</v>
      </c>
      <c r="W372" s="257">
        <f t="shared" si="1108"/>
        <v>5428.3</v>
      </c>
      <c r="X372" s="653"/>
      <c r="Y372" s="638"/>
      <c r="Z372" s="638"/>
      <c r="AA372" s="640"/>
      <c r="AB372" s="353">
        <v>2216</v>
      </c>
      <c r="AC372" s="62"/>
    </row>
    <row r="373" spans="1:29" ht="12.6" customHeight="1" x14ac:dyDescent="0.2">
      <c r="A373" s="94"/>
      <c r="B373" s="776" t="s">
        <v>331</v>
      </c>
      <c r="C373" s="788"/>
      <c r="D373" s="788"/>
      <c r="E373" s="788"/>
      <c r="F373" s="473">
        <v>1350</v>
      </c>
      <c r="G373" s="469">
        <f>+F373*$X$1</f>
        <v>1350</v>
      </c>
      <c r="H373" s="532">
        <f t="shared" ref="H373" si="1116">F373+600</f>
        <v>1950</v>
      </c>
      <c r="I373" s="469">
        <f t="shared" ref="I373" si="1117">+H373*$X$1</f>
        <v>1950</v>
      </c>
      <c r="J373" s="532">
        <f t="shared" ref="J373" si="1118">F373+200</f>
        <v>1550</v>
      </c>
      <c r="K373" s="469">
        <f t="shared" ref="K373" si="1119">+J373*$X$1</f>
        <v>1550</v>
      </c>
      <c r="L373" s="532">
        <f>F373+150</f>
        <v>1500</v>
      </c>
      <c r="M373" s="469">
        <f t="shared" ref="M373" si="1120">+L373*$X$1</f>
        <v>1500</v>
      </c>
      <c r="N373" s="532">
        <f>F373+110</f>
        <v>1460</v>
      </c>
      <c r="O373" s="469">
        <f>+N373*$X$1</f>
        <v>1460</v>
      </c>
      <c r="P373" s="471"/>
      <c r="Q373" s="1181" t="s">
        <v>141</v>
      </c>
      <c r="R373" s="1182"/>
      <c r="S373" s="1182"/>
      <c r="T373" s="1182"/>
      <c r="U373" s="1182"/>
      <c r="V373" s="1182"/>
      <c r="W373" s="1183"/>
      <c r="X373" s="653"/>
      <c r="Y373" s="638"/>
      <c r="Z373" s="638"/>
      <c r="AA373" s="640"/>
      <c r="AB373" s="353">
        <v>2222</v>
      </c>
    </row>
    <row r="374" spans="1:29" ht="12.6" customHeight="1" x14ac:dyDescent="0.2">
      <c r="A374" s="17"/>
      <c r="B374" s="676" t="s">
        <v>632</v>
      </c>
      <c r="C374" s="677"/>
      <c r="D374" s="677"/>
      <c r="E374" s="678"/>
      <c r="F374" s="337">
        <f>0.553*X2</f>
        <v>713.37</v>
      </c>
      <c r="G374" s="257">
        <f t="shared" ref="G374" si="1121">+F374*$X$1</f>
        <v>713.37</v>
      </c>
      <c r="H374" s="252"/>
      <c r="I374" s="252"/>
      <c r="J374" s="534"/>
      <c r="K374" s="534"/>
      <c r="L374" s="534">
        <f t="shared" ref="L374:L376" si="1122">F374+160</f>
        <v>873.37</v>
      </c>
      <c r="M374" s="257">
        <f t="shared" ref="M374:M377" si="1123">+L374*$X$1</f>
        <v>873.37</v>
      </c>
      <c r="N374" s="534">
        <f t="shared" ref="N374:N376" si="1124">F374+100</f>
        <v>813.37</v>
      </c>
      <c r="O374" s="257">
        <f t="shared" ref="O374:O377" si="1125">+N374*$X$1</f>
        <v>813.37</v>
      </c>
      <c r="P374" s="534">
        <f t="shared" ref="P374:P376" si="1126">F374+75</f>
        <v>788.37</v>
      </c>
      <c r="Q374" s="257">
        <f t="shared" ref="Q374:Q377" si="1127">+P374*$X$1</f>
        <v>788.37</v>
      </c>
      <c r="R374" s="534">
        <f t="shared" ref="R374:R376" si="1128">F374+65</f>
        <v>778.37</v>
      </c>
      <c r="S374" s="257">
        <f t="shared" ref="S374:S377" si="1129">+R374*$X$1</f>
        <v>778.37</v>
      </c>
      <c r="T374" s="93">
        <f t="shared" ref="T374:T376" si="1130">F374+50</f>
        <v>763.37</v>
      </c>
      <c r="U374" s="235">
        <f t="shared" ref="U374:U377" si="1131">+T374*$X$1</f>
        <v>763.37</v>
      </c>
      <c r="V374" s="93">
        <f t="shared" ref="V374:V376" si="1132">F374+38</f>
        <v>751.37</v>
      </c>
      <c r="W374" s="235">
        <f t="shared" ref="W374:W376" si="1133">+V374*$X$1</f>
        <v>751.37</v>
      </c>
      <c r="X374" s="391"/>
      <c r="Y374" s="390"/>
      <c r="Z374" s="390"/>
      <c r="AA374" s="391"/>
      <c r="AB374" s="353">
        <v>2231</v>
      </c>
      <c r="AC374" s="62"/>
    </row>
    <row r="375" spans="1:29" ht="12.6" customHeight="1" x14ac:dyDescent="0.2">
      <c r="A375" s="17"/>
      <c r="B375" s="742" t="s">
        <v>643</v>
      </c>
      <c r="C375" s="743"/>
      <c r="D375" s="743"/>
      <c r="E375" s="744"/>
      <c r="F375" s="336">
        <f>0.566*X2</f>
        <v>730.14</v>
      </c>
      <c r="G375" s="258">
        <f t="shared" ref="G375" si="1134">+F375*$X$1</f>
        <v>730.14</v>
      </c>
      <c r="H375" s="251"/>
      <c r="I375" s="251"/>
      <c r="J375" s="406"/>
      <c r="K375" s="406"/>
      <c r="L375" s="406">
        <f t="shared" si="1122"/>
        <v>890.14</v>
      </c>
      <c r="M375" s="258">
        <f t="shared" si="1123"/>
        <v>890.14</v>
      </c>
      <c r="N375" s="406">
        <f t="shared" si="1124"/>
        <v>830.14</v>
      </c>
      <c r="O375" s="258">
        <f t="shared" si="1125"/>
        <v>830.14</v>
      </c>
      <c r="P375" s="406">
        <f t="shared" si="1126"/>
        <v>805.14</v>
      </c>
      <c r="Q375" s="258">
        <f t="shared" si="1127"/>
        <v>805.14</v>
      </c>
      <c r="R375" s="406">
        <f t="shared" si="1128"/>
        <v>795.14</v>
      </c>
      <c r="S375" s="258">
        <f t="shared" si="1129"/>
        <v>795.14</v>
      </c>
      <c r="T375" s="92">
        <f t="shared" si="1130"/>
        <v>780.14</v>
      </c>
      <c r="U375" s="272">
        <f t="shared" si="1131"/>
        <v>780.14</v>
      </c>
      <c r="V375" s="92">
        <f t="shared" si="1132"/>
        <v>768.14</v>
      </c>
      <c r="W375" s="272">
        <f t="shared" si="1133"/>
        <v>768.14</v>
      </c>
      <c r="X375" s="396"/>
      <c r="Y375" s="395"/>
      <c r="Z375" s="395"/>
      <c r="AA375" s="396"/>
      <c r="AB375" s="353">
        <v>2232</v>
      </c>
      <c r="AC375" s="62"/>
    </row>
    <row r="376" spans="1:29" ht="12.6" customHeight="1" x14ac:dyDescent="0.2">
      <c r="A376" s="17"/>
      <c r="B376" s="676" t="s">
        <v>713</v>
      </c>
      <c r="C376" s="677"/>
      <c r="D376" s="677"/>
      <c r="E376" s="678"/>
      <c r="F376" s="337">
        <f>0.79*X2</f>
        <v>1019.1</v>
      </c>
      <c r="G376" s="257">
        <f t="shared" ref="G376" si="1135">+F376*$X$1</f>
        <v>1019.1</v>
      </c>
      <c r="H376" s="252"/>
      <c r="I376" s="252"/>
      <c r="J376" s="534"/>
      <c r="K376" s="534"/>
      <c r="L376" s="534">
        <f t="shared" si="1122"/>
        <v>1179.0999999999999</v>
      </c>
      <c r="M376" s="257">
        <f t="shared" si="1123"/>
        <v>1179.0999999999999</v>
      </c>
      <c r="N376" s="534">
        <f t="shared" si="1124"/>
        <v>1119.0999999999999</v>
      </c>
      <c r="O376" s="257">
        <f t="shared" si="1125"/>
        <v>1119.0999999999999</v>
      </c>
      <c r="P376" s="534">
        <f t="shared" si="1126"/>
        <v>1094.0999999999999</v>
      </c>
      <c r="Q376" s="257">
        <f t="shared" si="1127"/>
        <v>1094.0999999999999</v>
      </c>
      <c r="R376" s="534">
        <f t="shared" si="1128"/>
        <v>1084.0999999999999</v>
      </c>
      <c r="S376" s="257">
        <f t="shared" si="1129"/>
        <v>1084.0999999999999</v>
      </c>
      <c r="T376" s="93">
        <f t="shared" si="1130"/>
        <v>1069.0999999999999</v>
      </c>
      <c r="U376" s="235">
        <f t="shared" si="1131"/>
        <v>1069.0999999999999</v>
      </c>
      <c r="V376" s="93">
        <f t="shared" si="1132"/>
        <v>1057.0999999999999</v>
      </c>
      <c r="W376" s="235">
        <f t="shared" si="1133"/>
        <v>1057.0999999999999</v>
      </c>
      <c r="X376" s="396"/>
      <c r="Y376" s="395"/>
      <c r="Z376" s="395"/>
      <c r="AA376" s="396"/>
      <c r="AB376" s="353">
        <v>2233</v>
      </c>
      <c r="AC376" s="62"/>
    </row>
    <row r="377" spans="1:29" ht="12.6" customHeight="1" x14ac:dyDescent="0.2">
      <c r="A377" s="88"/>
      <c r="B377" s="776" t="s">
        <v>714</v>
      </c>
      <c r="C377" s="799"/>
      <c r="D377" s="799"/>
      <c r="E377" s="799"/>
      <c r="F377" s="473">
        <f>0.38*X2</f>
        <v>490.2</v>
      </c>
      <c r="G377" s="469">
        <f t="shared" ref="G377:G387" si="1136">+F377*$X$1</f>
        <v>490.2</v>
      </c>
      <c r="H377" s="532"/>
      <c r="I377" s="469"/>
      <c r="J377" s="532"/>
      <c r="K377" s="469"/>
      <c r="L377" s="532">
        <f>F377+240</f>
        <v>730.2</v>
      </c>
      <c r="M377" s="469">
        <f t="shared" si="1123"/>
        <v>730.2</v>
      </c>
      <c r="N377" s="532">
        <f>F377+160</f>
        <v>650.20000000000005</v>
      </c>
      <c r="O377" s="469">
        <f t="shared" si="1125"/>
        <v>650.20000000000005</v>
      </c>
      <c r="P377" s="532">
        <f>F377+120</f>
        <v>610.20000000000005</v>
      </c>
      <c r="Q377" s="469">
        <f t="shared" si="1127"/>
        <v>610.20000000000005</v>
      </c>
      <c r="R377" s="532">
        <f>F377+100</f>
        <v>590.20000000000005</v>
      </c>
      <c r="S377" s="469">
        <f t="shared" si="1129"/>
        <v>590.20000000000005</v>
      </c>
      <c r="T377" s="549">
        <f>F377+80</f>
        <v>570.20000000000005</v>
      </c>
      <c r="U377" s="548">
        <f t="shared" si="1131"/>
        <v>570.20000000000005</v>
      </c>
      <c r="V377" s="549"/>
      <c r="W377" s="548"/>
      <c r="X377" s="126"/>
      <c r="Y377" s="122"/>
      <c r="Z377" s="122"/>
      <c r="AA377" s="125"/>
      <c r="AB377" s="353">
        <v>2234</v>
      </c>
    </row>
    <row r="378" spans="1:29" ht="12.6" customHeight="1" x14ac:dyDescent="0.2">
      <c r="A378" s="88"/>
      <c r="B378" s="654" t="s">
        <v>715</v>
      </c>
      <c r="C378" s="804"/>
      <c r="D378" s="804"/>
      <c r="E378" s="804"/>
      <c r="F378" s="333">
        <f>0.49*X2</f>
        <v>632.1</v>
      </c>
      <c r="G378" s="257">
        <f t="shared" si="1136"/>
        <v>632.1</v>
      </c>
      <c r="H378" s="252"/>
      <c r="I378" s="305"/>
      <c r="J378" s="534"/>
      <c r="K378" s="257"/>
      <c r="L378" s="534">
        <f>F378+240</f>
        <v>872.1</v>
      </c>
      <c r="M378" s="257">
        <f t="shared" ref="M378:M384" si="1137">+L378*$X$1</f>
        <v>872.1</v>
      </c>
      <c r="N378" s="534">
        <f>F378+160</f>
        <v>792.1</v>
      </c>
      <c r="O378" s="257">
        <f t="shared" ref="O378:O390" si="1138">+N378*$X$1</f>
        <v>792.1</v>
      </c>
      <c r="P378" s="534">
        <f>F378+120</f>
        <v>752.1</v>
      </c>
      <c r="Q378" s="257">
        <f t="shared" ref="Q378:Q390" si="1139">+P378*$X$1</f>
        <v>752.1</v>
      </c>
      <c r="R378" s="534">
        <f>F378+100</f>
        <v>732.1</v>
      </c>
      <c r="S378" s="257">
        <f t="shared" ref="S378:S390" si="1140">+R378*$X$1</f>
        <v>732.1</v>
      </c>
      <c r="T378" s="93">
        <f>F378+80</f>
        <v>712.1</v>
      </c>
      <c r="U378" s="235">
        <f t="shared" ref="U378:U385" si="1141">+T378*$X$1</f>
        <v>712.1</v>
      </c>
      <c r="V378" s="93">
        <f>F378+63</f>
        <v>695.1</v>
      </c>
      <c r="W378" s="235">
        <f t="shared" ref="W378:W379" si="1142">+V378*$X$1</f>
        <v>695.1</v>
      </c>
      <c r="X378" s="126"/>
      <c r="Y378" s="122"/>
      <c r="Z378" s="122"/>
      <c r="AA378" s="125"/>
      <c r="AB378" s="353" t="s">
        <v>220</v>
      </c>
    </row>
    <row r="379" spans="1:29" ht="12.6" customHeight="1" x14ac:dyDescent="0.2">
      <c r="A379" s="17"/>
      <c r="B379" s="742" t="s">
        <v>749</v>
      </c>
      <c r="C379" s="743"/>
      <c r="D379" s="743"/>
      <c r="E379" s="744"/>
      <c r="F379" s="336">
        <f>0.34*X2</f>
        <v>438.6</v>
      </c>
      <c r="G379" s="258">
        <f t="shared" si="1136"/>
        <v>438.6</v>
      </c>
      <c r="H379" s="251"/>
      <c r="I379" s="251"/>
      <c r="J379" s="406"/>
      <c r="K379" s="406"/>
      <c r="L379" s="406">
        <f t="shared" ref="L379" si="1143">F379+160</f>
        <v>598.6</v>
      </c>
      <c r="M379" s="258">
        <f t="shared" ref="M379" si="1144">+L379*$X$1</f>
        <v>598.6</v>
      </c>
      <c r="N379" s="406">
        <f t="shared" ref="N379" si="1145">F379+100</f>
        <v>538.6</v>
      </c>
      <c r="O379" s="258">
        <f t="shared" ref="O379" si="1146">+N379*$X$1</f>
        <v>538.6</v>
      </c>
      <c r="P379" s="406">
        <f t="shared" ref="P379" si="1147">F379+75</f>
        <v>513.6</v>
      </c>
      <c r="Q379" s="258">
        <f t="shared" ref="Q379" si="1148">+P379*$X$1</f>
        <v>513.6</v>
      </c>
      <c r="R379" s="406">
        <f t="shared" ref="R379" si="1149">F379+65</f>
        <v>503.6</v>
      </c>
      <c r="S379" s="258">
        <f t="shared" ref="S379" si="1150">+R379*$X$1</f>
        <v>503.6</v>
      </c>
      <c r="T379" s="92">
        <f t="shared" ref="T379" si="1151">F379+50</f>
        <v>488.6</v>
      </c>
      <c r="U379" s="272">
        <f t="shared" ref="U379" si="1152">+T379*$X$1</f>
        <v>488.6</v>
      </c>
      <c r="V379" s="92">
        <f t="shared" ref="V379" si="1153">F379+38</f>
        <v>476.6</v>
      </c>
      <c r="W379" s="272">
        <f t="shared" si="1142"/>
        <v>476.6</v>
      </c>
      <c r="X379" s="410"/>
      <c r="Y379" s="411"/>
      <c r="Z379" s="411"/>
      <c r="AA379" s="410"/>
      <c r="AB379" s="353">
        <v>2235</v>
      </c>
      <c r="AC379" s="62"/>
    </row>
    <row r="380" spans="1:29" ht="12.6" customHeight="1" x14ac:dyDescent="0.2">
      <c r="A380" s="17"/>
      <c r="B380" s="676" t="s">
        <v>782</v>
      </c>
      <c r="C380" s="677"/>
      <c r="D380" s="677"/>
      <c r="E380" s="678"/>
      <c r="F380" s="337">
        <f>0.706*X2</f>
        <v>910.7399999999999</v>
      </c>
      <c r="G380" s="257">
        <f t="shared" ref="G380" si="1154">+F380*$X$1</f>
        <v>910.7399999999999</v>
      </c>
      <c r="H380" s="252"/>
      <c r="I380" s="252"/>
      <c r="J380" s="534"/>
      <c r="K380" s="534"/>
      <c r="L380" s="534">
        <f t="shared" ref="L380:L384" si="1155">F380+160</f>
        <v>1070.7399999999998</v>
      </c>
      <c r="M380" s="257">
        <f t="shared" si="1137"/>
        <v>1070.7399999999998</v>
      </c>
      <c r="N380" s="534">
        <f t="shared" ref="N380:N385" si="1156">F380+100</f>
        <v>1010.7399999999999</v>
      </c>
      <c r="O380" s="257">
        <f t="shared" si="1138"/>
        <v>1010.7399999999999</v>
      </c>
      <c r="P380" s="534">
        <f t="shared" ref="P380:P385" si="1157">F380+75</f>
        <v>985.7399999999999</v>
      </c>
      <c r="Q380" s="257">
        <f t="shared" si="1139"/>
        <v>985.7399999999999</v>
      </c>
      <c r="R380" s="534">
        <f t="shared" ref="R380:R385" si="1158">F380+65</f>
        <v>975.7399999999999</v>
      </c>
      <c r="S380" s="257">
        <f t="shared" si="1140"/>
        <v>975.7399999999999</v>
      </c>
      <c r="T380" s="93">
        <f t="shared" ref="T380:T385" si="1159">F380+50</f>
        <v>960.7399999999999</v>
      </c>
      <c r="U380" s="235">
        <f t="shared" si="1141"/>
        <v>960.7399999999999</v>
      </c>
      <c r="V380" s="93">
        <f t="shared" ref="V380:V385" si="1160">F380+38</f>
        <v>948.7399999999999</v>
      </c>
      <c r="W380" s="235">
        <f t="shared" ref="W380:W385" si="1161">+V380*$X$1</f>
        <v>948.7399999999999</v>
      </c>
      <c r="X380" s="450"/>
      <c r="Y380" s="451"/>
      <c r="Z380" s="451"/>
      <c r="AA380" s="450"/>
      <c r="AB380" s="353">
        <v>2236</v>
      </c>
      <c r="AC380" s="62"/>
    </row>
    <row r="381" spans="1:29" ht="12.6" customHeight="1" x14ac:dyDescent="0.2">
      <c r="A381" s="88"/>
      <c r="B381" s="645" t="s">
        <v>221</v>
      </c>
      <c r="C381" s="646"/>
      <c r="D381" s="646"/>
      <c r="E381" s="646"/>
      <c r="F381" s="334">
        <f>0.393*X2</f>
        <v>506.97</v>
      </c>
      <c r="G381" s="258">
        <f t="shared" si="1136"/>
        <v>506.97</v>
      </c>
      <c r="H381" s="251"/>
      <c r="I381" s="306"/>
      <c r="J381" s="406"/>
      <c r="K381" s="258"/>
      <c r="L381" s="406">
        <f t="shared" si="1155"/>
        <v>666.97</v>
      </c>
      <c r="M381" s="258">
        <f t="shared" si="1137"/>
        <v>666.97</v>
      </c>
      <c r="N381" s="406">
        <f t="shared" si="1156"/>
        <v>606.97</v>
      </c>
      <c r="O381" s="258">
        <f t="shared" si="1138"/>
        <v>606.97</v>
      </c>
      <c r="P381" s="406">
        <f t="shared" si="1157"/>
        <v>581.97</v>
      </c>
      <c r="Q381" s="258">
        <f t="shared" si="1139"/>
        <v>581.97</v>
      </c>
      <c r="R381" s="406">
        <f t="shared" si="1158"/>
        <v>571.97</v>
      </c>
      <c r="S381" s="258">
        <f t="shared" si="1140"/>
        <v>571.97</v>
      </c>
      <c r="T381" s="92">
        <f t="shared" si="1159"/>
        <v>556.97</v>
      </c>
      <c r="U381" s="272">
        <f t="shared" si="1141"/>
        <v>556.97</v>
      </c>
      <c r="V381" s="92">
        <f t="shared" si="1160"/>
        <v>544.97</v>
      </c>
      <c r="W381" s="272">
        <f t="shared" si="1161"/>
        <v>544.97</v>
      </c>
      <c r="X381" s="126"/>
      <c r="Y381" s="122"/>
      <c r="Z381" s="122"/>
      <c r="AA381" s="125"/>
      <c r="AB381" s="353">
        <v>2238</v>
      </c>
    </row>
    <row r="382" spans="1:29" ht="12.6" customHeight="1" x14ac:dyDescent="0.2">
      <c r="A382" s="94"/>
      <c r="B382" s="659" t="s">
        <v>222</v>
      </c>
      <c r="C382" s="707"/>
      <c r="D382" s="707"/>
      <c r="E382" s="708"/>
      <c r="F382" s="333">
        <f>0.392*X2</f>
        <v>505.68</v>
      </c>
      <c r="G382" s="257">
        <f t="shared" si="1136"/>
        <v>505.68</v>
      </c>
      <c r="H382" s="252"/>
      <c r="I382" s="305"/>
      <c r="J382" s="534"/>
      <c r="K382" s="257"/>
      <c r="L382" s="534">
        <f t="shared" si="1155"/>
        <v>665.68000000000006</v>
      </c>
      <c r="M382" s="257">
        <f t="shared" si="1137"/>
        <v>665.68000000000006</v>
      </c>
      <c r="N382" s="534">
        <f t="shared" si="1156"/>
        <v>605.68000000000006</v>
      </c>
      <c r="O382" s="257">
        <f t="shared" si="1138"/>
        <v>605.68000000000006</v>
      </c>
      <c r="P382" s="534">
        <f t="shared" si="1157"/>
        <v>580.68000000000006</v>
      </c>
      <c r="Q382" s="257">
        <f t="shared" si="1139"/>
        <v>580.68000000000006</v>
      </c>
      <c r="R382" s="534">
        <f t="shared" si="1158"/>
        <v>570.68000000000006</v>
      </c>
      <c r="S382" s="257">
        <f t="shared" si="1140"/>
        <v>570.68000000000006</v>
      </c>
      <c r="T382" s="93">
        <f t="shared" si="1159"/>
        <v>555.68000000000006</v>
      </c>
      <c r="U382" s="235">
        <f t="shared" si="1141"/>
        <v>555.68000000000006</v>
      </c>
      <c r="V382" s="93">
        <f t="shared" si="1160"/>
        <v>543.68000000000006</v>
      </c>
      <c r="W382" s="235">
        <f t="shared" si="1161"/>
        <v>543.68000000000006</v>
      </c>
      <c r="X382" s="126"/>
      <c r="Y382" s="122"/>
      <c r="Z382" s="122"/>
      <c r="AA382" s="125"/>
      <c r="AB382" s="353">
        <v>2239</v>
      </c>
    </row>
    <row r="383" spans="1:29" ht="12.6" customHeight="1" x14ac:dyDescent="0.2">
      <c r="A383" s="17"/>
      <c r="B383" s="645" t="s">
        <v>886</v>
      </c>
      <c r="C383" s="646"/>
      <c r="D383" s="646"/>
      <c r="E383" s="646"/>
      <c r="F383" s="334">
        <f>0.44*X2</f>
        <v>567.6</v>
      </c>
      <c r="G383" s="258">
        <f t="shared" si="1136"/>
        <v>567.6</v>
      </c>
      <c r="H383" s="251"/>
      <c r="I383" s="306"/>
      <c r="J383" s="406"/>
      <c r="K383" s="258"/>
      <c r="L383" s="406">
        <f t="shared" si="1155"/>
        <v>727.6</v>
      </c>
      <c r="M383" s="258">
        <f t="shared" si="1137"/>
        <v>727.6</v>
      </c>
      <c r="N383" s="406">
        <f t="shared" si="1156"/>
        <v>667.6</v>
      </c>
      <c r="O383" s="258">
        <f t="shared" si="1138"/>
        <v>667.6</v>
      </c>
      <c r="P383" s="406">
        <f t="shared" si="1157"/>
        <v>642.6</v>
      </c>
      <c r="Q383" s="258">
        <f t="shared" si="1139"/>
        <v>642.6</v>
      </c>
      <c r="R383" s="406">
        <f t="shared" si="1158"/>
        <v>632.6</v>
      </c>
      <c r="S383" s="258">
        <f t="shared" si="1140"/>
        <v>632.6</v>
      </c>
      <c r="T383" s="92">
        <f t="shared" si="1159"/>
        <v>617.6</v>
      </c>
      <c r="U383" s="272">
        <f t="shared" si="1141"/>
        <v>617.6</v>
      </c>
      <c r="V383" s="92">
        <f t="shared" si="1160"/>
        <v>605.6</v>
      </c>
      <c r="W383" s="272">
        <f t="shared" si="1161"/>
        <v>605.6</v>
      </c>
      <c r="X383" s="126"/>
      <c r="Y383" s="122"/>
      <c r="Z383" s="122"/>
      <c r="AA383" s="125"/>
      <c r="AB383" s="353">
        <v>2240</v>
      </c>
    </row>
    <row r="384" spans="1:29" ht="12.6" customHeight="1" x14ac:dyDescent="0.2">
      <c r="A384" s="17"/>
      <c r="B384" s="654" t="s">
        <v>815</v>
      </c>
      <c r="C384" s="655"/>
      <c r="D384" s="655"/>
      <c r="E384" s="655"/>
      <c r="F384" s="333">
        <f>0.34*X2</f>
        <v>438.6</v>
      </c>
      <c r="G384" s="257">
        <f t="shared" ref="G384" si="1162">+F384*$X$1</f>
        <v>438.6</v>
      </c>
      <c r="H384" s="252"/>
      <c r="I384" s="305"/>
      <c r="J384" s="534"/>
      <c r="K384" s="257"/>
      <c r="L384" s="534">
        <f t="shared" si="1155"/>
        <v>598.6</v>
      </c>
      <c r="M384" s="257">
        <f t="shared" si="1137"/>
        <v>598.6</v>
      </c>
      <c r="N384" s="534">
        <f t="shared" si="1156"/>
        <v>538.6</v>
      </c>
      <c r="O384" s="257">
        <f t="shared" si="1138"/>
        <v>538.6</v>
      </c>
      <c r="P384" s="534">
        <f t="shared" si="1157"/>
        <v>513.6</v>
      </c>
      <c r="Q384" s="257">
        <f t="shared" si="1139"/>
        <v>513.6</v>
      </c>
      <c r="R384" s="534">
        <f t="shared" si="1158"/>
        <v>503.6</v>
      </c>
      <c r="S384" s="257">
        <f t="shared" si="1140"/>
        <v>503.6</v>
      </c>
      <c r="T384" s="93">
        <f t="shared" si="1159"/>
        <v>488.6</v>
      </c>
      <c r="U384" s="235">
        <f t="shared" si="1141"/>
        <v>488.6</v>
      </c>
      <c r="V384" s="93">
        <f t="shared" si="1160"/>
        <v>476.6</v>
      </c>
      <c r="W384" s="235">
        <f t="shared" si="1161"/>
        <v>476.6</v>
      </c>
      <c r="X384" s="126"/>
      <c r="Y384" s="122"/>
      <c r="Z384" s="122"/>
      <c r="AA384" s="125"/>
      <c r="AB384" s="353" t="s">
        <v>825</v>
      </c>
    </row>
    <row r="385" spans="1:34" ht="12.6" customHeight="1" x14ac:dyDescent="0.2">
      <c r="A385" s="17"/>
      <c r="B385" s="645" t="s">
        <v>755</v>
      </c>
      <c r="C385" s="646"/>
      <c r="D385" s="646"/>
      <c r="E385" s="646"/>
      <c r="F385" s="334">
        <f>0.2*X2</f>
        <v>258</v>
      </c>
      <c r="G385" s="258">
        <f t="shared" ref="G385:G386" si="1163">+F385*$X$1</f>
        <v>258</v>
      </c>
      <c r="H385" s="251"/>
      <c r="I385" s="306"/>
      <c r="J385" s="406"/>
      <c r="K385" s="258"/>
      <c r="L385" s="406"/>
      <c r="M385" s="258"/>
      <c r="N385" s="406">
        <f t="shared" si="1156"/>
        <v>358</v>
      </c>
      <c r="O385" s="258">
        <f t="shared" si="1138"/>
        <v>358</v>
      </c>
      <c r="P385" s="406">
        <f t="shared" si="1157"/>
        <v>333</v>
      </c>
      <c r="Q385" s="258">
        <f t="shared" si="1139"/>
        <v>333</v>
      </c>
      <c r="R385" s="406">
        <f t="shared" si="1158"/>
        <v>323</v>
      </c>
      <c r="S385" s="258">
        <f t="shared" si="1140"/>
        <v>323</v>
      </c>
      <c r="T385" s="92">
        <f t="shared" si="1159"/>
        <v>308</v>
      </c>
      <c r="U385" s="272">
        <f t="shared" si="1141"/>
        <v>308</v>
      </c>
      <c r="V385" s="92">
        <f t="shared" si="1160"/>
        <v>296</v>
      </c>
      <c r="W385" s="272">
        <f t="shared" si="1161"/>
        <v>296</v>
      </c>
      <c r="X385" s="126"/>
      <c r="Y385" s="122"/>
      <c r="Z385" s="122"/>
      <c r="AA385" s="125"/>
      <c r="AB385" s="353">
        <v>2241</v>
      </c>
    </row>
    <row r="386" spans="1:34" ht="12.6" customHeight="1" x14ac:dyDescent="0.2">
      <c r="A386" s="17"/>
      <c r="B386" s="654" t="s">
        <v>914</v>
      </c>
      <c r="C386" s="655"/>
      <c r="D386" s="655"/>
      <c r="E386" s="655"/>
      <c r="F386" s="333">
        <f>0.28*X2</f>
        <v>361.20000000000005</v>
      </c>
      <c r="G386" s="257">
        <f t="shared" si="1163"/>
        <v>361.20000000000005</v>
      </c>
      <c r="H386" s="252"/>
      <c r="I386" s="305"/>
      <c r="J386" s="534"/>
      <c r="K386" s="257"/>
      <c r="L386" s="534">
        <f t="shared" ref="L386:L390" si="1164">F386+160</f>
        <v>521.20000000000005</v>
      </c>
      <c r="M386" s="257">
        <f t="shared" ref="M386:M390" si="1165">+L386*$X$1</f>
        <v>521.20000000000005</v>
      </c>
      <c r="N386" s="534">
        <f t="shared" ref="N386:N390" si="1166">F386+100</f>
        <v>461.20000000000005</v>
      </c>
      <c r="O386" s="257">
        <f t="shared" si="1138"/>
        <v>461.20000000000005</v>
      </c>
      <c r="P386" s="534">
        <f t="shared" ref="P386:P390" si="1167">F386+75</f>
        <v>436.20000000000005</v>
      </c>
      <c r="Q386" s="257">
        <f t="shared" si="1139"/>
        <v>436.20000000000005</v>
      </c>
      <c r="R386" s="534">
        <f t="shared" ref="R386:R390" si="1168">F386+65</f>
        <v>426.20000000000005</v>
      </c>
      <c r="S386" s="257">
        <f t="shared" si="1140"/>
        <v>426.20000000000005</v>
      </c>
      <c r="T386" s="93">
        <f t="shared" ref="T386:T390" si="1169">F386+50</f>
        <v>411.20000000000005</v>
      </c>
      <c r="U386" s="235">
        <f t="shared" ref="U386:U390" si="1170">+T386*$X$1</f>
        <v>411.20000000000005</v>
      </c>
      <c r="V386" s="93">
        <f t="shared" ref="V386:V390" si="1171">F386+38</f>
        <v>399.20000000000005</v>
      </c>
      <c r="W386" s="235">
        <f t="shared" ref="W386:W390" si="1172">+V386*$X$1</f>
        <v>399.20000000000005</v>
      </c>
      <c r="X386" s="126"/>
      <c r="Y386" s="122"/>
      <c r="Z386" s="122"/>
      <c r="AA386" s="125"/>
      <c r="AB386" s="353">
        <v>2242</v>
      </c>
    </row>
    <row r="387" spans="1:34" ht="12.6" customHeight="1" x14ac:dyDescent="0.2">
      <c r="A387" s="88"/>
      <c r="B387" s="776" t="s">
        <v>223</v>
      </c>
      <c r="C387" s="788"/>
      <c r="D387" s="788"/>
      <c r="E387" s="788"/>
      <c r="F387" s="473">
        <f>0.25*X2</f>
        <v>322.5</v>
      </c>
      <c r="G387" s="469">
        <f t="shared" si="1136"/>
        <v>322.5</v>
      </c>
      <c r="H387" s="470"/>
      <c r="I387" s="472"/>
      <c r="J387" s="532"/>
      <c r="K387" s="469"/>
      <c r="L387" s="532">
        <f t="shared" si="1164"/>
        <v>482.5</v>
      </c>
      <c r="M387" s="469">
        <f t="shared" si="1165"/>
        <v>482.5</v>
      </c>
      <c r="N387" s="532">
        <f t="shared" si="1166"/>
        <v>422.5</v>
      </c>
      <c r="O387" s="469">
        <f t="shared" si="1138"/>
        <v>422.5</v>
      </c>
      <c r="P387" s="532">
        <f t="shared" si="1167"/>
        <v>397.5</v>
      </c>
      <c r="Q387" s="469">
        <f t="shared" si="1139"/>
        <v>397.5</v>
      </c>
      <c r="R387" s="532">
        <f t="shared" si="1168"/>
        <v>387.5</v>
      </c>
      <c r="S387" s="469">
        <f t="shared" si="1140"/>
        <v>387.5</v>
      </c>
      <c r="T387" s="549">
        <f t="shared" si="1169"/>
        <v>372.5</v>
      </c>
      <c r="U387" s="548">
        <f t="shared" si="1170"/>
        <v>372.5</v>
      </c>
      <c r="V387" s="549">
        <f t="shared" si="1171"/>
        <v>360.5</v>
      </c>
      <c r="W387" s="548">
        <f t="shared" si="1172"/>
        <v>360.5</v>
      </c>
      <c r="X387" s="126"/>
      <c r="Y387" s="122"/>
      <c r="Z387" s="122"/>
      <c r="AA387" s="125"/>
      <c r="AB387" s="353">
        <v>2244</v>
      </c>
    </row>
    <row r="388" spans="1:34" ht="12.6" customHeight="1" x14ac:dyDescent="0.2">
      <c r="A388" s="17"/>
      <c r="B388" s="654" t="s">
        <v>758</v>
      </c>
      <c r="C388" s="655"/>
      <c r="D388" s="655"/>
      <c r="E388" s="655"/>
      <c r="F388" s="333">
        <f>0.28*X2</f>
        <v>361.20000000000005</v>
      </c>
      <c r="G388" s="257">
        <f t="shared" ref="G388:G389" si="1173">+F388*$X$1</f>
        <v>361.20000000000005</v>
      </c>
      <c r="H388" s="252"/>
      <c r="I388" s="305"/>
      <c r="J388" s="534"/>
      <c r="K388" s="257"/>
      <c r="L388" s="534">
        <f t="shared" si="1164"/>
        <v>521.20000000000005</v>
      </c>
      <c r="M388" s="257">
        <f t="shared" si="1165"/>
        <v>521.20000000000005</v>
      </c>
      <c r="N388" s="534">
        <f t="shared" si="1166"/>
        <v>461.20000000000005</v>
      </c>
      <c r="O388" s="257">
        <f t="shared" si="1138"/>
        <v>461.20000000000005</v>
      </c>
      <c r="P388" s="534">
        <f t="shared" si="1167"/>
        <v>436.20000000000005</v>
      </c>
      <c r="Q388" s="257">
        <f t="shared" si="1139"/>
        <v>436.20000000000005</v>
      </c>
      <c r="R388" s="534">
        <f t="shared" si="1168"/>
        <v>426.20000000000005</v>
      </c>
      <c r="S388" s="257">
        <f t="shared" si="1140"/>
        <v>426.20000000000005</v>
      </c>
      <c r="T388" s="93">
        <f t="shared" si="1169"/>
        <v>411.20000000000005</v>
      </c>
      <c r="U388" s="235">
        <f t="shared" si="1170"/>
        <v>411.20000000000005</v>
      </c>
      <c r="V388" s="93">
        <f t="shared" si="1171"/>
        <v>399.20000000000005</v>
      </c>
      <c r="W388" s="235">
        <f t="shared" si="1172"/>
        <v>399.20000000000005</v>
      </c>
      <c r="X388" s="126"/>
      <c r="Y388" s="122"/>
      <c r="Z388" s="122"/>
      <c r="AA388" s="125"/>
      <c r="AB388" s="353">
        <v>2245</v>
      </c>
    </row>
    <row r="389" spans="1:34" ht="12.6" customHeight="1" x14ac:dyDescent="0.2">
      <c r="A389" s="17"/>
      <c r="B389" s="645" t="s">
        <v>757</v>
      </c>
      <c r="C389" s="646"/>
      <c r="D389" s="646"/>
      <c r="E389" s="646"/>
      <c r="F389" s="334">
        <f>0.29*X2</f>
        <v>374.09999999999997</v>
      </c>
      <c r="G389" s="258">
        <f t="shared" si="1173"/>
        <v>374.09999999999997</v>
      </c>
      <c r="H389" s="251"/>
      <c r="I389" s="306"/>
      <c r="J389" s="406"/>
      <c r="K389" s="258"/>
      <c r="L389" s="406">
        <f t="shared" si="1164"/>
        <v>534.09999999999991</v>
      </c>
      <c r="M389" s="258">
        <f t="shared" si="1165"/>
        <v>534.09999999999991</v>
      </c>
      <c r="N389" s="406">
        <f t="shared" si="1166"/>
        <v>474.09999999999997</v>
      </c>
      <c r="O389" s="258">
        <f t="shared" si="1138"/>
        <v>474.09999999999997</v>
      </c>
      <c r="P389" s="406">
        <f t="shared" si="1167"/>
        <v>449.09999999999997</v>
      </c>
      <c r="Q389" s="258">
        <f t="shared" si="1139"/>
        <v>449.09999999999997</v>
      </c>
      <c r="R389" s="406">
        <f t="shared" si="1168"/>
        <v>439.09999999999997</v>
      </c>
      <c r="S389" s="258">
        <f t="shared" si="1140"/>
        <v>439.09999999999997</v>
      </c>
      <c r="T389" s="92">
        <f t="shared" si="1169"/>
        <v>424.09999999999997</v>
      </c>
      <c r="U389" s="272">
        <f t="shared" si="1170"/>
        <v>424.09999999999997</v>
      </c>
      <c r="V389" s="92">
        <f t="shared" si="1171"/>
        <v>412.09999999999997</v>
      </c>
      <c r="W389" s="272">
        <f t="shared" si="1172"/>
        <v>412.09999999999997</v>
      </c>
      <c r="X389" s="126"/>
      <c r="Y389" s="122"/>
      <c r="Z389" s="122"/>
      <c r="AA389" s="125"/>
      <c r="AB389" s="353" t="s">
        <v>756</v>
      </c>
    </row>
    <row r="390" spans="1:34" ht="12.6" customHeight="1" x14ac:dyDescent="0.2">
      <c r="A390" s="88"/>
      <c r="B390" s="654" t="s">
        <v>477</v>
      </c>
      <c r="C390" s="655"/>
      <c r="D390" s="655"/>
      <c r="E390" s="655"/>
      <c r="F390" s="294">
        <v>1340</v>
      </c>
      <c r="G390" s="257">
        <f>+F390*$X$1</f>
        <v>1340</v>
      </c>
      <c r="H390" s="252"/>
      <c r="I390" s="305"/>
      <c r="J390" s="534"/>
      <c r="K390" s="257"/>
      <c r="L390" s="534">
        <f t="shared" si="1164"/>
        <v>1500</v>
      </c>
      <c r="M390" s="257">
        <f t="shared" si="1165"/>
        <v>1500</v>
      </c>
      <c r="N390" s="534">
        <f t="shared" si="1166"/>
        <v>1440</v>
      </c>
      <c r="O390" s="257">
        <f t="shared" si="1138"/>
        <v>1440</v>
      </c>
      <c r="P390" s="534">
        <f t="shared" si="1167"/>
        <v>1415</v>
      </c>
      <c r="Q390" s="257">
        <f t="shared" si="1139"/>
        <v>1415</v>
      </c>
      <c r="R390" s="534">
        <f t="shared" si="1168"/>
        <v>1405</v>
      </c>
      <c r="S390" s="257">
        <f t="shared" si="1140"/>
        <v>1405</v>
      </c>
      <c r="T390" s="93">
        <f t="shared" si="1169"/>
        <v>1390</v>
      </c>
      <c r="U390" s="235">
        <f t="shared" si="1170"/>
        <v>1390</v>
      </c>
      <c r="V390" s="93">
        <f t="shared" si="1171"/>
        <v>1378</v>
      </c>
      <c r="W390" s="235">
        <f t="shared" si="1172"/>
        <v>1378</v>
      </c>
      <c r="X390" s="126"/>
      <c r="Y390" s="122"/>
      <c r="Z390" s="122"/>
      <c r="AA390" s="125"/>
      <c r="AB390" s="353">
        <v>2246</v>
      </c>
    </row>
    <row r="391" spans="1:34" ht="12.6" customHeight="1" x14ac:dyDescent="0.2">
      <c r="A391" s="17"/>
      <c r="B391" s="645" t="s">
        <v>764</v>
      </c>
      <c r="C391" s="646"/>
      <c r="D391" s="646"/>
      <c r="E391" s="646"/>
      <c r="F391" s="530">
        <f>2.7*X2</f>
        <v>3483.0000000000005</v>
      </c>
      <c r="G391" s="258">
        <f t="shared" ref="G391" si="1174">+F391*$X$1</f>
        <v>3483.0000000000005</v>
      </c>
      <c r="H391" s="251"/>
      <c r="I391" s="306"/>
      <c r="J391" s="406">
        <f>F391+210</f>
        <v>3693.0000000000005</v>
      </c>
      <c r="K391" s="258">
        <f t="shared" ref="K391" si="1175">+J391*$X$1</f>
        <v>3693.0000000000005</v>
      </c>
      <c r="L391" s="406">
        <f t="shared" ref="L391:L395" si="1176">F391+160</f>
        <v>3643.0000000000005</v>
      </c>
      <c r="M391" s="258">
        <f t="shared" ref="M391:M395" si="1177">+L391*$X$1</f>
        <v>3643.0000000000005</v>
      </c>
      <c r="N391" s="406">
        <f t="shared" ref="N391:N395" si="1178">F391+100</f>
        <v>3583.0000000000005</v>
      </c>
      <c r="O391" s="258">
        <f t="shared" ref="O391:O395" si="1179">+N391*$X$1</f>
        <v>3583.0000000000005</v>
      </c>
      <c r="P391" s="406">
        <f t="shared" ref="P391:P395" si="1180">F391+75</f>
        <v>3558.0000000000005</v>
      </c>
      <c r="Q391" s="258">
        <f t="shared" ref="Q391:Q395" si="1181">+P391*$X$1</f>
        <v>3558.0000000000005</v>
      </c>
      <c r="R391" s="406">
        <f t="shared" ref="R391:R395" si="1182">F391+65</f>
        <v>3548.0000000000005</v>
      </c>
      <c r="S391" s="258">
        <f t="shared" ref="S391:S395" si="1183">+R391*$X$1</f>
        <v>3548.0000000000005</v>
      </c>
      <c r="T391" s="92">
        <f t="shared" ref="T391:T395" si="1184">F391+50</f>
        <v>3533.0000000000005</v>
      </c>
      <c r="U391" s="272">
        <f t="shared" ref="U391:U395" si="1185">+T391*$X$1</f>
        <v>3533.0000000000005</v>
      </c>
      <c r="V391" s="92">
        <f t="shared" ref="V391:V395" si="1186">F391+38</f>
        <v>3521.0000000000005</v>
      </c>
      <c r="W391" s="272">
        <f t="shared" ref="W391:W395" si="1187">+V391*$X$1</f>
        <v>3521.0000000000005</v>
      </c>
      <c r="X391" s="126"/>
      <c r="Y391" s="122"/>
      <c r="Z391" s="122"/>
      <c r="AA391" s="125"/>
      <c r="AB391" s="353">
        <v>2247</v>
      </c>
    </row>
    <row r="392" spans="1:34" ht="12.6" customHeight="1" x14ac:dyDescent="0.2">
      <c r="A392" s="17"/>
      <c r="B392" s="659" t="s">
        <v>432</v>
      </c>
      <c r="C392" s="822"/>
      <c r="D392" s="822"/>
      <c r="E392" s="823"/>
      <c r="F392" s="337">
        <f>0.39*X2</f>
        <v>503.1</v>
      </c>
      <c r="G392" s="257">
        <f t="shared" ref="G392:G395" si="1188">+F392*$X$1</f>
        <v>503.1</v>
      </c>
      <c r="H392" s="252"/>
      <c r="I392" s="305"/>
      <c r="J392" s="534"/>
      <c r="K392" s="257"/>
      <c r="L392" s="534">
        <f t="shared" si="1176"/>
        <v>663.1</v>
      </c>
      <c r="M392" s="257">
        <f t="shared" si="1177"/>
        <v>663.1</v>
      </c>
      <c r="N392" s="534">
        <f t="shared" si="1178"/>
        <v>603.1</v>
      </c>
      <c r="O392" s="257">
        <f t="shared" si="1179"/>
        <v>603.1</v>
      </c>
      <c r="P392" s="534">
        <f t="shared" si="1180"/>
        <v>578.1</v>
      </c>
      <c r="Q392" s="257">
        <f t="shared" si="1181"/>
        <v>578.1</v>
      </c>
      <c r="R392" s="534">
        <f t="shared" si="1182"/>
        <v>568.1</v>
      </c>
      <c r="S392" s="257">
        <f t="shared" si="1183"/>
        <v>568.1</v>
      </c>
      <c r="T392" s="93">
        <f t="shared" si="1184"/>
        <v>553.1</v>
      </c>
      <c r="U392" s="235">
        <f t="shared" si="1185"/>
        <v>553.1</v>
      </c>
      <c r="V392" s="93">
        <f t="shared" si="1186"/>
        <v>541.1</v>
      </c>
      <c r="W392" s="235">
        <f t="shared" si="1187"/>
        <v>541.1</v>
      </c>
      <c r="X392" s="119"/>
      <c r="Y392" s="119"/>
      <c r="Z392" s="119"/>
      <c r="AA392" s="119"/>
      <c r="AB392" s="367">
        <v>2251</v>
      </c>
    </row>
    <row r="393" spans="1:34" ht="12.6" customHeight="1" x14ac:dyDescent="0.2">
      <c r="A393" s="17"/>
      <c r="B393" s="656" t="s">
        <v>625</v>
      </c>
      <c r="C393" s="657"/>
      <c r="D393" s="657"/>
      <c r="E393" s="658"/>
      <c r="F393" s="336">
        <f>0.39*X2</f>
        <v>503.1</v>
      </c>
      <c r="G393" s="258">
        <f t="shared" si="1188"/>
        <v>503.1</v>
      </c>
      <c r="H393" s="251"/>
      <c r="I393" s="306"/>
      <c r="J393" s="406"/>
      <c r="K393" s="258"/>
      <c r="L393" s="406">
        <f t="shared" si="1176"/>
        <v>663.1</v>
      </c>
      <c r="M393" s="258">
        <f t="shared" si="1177"/>
        <v>663.1</v>
      </c>
      <c r="N393" s="406">
        <f t="shared" si="1178"/>
        <v>603.1</v>
      </c>
      <c r="O393" s="258">
        <f t="shared" si="1179"/>
        <v>603.1</v>
      </c>
      <c r="P393" s="406">
        <f t="shared" si="1180"/>
        <v>578.1</v>
      </c>
      <c r="Q393" s="258">
        <f t="shared" si="1181"/>
        <v>578.1</v>
      </c>
      <c r="R393" s="406">
        <f t="shared" si="1182"/>
        <v>568.1</v>
      </c>
      <c r="S393" s="258">
        <f t="shared" si="1183"/>
        <v>568.1</v>
      </c>
      <c r="T393" s="92">
        <f t="shared" si="1184"/>
        <v>553.1</v>
      </c>
      <c r="U393" s="272">
        <f t="shared" si="1185"/>
        <v>553.1</v>
      </c>
      <c r="V393" s="92">
        <f t="shared" si="1186"/>
        <v>541.1</v>
      </c>
      <c r="W393" s="272">
        <f t="shared" si="1187"/>
        <v>541.1</v>
      </c>
      <c r="X393" s="119"/>
      <c r="Y393" s="119"/>
      <c r="Z393" s="119"/>
      <c r="AA393" s="119"/>
      <c r="AB393" s="353">
        <v>2252</v>
      </c>
    </row>
    <row r="394" spans="1:34" ht="12.6" customHeight="1" x14ac:dyDescent="0.2">
      <c r="A394" s="94"/>
      <c r="B394" s="659" t="s">
        <v>224</v>
      </c>
      <c r="C394" s="660"/>
      <c r="D394" s="660"/>
      <c r="E394" s="661"/>
      <c r="F394" s="333">
        <f>0.32*X2</f>
        <v>412.8</v>
      </c>
      <c r="G394" s="257">
        <f t="shared" si="1188"/>
        <v>412.8</v>
      </c>
      <c r="H394" s="252"/>
      <c r="I394" s="305"/>
      <c r="J394" s="534"/>
      <c r="K394" s="257"/>
      <c r="L394" s="534">
        <f t="shared" si="1176"/>
        <v>572.79999999999995</v>
      </c>
      <c r="M394" s="257">
        <f t="shared" si="1177"/>
        <v>572.79999999999995</v>
      </c>
      <c r="N394" s="534">
        <f t="shared" si="1178"/>
        <v>512.79999999999995</v>
      </c>
      <c r="O394" s="257">
        <f t="shared" si="1179"/>
        <v>512.79999999999995</v>
      </c>
      <c r="P394" s="534">
        <f t="shared" si="1180"/>
        <v>487.8</v>
      </c>
      <c r="Q394" s="257">
        <f t="shared" si="1181"/>
        <v>487.8</v>
      </c>
      <c r="R394" s="534">
        <f t="shared" si="1182"/>
        <v>477.8</v>
      </c>
      <c r="S394" s="257">
        <f t="shared" si="1183"/>
        <v>477.8</v>
      </c>
      <c r="T394" s="93">
        <f t="shared" si="1184"/>
        <v>462.8</v>
      </c>
      <c r="U394" s="235">
        <f t="shared" si="1185"/>
        <v>462.8</v>
      </c>
      <c r="V394" s="93">
        <f t="shared" si="1186"/>
        <v>450.8</v>
      </c>
      <c r="W394" s="235">
        <f t="shared" si="1187"/>
        <v>450.8</v>
      </c>
      <c r="X394" s="156"/>
      <c r="Y394" s="119"/>
      <c r="Z394" s="119"/>
      <c r="AA394" s="135"/>
      <c r="AB394" s="353">
        <v>2254</v>
      </c>
      <c r="AC394" s="62"/>
    </row>
    <row r="395" spans="1:34" ht="12.6" customHeight="1" x14ac:dyDescent="0.2">
      <c r="A395" s="94"/>
      <c r="B395" s="656" t="s">
        <v>444</v>
      </c>
      <c r="C395" s="705"/>
      <c r="D395" s="705"/>
      <c r="E395" s="706"/>
      <c r="F395" s="334">
        <f>0.32*X2</f>
        <v>412.8</v>
      </c>
      <c r="G395" s="258">
        <f t="shared" si="1188"/>
        <v>412.8</v>
      </c>
      <c r="H395" s="251"/>
      <c r="I395" s="306"/>
      <c r="J395" s="406"/>
      <c r="K395" s="258"/>
      <c r="L395" s="406">
        <f t="shared" si="1176"/>
        <v>572.79999999999995</v>
      </c>
      <c r="M395" s="258">
        <f t="shared" si="1177"/>
        <v>572.79999999999995</v>
      </c>
      <c r="N395" s="406">
        <f t="shared" si="1178"/>
        <v>512.79999999999995</v>
      </c>
      <c r="O395" s="258">
        <f t="shared" si="1179"/>
        <v>512.79999999999995</v>
      </c>
      <c r="P395" s="406">
        <f t="shared" si="1180"/>
        <v>487.8</v>
      </c>
      <c r="Q395" s="258">
        <f t="shared" si="1181"/>
        <v>487.8</v>
      </c>
      <c r="R395" s="406">
        <f t="shared" si="1182"/>
        <v>477.8</v>
      </c>
      <c r="S395" s="258">
        <f t="shared" si="1183"/>
        <v>477.8</v>
      </c>
      <c r="T395" s="92">
        <f t="shared" si="1184"/>
        <v>462.8</v>
      </c>
      <c r="U395" s="272">
        <f t="shared" si="1185"/>
        <v>462.8</v>
      </c>
      <c r="V395" s="92">
        <f t="shared" si="1186"/>
        <v>450.8</v>
      </c>
      <c r="W395" s="272">
        <f t="shared" si="1187"/>
        <v>450.8</v>
      </c>
      <c r="X395" s="156"/>
      <c r="Y395" s="119"/>
      <c r="Z395" s="119"/>
      <c r="AA395" s="135"/>
      <c r="AB395" s="353" t="s">
        <v>469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45" t="s">
        <v>11</v>
      </c>
      <c r="C399" s="702" t="s">
        <v>12</v>
      </c>
      <c r="D399" s="703"/>
      <c r="E399" s="703"/>
      <c r="F399" s="729" t="s">
        <v>13</v>
      </c>
      <c r="G399" s="729" t="s">
        <v>13</v>
      </c>
      <c r="H399" s="700" t="s">
        <v>742</v>
      </c>
      <c r="I399" s="700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1168" t="s">
        <v>14</v>
      </c>
      <c r="Y399" s="1168"/>
      <c r="Z399" s="1168"/>
      <c r="AA399" s="1168"/>
      <c r="AB399" s="692" t="s">
        <v>15</v>
      </c>
      <c r="AE399" s="61"/>
      <c r="AF399" s="694" t="s">
        <v>3</v>
      </c>
      <c r="AG399" s="695"/>
      <c r="AH399" s="695"/>
    </row>
    <row r="400" spans="1:34" ht="12" customHeight="1" x14ac:dyDescent="0.2">
      <c r="A400" s="17"/>
      <c r="B400" s="745"/>
      <c r="C400" s="703"/>
      <c r="D400" s="703"/>
      <c r="E400" s="703"/>
      <c r="F400" s="730"/>
      <c r="G400" s="730"/>
      <c r="H400" s="421"/>
      <c r="I400" s="413" t="s">
        <v>267</v>
      </c>
      <c r="J400" s="415"/>
      <c r="K400" s="413" t="s">
        <v>17</v>
      </c>
      <c r="L400" s="416"/>
      <c r="M400" s="416" t="s">
        <v>18</v>
      </c>
      <c r="N400" s="416"/>
      <c r="O400" s="413" t="s">
        <v>19</v>
      </c>
      <c r="P400" s="416"/>
      <c r="Q400" s="416" t="s">
        <v>268</v>
      </c>
      <c r="R400" s="416"/>
      <c r="S400" s="416" t="s">
        <v>20</v>
      </c>
      <c r="T400" s="416"/>
      <c r="U400" s="416" t="s">
        <v>21</v>
      </c>
      <c r="V400" s="416"/>
      <c r="W400" s="416" t="s">
        <v>22</v>
      </c>
      <c r="X400" s="1168"/>
      <c r="Y400" s="1168"/>
      <c r="Z400" s="1168"/>
      <c r="AA400" s="1168"/>
      <c r="AB400" s="693"/>
    </row>
    <row r="401" spans="1:29" ht="12.6" customHeight="1" x14ac:dyDescent="0.2">
      <c r="A401" s="94"/>
      <c r="B401" s="696" t="s">
        <v>999</v>
      </c>
      <c r="C401" s="698"/>
      <c r="D401" s="698"/>
      <c r="E401" s="699"/>
      <c r="F401" s="334">
        <f>0.32*X2</f>
        <v>412.8</v>
      </c>
      <c r="G401" s="258">
        <f t="shared" ref="G401" si="1189">+F401*$X$1</f>
        <v>412.8</v>
      </c>
      <c r="H401" s="251"/>
      <c r="I401" s="306"/>
      <c r="J401" s="576"/>
      <c r="K401" s="258"/>
      <c r="L401" s="576">
        <f t="shared" ref="L401" si="1190">F401+160</f>
        <v>572.79999999999995</v>
      </c>
      <c r="M401" s="258">
        <f t="shared" ref="M401" si="1191">+L401*$X$1</f>
        <v>572.79999999999995</v>
      </c>
      <c r="N401" s="576">
        <f t="shared" ref="N401" si="1192">F401+100</f>
        <v>512.79999999999995</v>
      </c>
      <c r="O401" s="258">
        <f t="shared" ref="O401" si="1193">+N401*$X$1</f>
        <v>512.79999999999995</v>
      </c>
      <c r="P401" s="576">
        <f t="shared" ref="P401" si="1194">F401+75</f>
        <v>487.8</v>
      </c>
      <c r="Q401" s="258">
        <f t="shared" ref="Q401" si="1195">+P401*$X$1</f>
        <v>487.8</v>
      </c>
      <c r="R401" s="576">
        <f t="shared" ref="R401" si="1196">F401+65</f>
        <v>477.8</v>
      </c>
      <c r="S401" s="258">
        <f t="shared" ref="S401" si="1197">+R401*$X$1</f>
        <v>477.8</v>
      </c>
      <c r="T401" s="92">
        <f t="shared" ref="T401" si="1198">F401+50</f>
        <v>462.8</v>
      </c>
      <c r="U401" s="272">
        <f t="shared" ref="U401" si="1199">+T401*$X$1</f>
        <v>462.8</v>
      </c>
      <c r="V401" s="92">
        <f t="shared" ref="V401" si="1200">F401+38</f>
        <v>450.8</v>
      </c>
      <c r="W401" s="272">
        <f t="shared" ref="W401" si="1201">+V401*$X$1</f>
        <v>450.8</v>
      </c>
      <c r="X401" s="156"/>
      <c r="Y401" s="119"/>
      <c r="Z401" s="119"/>
      <c r="AA401" s="135"/>
      <c r="AB401" s="453" t="s">
        <v>998</v>
      </c>
      <c r="AC401" s="62"/>
    </row>
    <row r="402" spans="1:29" ht="12.6" customHeight="1" x14ac:dyDescent="0.2">
      <c r="A402" s="94"/>
      <c r="B402" s="664" t="s">
        <v>225</v>
      </c>
      <c r="C402" s="665"/>
      <c r="D402" s="665"/>
      <c r="E402" s="666"/>
      <c r="F402" s="469">
        <v>430</v>
      </c>
      <c r="G402" s="469">
        <f>+F402*$X$1</f>
        <v>430</v>
      </c>
      <c r="H402" s="470"/>
      <c r="I402" s="472"/>
      <c r="J402" s="532"/>
      <c r="K402" s="469"/>
      <c r="L402" s="532">
        <f>F402+160</f>
        <v>590</v>
      </c>
      <c r="M402" s="469">
        <f>+L402*$X$1</f>
        <v>590</v>
      </c>
      <c r="N402" s="532">
        <f>F402+100</f>
        <v>530</v>
      </c>
      <c r="O402" s="469">
        <f>+N402*$X$1</f>
        <v>530</v>
      </c>
      <c r="P402" s="532">
        <f>F402+75</f>
        <v>505</v>
      </c>
      <c r="Q402" s="469">
        <f>+P402*$X$1</f>
        <v>505</v>
      </c>
      <c r="R402" s="532">
        <f>F402+65</f>
        <v>495</v>
      </c>
      <c r="S402" s="469">
        <f>+R402*$X$1</f>
        <v>495</v>
      </c>
      <c r="T402" s="549">
        <f>F402+50</f>
        <v>480</v>
      </c>
      <c r="U402" s="548">
        <f>+T402*$X$1</f>
        <v>480</v>
      </c>
      <c r="V402" s="549">
        <f>F402+38</f>
        <v>468</v>
      </c>
      <c r="W402" s="548">
        <f>+V402*$X$1</f>
        <v>468</v>
      </c>
      <c r="X402" s="156"/>
      <c r="Y402" s="119"/>
      <c r="Z402" s="119"/>
      <c r="AA402" s="119"/>
      <c r="AB402" s="353">
        <v>2255</v>
      </c>
      <c r="AC402" s="62"/>
    </row>
    <row r="403" spans="1:29" ht="12.6" customHeight="1" x14ac:dyDescent="0.2">
      <c r="A403" s="88"/>
      <c r="B403" s="671" t="s">
        <v>808</v>
      </c>
      <c r="C403" s="672"/>
      <c r="D403" s="672"/>
      <c r="E403" s="672"/>
      <c r="F403" s="334">
        <f>1.745*X2</f>
        <v>2251.0500000000002</v>
      </c>
      <c r="G403" s="258">
        <f>+F403*$X$1</f>
        <v>2251.0500000000002</v>
      </c>
      <c r="H403" s="251"/>
      <c r="I403" s="306"/>
      <c r="J403" s="406"/>
      <c r="K403" s="258"/>
      <c r="L403" s="406">
        <f>F403+160</f>
        <v>2411.0500000000002</v>
      </c>
      <c r="M403" s="258">
        <f>+L403*$X$1</f>
        <v>2411.0500000000002</v>
      </c>
      <c r="N403" s="406">
        <f>F403+100</f>
        <v>2351.0500000000002</v>
      </c>
      <c r="O403" s="258">
        <f>+N403*$X$1</f>
        <v>2351.0500000000002</v>
      </c>
      <c r="P403" s="406">
        <f>F403+75</f>
        <v>2326.0500000000002</v>
      </c>
      <c r="Q403" s="258">
        <f>+P403*$X$1</f>
        <v>2326.0500000000002</v>
      </c>
      <c r="R403" s="406">
        <f>F403+65</f>
        <v>2316.0500000000002</v>
      </c>
      <c r="S403" s="258">
        <f>+R403*$X$1</f>
        <v>2316.0500000000002</v>
      </c>
      <c r="T403" s="92">
        <f>F403+50</f>
        <v>2301.0500000000002</v>
      </c>
      <c r="U403" s="272">
        <f>+T403*$X$1</f>
        <v>2301.0500000000002</v>
      </c>
      <c r="V403" s="92">
        <f>F403+38</f>
        <v>2289.0500000000002</v>
      </c>
      <c r="W403" s="272">
        <f>+V403*$X$1</f>
        <v>2289.0500000000002</v>
      </c>
      <c r="X403" s="126"/>
      <c r="Y403" s="122"/>
      <c r="Z403" s="122"/>
      <c r="AA403" s="125"/>
      <c r="AB403" s="353">
        <v>2258</v>
      </c>
    </row>
    <row r="404" spans="1:29" ht="12.6" customHeight="1" x14ac:dyDescent="0.2">
      <c r="A404" s="17"/>
      <c r="B404" s="710" t="s">
        <v>607</v>
      </c>
      <c r="C404" s="711"/>
      <c r="D404" s="711"/>
      <c r="E404" s="711"/>
      <c r="F404" s="333">
        <f>0.51*X2</f>
        <v>657.9</v>
      </c>
      <c r="G404" s="257">
        <f>+F404*$X$1</f>
        <v>657.9</v>
      </c>
      <c r="H404" s="534"/>
      <c r="I404" s="257"/>
      <c r="J404" s="534"/>
      <c r="K404" s="257"/>
      <c r="L404" s="534">
        <f>F404+160</f>
        <v>817.9</v>
      </c>
      <c r="M404" s="257">
        <f>+L404*$X$1</f>
        <v>817.9</v>
      </c>
      <c r="N404" s="534">
        <f>F404+100</f>
        <v>757.9</v>
      </c>
      <c r="O404" s="257">
        <f>+N404*$X$1</f>
        <v>757.9</v>
      </c>
      <c r="P404" s="534">
        <f>F404+75</f>
        <v>732.9</v>
      </c>
      <c r="Q404" s="257">
        <f>+P404*$X$1</f>
        <v>732.9</v>
      </c>
      <c r="R404" s="534">
        <f>F404+65</f>
        <v>722.9</v>
      </c>
      <c r="S404" s="257">
        <f>+R404*$X$1</f>
        <v>722.9</v>
      </c>
      <c r="T404" s="93">
        <f>F404+50</f>
        <v>707.9</v>
      </c>
      <c r="U404" s="235">
        <f>+T404*$X$1</f>
        <v>707.9</v>
      </c>
      <c r="V404" s="93">
        <f>F404+38</f>
        <v>695.9</v>
      </c>
      <c r="W404" s="235">
        <f>+V404*$X$1</f>
        <v>695.9</v>
      </c>
      <c r="X404" s="638"/>
      <c r="Y404" s="639"/>
      <c r="Z404" s="639"/>
      <c r="AA404" s="640"/>
      <c r="AB404" s="353">
        <v>2260</v>
      </c>
      <c r="AC404" s="62"/>
    </row>
    <row r="405" spans="1:29" ht="12.6" customHeight="1" x14ac:dyDescent="0.2">
      <c r="A405" s="17"/>
      <c r="B405" s="662" t="s">
        <v>596</v>
      </c>
      <c r="C405" s="1003"/>
      <c r="D405" s="1003"/>
      <c r="E405" s="1003"/>
      <c r="F405" s="334">
        <f>0.54*X2</f>
        <v>696.6</v>
      </c>
      <c r="G405" s="258">
        <f t="shared" ref="G405:G406" si="1202">+F405*$X$1</f>
        <v>696.6</v>
      </c>
      <c r="H405" s="406"/>
      <c r="I405" s="258"/>
      <c r="J405" s="406"/>
      <c r="K405" s="258"/>
      <c r="L405" s="406">
        <f>F405+160</f>
        <v>856.6</v>
      </c>
      <c r="M405" s="258">
        <f>+L405*$X$1</f>
        <v>856.6</v>
      </c>
      <c r="N405" s="406">
        <f>F405+100</f>
        <v>796.6</v>
      </c>
      <c r="O405" s="258">
        <f>+N405*$X$1</f>
        <v>796.6</v>
      </c>
      <c r="P405" s="406">
        <f>F405+75</f>
        <v>771.6</v>
      </c>
      <c r="Q405" s="258">
        <f>+P405*$X$1</f>
        <v>771.6</v>
      </c>
      <c r="R405" s="406">
        <f>F405+65</f>
        <v>761.6</v>
      </c>
      <c r="S405" s="258">
        <f>+R405*$X$1</f>
        <v>761.6</v>
      </c>
      <c r="T405" s="92">
        <f>F405+50</f>
        <v>746.6</v>
      </c>
      <c r="U405" s="272">
        <f>+T405*$X$1</f>
        <v>746.6</v>
      </c>
      <c r="V405" s="92">
        <f>F405+38</f>
        <v>734.6</v>
      </c>
      <c r="W405" s="272">
        <f>+V405*$X$1</f>
        <v>734.6</v>
      </c>
      <c r="X405" s="638"/>
      <c r="Y405" s="639"/>
      <c r="Z405" s="639"/>
      <c r="AA405" s="640"/>
      <c r="AB405" s="353">
        <v>2261</v>
      </c>
      <c r="AC405" s="62"/>
    </row>
    <row r="406" spans="1:29" ht="12.6" customHeight="1" x14ac:dyDescent="0.2">
      <c r="A406" s="17"/>
      <c r="B406" s="710" t="s">
        <v>609</v>
      </c>
      <c r="C406" s="711"/>
      <c r="D406" s="711"/>
      <c r="E406" s="711"/>
      <c r="F406" s="333">
        <f>0.45*X2</f>
        <v>580.5</v>
      </c>
      <c r="G406" s="257">
        <f t="shared" si="1202"/>
        <v>580.5</v>
      </c>
      <c r="H406" s="534"/>
      <c r="I406" s="257"/>
      <c r="J406" s="534"/>
      <c r="K406" s="257"/>
      <c r="L406" s="534">
        <f>F406+160</f>
        <v>740.5</v>
      </c>
      <c r="M406" s="257">
        <f>+L406*$X$1</f>
        <v>740.5</v>
      </c>
      <c r="N406" s="534">
        <f>F406+100</f>
        <v>680.5</v>
      </c>
      <c r="O406" s="257">
        <f>+N406*$X$1</f>
        <v>680.5</v>
      </c>
      <c r="P406" s="534">
        <f>F406+75</f>
        <v>655.5</v>
      </c>
      <c r="Q406" s="257">
        <f>+P406*$X$1</f>
        <v>655.5</v>
      </c>
      <c r="R406" s="534">
        <f>F406+65</f>
        <v>645.5</v>
      </c>
      <c r="S406" s="257">
        <f>+R406*$X$1</f>
        <v>645.5</v>
      </c>
      <c r="T406" s="93">
        <f>F406+50</f>
        <v>630.5</v>
      </c>
      <c r="U406" s="235">
        <f>+T406*$X$1</f>
        <v>630.5</v>
      </c>
      <c r="V406" s="93">
        <f>F406+38</f>
        <v>618.5</v>
      </c>
      <c r="W406" s="235">
        <f>+V406*$X$1</f>
        <v>618.5</v>
      </c>
      <c r="X406" s="638"/>
      <c r="Y406" s="639"/>
      <c r="Z406" s="639"/>
      <c r="AA406" s="640"/>
      <c r="AB406" s="353">
        <v>2262</v>
      </c>
      <c r="AC406" s="62"/>
    </row>
    <row r="407" spans="1:29" ht="12.6" customHeight="1" x14ac:dyDescent="0.2">
      <c r="A407" s="17"/>
      <c r="B407" s="662" t="s">
        <v>608</v>
      </c>
      <c r="C407" s="1003"/>
      <c r="D407" s="1003"/>
      <c r="E407" s="1003"/>
      <c r="F407" s="334">
        <f>0.69*X2</f>
        <v>890.09999999999991</v>
      </c>
      <c r="G407" s="258">
        <f t="shared" ref="G407" si="1203">+F407*$X$1</f>
        <v>890.09999999999991</v>
      </c>
      <c r="H407" s="406"/>
      <c r="I407" s="258"/>
      <c r="J407" s="406"/>
      <c r="K407" s="258"/>
      <c r="L407" s="406">
        <f t="shared" ref="L407" si="1204">F407+160</f>
        <v>1050.0999999999999</v>
      </c>
      <c r="M407" s="258">
        <f t="shared" ref="M407:M409" si="1205">+L407*$X$1</f>
        <v>1050.0999999999999</v>
      </c>
      <c r="N407" s="406">
        <f t="shared" ref="N407" si="1206">F407+100</f>
        <v>990.09999999999991</v>
      </c>
      <c r="O407" s="258">
        <f t="shared" ref="O407" si="1207">+N407*$X$1</f>
        <v>990.09999999999991</v>
      </c>
      <c r="P407" s="406">
        <f t="shared" ref="P407" si="1208">F407+75</f>
        <v>965.09999999999991</v>
      </c>
      <c r="Q407" s="258">
        <f t="shared" ref="Q407" si="1209">+P407*$X$1</f>
        <v>965.09999999999991</v>
      </c>
      <c r="R407" s="406">
        <f t="shared" ref="R407" si="1210">F407+65</f>
        <v>955.09999999999991</v>
      </c>
      <c r="S407" s="258">
        <f t="shared" ref="S407" si="1211">+R407*$X$1</f>
        <v>955.09999999999991</v>
      </c>
      <c r="T407" s="92">
        <f t="shared" ref="T407" si="1212">F407+50</f>
        <v>940.09999999999991</v>
      </c>
      <c r="U407" s="272">
        <f t="shared" ref="U407" si="1213">+T407*$X$1</f>
        <v>940.09999999999991</v>
      </c>
      <c r="V407" s="92">
        <f t="shared" ref="V407" si="1214">F407+38</f>
        <v>928.09999999999991</v>
      </c>
      <c r="W407" s="272">
        <f t="shared" ref="W407" si="1215">+V407*$X$1</f>
        <v>928.09999999999991</v>
      </c>
      <c r="X407" s="638"/>
      <c r="Y407" s="639"/>
      <c r="Z407" s="639"/>
      <c r="AA407" s="640"/>
      <c r="AB407" s="353">
        <v>2266</v>
      </c>
      <c r="AC407" s="62"/>
    </row>
    <row r="408" spans="1:29" ht="12.6" customHeight="1" x14ac:dyDescent="0.2">
      <c r="A408" s="17"/>
      <c r="B408" s="1166" t="s">
        <v>226</v>
      </c>
      <c r="C408" s="1167"/>
      <c r="D408" s="1167"/>
      <c r="E408" s="1167"/>
      <c r="F408" s="465">
        <f>1.85*X2</f>
        <v>2386.5</v>
      </c>
      <c r="G408" s="257">
        <f t="shared" ref="G408:G409" si="1216">+F408*$X$1</f>
        <v>2386.5</v>
      </c>
      <c r="H408" s="534">
        <f>F408+650</f>
        <v>3036.5</v>
      </c>
      <c r="I408" s="257">
        <f t="shared" ref="I408" si="1217">+H408*$X$1</f>
        <v>3036.5</v>
      </c>
      <c r="J408" s="534">
        <f>F408+230</f>
        <v>2616.5</v>
      </c>
      <c r="K408" s="257">
        <f t="shared" ref="K408" si="1218">+J408*$X$1</f>
        <v>2616.5</v>
      </c>
      <c r="L408" s="534">
        <f>F408+190</f>
        <v>2576.5</v>
      </c>
      <c r="M408" s="257">
        <f t="shared" si="1205"/>
        <v>2576.5</v>
      </c>
      <c r="N408" s="534"/>
      <c r="O408" s="257"/>
      <c r="P408" s="534"/>
      <c r="Q408" s="257"/>
      <c r="R408" s="534"/>
      <c r="S408" s="257"/>
      <c r="T408" s="534"/>
      <c r="U408" s="257"/>
      <c r="V408" s="534"/>
      <c r="W408" s="257"/>
      <c r="X408" s="638"/>
      <c r="Y408" s="639"/>
      <c r="Z408" s="639"/>
      <c r="AA408" s="640"/>
      <c r="AB408" s="353">
        <v>2268</v>
      </c>
      <c r="AC408" s="62"/>
    </row>
    <row r="409" spans="1:29" ht="12.6" customHeight="1" x14ac:dyDescent="0.2">
      <c r="A409" s="88"/>
      <c r="B409" s="671" t="s">
        <v>913</v>
      </c>
      <c r="C409" s="672"/>
      <c r="D409" s="672"/>
      <c r="E409" s="672"/>
      <c r="F409" s="334">
        <f>0.399*X2</f>
        <v>514.71</v>
      </c>
      <c r="G409" s="258">
        <f t="shared" si="1216"/>
        <v>514.71</v>
      </c>
      <c r="H409" s="251"/>
      <c r="I409" s="306"/>
      <c r="J409" s="406"/>
      <c r="K409" s="258"/>
      <c r="L409" s="406">
        <f t="shared" ref="L409" si="1219">F409+160</f>
        <v>674.71</v>
      </c>
      <c r="M409" s="258">
        <f t="shared" si="1205"/>
        <v>674.71</v>
      </c>
      <c r="N409" s="406">
        <f t="shared" ref="N409" si="1220">F409+100</f>
        <v>614.71</v>
      </c>
      <c r="O409" s="258">
        <f t="shared" ref="O409" si="1221">+N409*$X$1</f>
        <v>614.71</v>
      </c>
      <c r="P409" s="406">
        <f t="shared" ref="P409" si="1222">F409+75</f>
        <v>589.71</v>
      </c>
      <c r="Q409" s="258">
        <f t="shared" ref="Q409" si="1223">+P409*$X$1</f>
        <v>589.71</v>
      </c>
      <c r="R409" s="406">
        <f t="shared" ref="R409" si="1224">F409+65</f>
        <v>579.71</v>
      </c>
      <c r="S409" s="258">
        <f t="shared" ref="S409" si="1225">+R409*$X$1</f>
        <v>579.71</v>
      </c>
      <c r="T409" s="92">
        <f t="shared" ref="T409" si="1226">F409+50</f>
        <v>564.71</v>
      </c>
      <c r="U409" s="272">
        <f t="shared" ref="U409" si="1227">+T409*$X$1</f>
        <v>564.71</v>
      </c>
      <c r="V409" s="92">
        <f t="shared" ref="V409" si="1228">F409+38</f>
        <v>552.71</v>
      </c>
      <c r="W409" s="272">
        <f t="shared" ref="W409" si="1229">+V409*$X$1</f>
        <v>552.71</v>
      </c>
      <c r="X409" s="126"/>
      <c r="Y409" s="122"/>
      <c r="Z409" s="122"/>
      <c r="AA409" s="125"/>
      <c r="AB409" s="353">
        <v>2269</v>
      </c>
    </row>
    <row r="410" spans="1:29" ht="12.6" customHeight="1" x14ac:dyDescent="0.2">
      <c r="A410" s="17"/>
      <c r="B410" s="667" t="s">
        <v>227</v>
      </c>
      <c r="C410" s="668"/>
      <c r="D410" s="668"/>
      <c r="E410" s="668"/>
      <c r="F410" s="473">
        <f>0.27*X2</f>
        <v>348.3</v>
      </c>
      <c r="G410" s="469">
        <f>+F410*$X$1</f>
        <v>348.3</v>
      </c>
      <c r="H410" s="470"/>
      <c r="I410" s="470"/>
      <c r="J410" s="556"/>
      <c r="K410" s="556"/>
      <c r="L410" s="556">
        <f t="shared" ref="L410" si="1230">F410+160</f>
        <v>508.3</v>
      </c>
      <c r="M410" s="469">
        <f t="shared" ref="M410" si="1231">+L410*$X$1</f>
        <v>508.3</v>
      </c>
      <c r="N410" s="556">
        <f t="shared" ref="N410" si="1232">F410+100</f>
        <v>448.3</v>
      </c>
      <c r="O410" s="469">
        <f t="shared" ref="O410" si="1233">+N410*$X$1</f>
        <v>448.3</v>
      </c>
      <c r="P410" s="556">
        <f t="shared" ref="P410" si="1234">F410+75</f>
        <v>423.3</v>
      </c>
      <c r="Q410" s="469">
        <f t="shared" ref="Q410" si="1235">+P410*$X$1</f>
        <v>423.3</v>
      </c>
      <c r="R410" s="556">
        <f t="shared" ref="R410" si="1236">F410+65</f>
        <v>413.3</v>
      </c>
      <c r="S410" s="469">
        <f t="shared" ref="S410" si="1237">+R410*$X$1</f>
        <v>413.3</v>
      </c>
      <c r="T410" s="549">
        <f t="shared" ref="T410" si="1238">F410+50</f>
        <v>398.3</v>
      </c>
      <c r="U410" s="548">
        <f t="shared" ref="U410" si="1239">+T410*$X$1</f>
        <v>398.3</v>
      </c>
      <c r="V410" s="549">
        <f t="shared" ref="V410" si="1240">F410+38</f>
        <v>386.3</v>
      </c>
      <c r="W410" s="548">
        <f t="shared" ref="W410" si="1241">+V410*$X$1</f>
        <v>386.3</v>
      </c>
      <c r="X410" s="162"/>
      <c r="Y410" s="164"/>
      <c r="Z410" s="164"/>
      <c r="AA410" s="162"/>
      <c r="AB410" s="353">
        <v>2270</v>
      </c>
      <c r="AC410" s="62"/>
    </row>
    <row r="411" spans="1:29" ht="12.6" customHeight="1" x14ac:dyDescent="0.2">
      <c r="A411" s="17"/>
      <c r="B411" s="662" t="s">
        <v>849</v>
      </c>
      <c r="C411" s="728"/>
      <c r="D411" s="728"/>
      <c r="E411" s="728"/>
      <c r="F411" s="334">
        <f>0.44*X2</f>
        <v>567.6</v>
      </c>
      <c r="G411" s="258">
        <f>+F411*$X$1</f>
        <v>567.6</v>
      </c>
      <c r="H411" s="251"/>
      <c r="I411" s="251"/>
      <c r="J411" s="406"/>
      <c r="K411" s="406"/>
      <c r="L411" s="406">
        <f>F411+160</f>
        <v>727.6</v>
      </c>
      <c r="M411" s="258">
        <f>+L411*$X$1</f>
        <v>727.6</v>
      </c>
      <c r="N411" s="406">
        <f>F411+100</f>
        <v>667.6</v>
      </c>
      <c r="O411" s="258">
        <f>+N411*$X$1</f>
        <v>667.6</v>
      </c>
      <c r="P411" s="406">
        <f>F411+75</f>
        <v>642.6</v>
      </c>
      <c r="Q411" s="258">
        <f>+P411*$X$1</f>
        <v>642.6</v>
      </c>
      <c r="R411" s="406">
        <f>F411+65</f>
        <v>632.6</v>
      </c>
      <c r="S411" s="258">
        <f>+R411*$X$1</f>
        <v>632.6</v>
      </c>
      <c r="T411" s="92">
        <f>F411+50</f>
        <v>617.6</v>
      </c>
      <c r="U411" s="272">
        <f>+T411*$X$1</f>
        <v>617.6</v>
      </c>
      <c r="V411" s="92">
        <f>F411+38</f>
        <v>605.6</v>
      </c>
      <c r="W411" s="272">
        <f>+V411*$X$1</f>
        <v>605.6</v>
      </c>
      <c r="X411" s="494"/>
      <c r="Y411" s="492"/>
      <c r="Z411" s="492"/>
      <c r="AA411" s="494"/>
      <c r="AB411" s="353">
        <v>2271</v>
      </c>
      <c r="AC411" s="62"/>
    </row>
    <row r="412" spans="1:29" ht="12.6" customHeight="1" x14ac:dyDescent="0.2">
      <c r="A412" s="17"/>
      <c r="B412" s="710" t="s">
        <v>850</v>
      </c>
      <c r="C412" s="724"/>
      <c r="D412" s="724"/>
      <c r="E412" s="724"/>
      <c r="F412" s="333">
        <f>0.59*X2</f>
        <v>761.09999999999991</v>
      </c>
      <c r="G412" s="257">
        <f>+F412*$X$1</f>
        <v>761.09999999999991</v>
      </c>
      <c r="H412" s="252"/>
      <c r="I412" s="252"/>
      <c r="J412" s="555"/>
      <c r="K412" s="555"/>
      <c r="L412" s="555">
        <f>F412+160</f>
        <v>921.09999999999991</v>
      </c>
      <c r="M412" s="257">
        <f>+L412*$X$1</f>
        <v>921.09999999999991</v>
      </c>
      <c r="N412" s="555">
        <f>F412+100</f>
        <v>861.09999999999991</v>
      </c>
      <c r="O412" s="257">
        <f>+N412*$X$1</f>
        <v>861.09999999999991</v>
      </c>
      <c r="P412" s="555">
        <f>F412+75</f>
        <v>836.09999999999991</v>
      </c>
      <c r="Q412" s="257">
        <f>+P412*$X$1</f>
        <v>836.09999999999991</v>
      </c>
      <c r="R412" s="555">
        <f>F412+65</f>
        <v>826.09999999999991</v>
      </c>
      <c r="S412" s="257">
        <f>+R412*$X$1</f>
        <v>826.09999999999991</v>
      </c>
      <c r="T412" s="93">
        <f>F412+50</f>
        <v>811.09999999999991</v>
      </c>
      <c r="U412" s="235">
        <f>+T412*$X$1</f>
        <v>811.09999999999991</v>
      </c>
      <c r="V412" s="93">
        <f>F412+38</f>
        <v>799.09999999999991</v>
      </c>
      <c r="W412" s="235">
        <f>+V412*$X$1</f>
        <v>799.09999999999991</v>
      </c>
      <c r="X412" s="494"/>
      <c r="Y412" s="492"/>
      <c r="Z412" s="492"/>
      <c r="AA412" s="494"/>
      <c r="AB412" s="353">
        <v>2272</v>
      </c>
      <c r="AC412" s="62"/>
    </row>
    <row r="413" spans="1:29" ht="12.6" customHeight="1" x14ac:dyDescent="0.2">
      <c r="A413" s="17"/>
      <c r="B413" s="662" t="s">
        <v>228</v>
      </c>
      <c r="C413" s="663"/>
      <c r="D413" s="663"/>
      <c r="E413" s="663"/>
      <c r="F413" s="334">
        <f>0.51*X2</f>
        <v>657.9</v>
      </c>
      <c r="G413" s="258">
        <f>+F413*$X$1</f>
        <v>657.9</v>
      </c>
      <c r="H413" s="251"/>
      <c r="I413" s="251"/>
      <c r="J413" s="406"/>
      <c r="K413" s="406"/>
      <c r="L413" s="406">
        <f>F413+160</f>
        <v>817.9</v>
      </c>
      <c r="M413" s="258">
        <f>+L413*$X$1</f>
        <v>817.9</v>
      </c>
      <c r="N413" s="406">
        <f>F413+100</f>
        <v>757.9</v>
      </c>
      <c r="O413" s="258">
        <f>+N413*$X$1</f>
        <v>757.9</v>
      </c>
      <c r="P413" s="406">
        <f>F413+75</f>
        <v>732.9</v>
      </c>
      <c r="Q413" s="258">
        <f>+P413*$X$1</f>
        <v>732.9</v>
      </c>
      <c r="R413" s="406">
        <f>F413+65</f>
        <v>722.9</v>
      </c>
      <c r="S413" s="258">
        <f>+R413*$X$1</f>
        <v>722.9</v>
      </c>
      <c r="T413" s="92">
        <f>F413+50</f>
        <v>707.9</v>
      </c>
      <c r="U413" s="272">
        <f>+T413*$X$1</f>
        <v>707.9</v>
      </c>
      <c r="V413" s="92">
        <f>F413+38</f>
        <v>695.9</v>
      </c>
      <c r="W413" s="272">
        <f>+V413*$X$1</f>
        <v>695.9</v>
      </c>
      <c r="X413" s="162"/>
      <c r="Y413" s="164"/>
      <c r="Z413" s="164"/>
      <c r="AA413" s="162"/>
      <c r="AB413" s="353">
        <v>2275</v>
      </c>
      <c r="AC413" s="62"/>
    </row>
    <row r="414" spans="1:29" ht="12.6" customHeight="1" x14ac:dyDescent="0.2">
      <c r="A414" s="17"/>
      <c r="B414" s="710" t="s">
        <v>941</v>
      </c>
      <c r="C414" s="794"/>
      <c r="D414" s="794"/>
      <c r="E414" s="794"/>
      <c r="F414" s="333">
        <f>0.57*X2</f>
        <v>735.3</v>
      </c>
      <c r="G414" s="257">
        <f t="shared" ref="G414" si="1242">+F414*$X$1</f>
        <v>735.3</v>
      </c>
      <c r="H414" s="252"/>
      <c r="I414" s="252"/>
      <c r="J414" s="555"/>
      <c r="K414" s="555"/>
      <c r="L414" s="555">
        <f>F414+160</f>
        <v>895.3</v>
      </c>
      <c r="M414" s="257">
        <f>+L414*$X$1</f>
        <v>895.3</v>
      </c>
      <c r="N414" s="555">
        <f>F414+100</f>
        <v>835.3</v>
      </c>
      <c r="O414" s="257">
        <f>+N414*$X$1</f>
        <v>835.3</v>
      </c>
      <c r="P414" s="555">
        <f>F414+75</f>
        <v>810.3</v>
      </c>
      <c r="Q414" s="257">
        <f>+P414*$X$1</f>
        <v>810.3</v>
      </c>
      <c r="R414" s="555">
        <f>F414+65</f>
        <v>800.3</v>
      </c>
      <c r="S414" s="257">
        <f>+R414*$X$1</f>
        <v>800.3</v>
      </c>
      <c r="T414" s="93">
        <f>F414+50</f>
        <v>785.3</v>
      </c>
      <c r="U414" s="235">
        <f>+T414*$X$1</f>
        <v>785.3</v>
      </c>
      <c r="V414" s="93">
        <f>F414+38</f>
        <v>773.3</v>
      </c>
      <c r="W414" s="235">
        <f>+V414*$X$1</f>
        <v>773.3</v>
      </c>
      <c r="X414" s="209"/>
      <c r="Y414" s="210"/>
      <c r="Z414" s="210"/>
      <c r="AA414" s="209"/>
      <c r="AB414" s="353">
        <v>2279</v>
      </c>
      <c r="AC414" s="62"/>
    </row>
    <row r="415" spans="1:29" ht="12.6" customHeight="1" x14ac:dyDescent="0.2">
      <c r="A415" s="17"/>
      <c r="B415" s="784" t="s">
        <v>942</v>
      </c>
      <c r="C415" s="785"/>
      <c r="D415" s="785"/>
      <c r="E415" s="785"/>
      <c r="F415" s="334">
        <f>0.57*X2</f>
        <v>735.3</v>
      </c>
      <c r="G415" s="258">
        <f t="shared" ref="G415" si="1243">+F415*$X$1</f>
        <v>735.3</v>
      </c>
      <c r="H415" s="251"/>
      <c r="I415" s="251"/>
      <c r="J415" s="562"/>
      <c r="K415" s="562"/>
      <c r="L415" s="562">
        <f t="shared" ref="L415" si="1244">F415+160</f>
        <v>895.3</v>
      </c>
      <c r="M415" s="258">
        <f t="shared" ref="M415" si="1245">+L415*$X$1</f>
        <v>895.3</v>
      </c>
      <c r="N415" s="562">
        <f t="shared" ref="N415" si="1246">F415+100</f>
        <v>835.3</v>
      </c>
      <c r="O415" s="258">
        <f t="shared" ref="O415" si="1247">+N415*$X$1</f>
        <v>835.3</v>
      </c>
      <c r="P415" s="562">
        <f t="shared" ref="P415" si="1248">F415+75</f>
        <v>810.3</v>
      </c>
      <c r="Q415" s="258">
        <f t="shared" ref="Q415" si="1249">+P415*$X$1</f>
        <v>810.3</v>
      </c>
      <c r="R415" s="562">
        <f t="shared" ref="R415" si="1250">F415+65</f>
        <v>800.3</v>
      </c>
      <c r="S415" s="258">
        <f t="shared" ref="S415" si="1251">+R415*$X$1</f>
        <v>800.3</v>
      </c>
      <c r="T415" s="92">
        <f t="shared" ref="T415" si="1252">F415+50</f>
        <v>785.3</v>
      </c>
      <c r="U415" s="272">
        <f t="shared" ref="U415" si="1253">+T415*$X$1</f>
        <v>785.3</v>
      </c>
      <c r="V415" s="92">
        <f t="shared" ref="V415" si="1254">F415+38</f>
        <v>773.3</v>
      </c>
      <c r="W415" s="272">
        <f t="shared" ref="W415" si="1255">+V415*$X$1</f>
        <v>773.3</v>
      </c>
      <c r="X415" s="560"/>
      <c r="Y415" s="561"/>
      <c r="Z415" s="561"/>
      <c r="AA415" s="560"/>
      <c r="AB415" s="353" t="s">
        <v>935</v>
      </c>
      <c r="AC415" s="62"/>
    </row>
    <row r="416" spans="1:29" ht="12.6" customHeight="1" x14ac:dyDescent="0.2">
      <c r="A416" s="17"/>
      <c r="B416" s="710" t="s">
        <v>229</v>
      </c>
      <c r="C416" s="794"/>
      <c r="D416" s="794"/>
      <c r="E416" s="794"/>
      <c r="F416" s="333">
        <f>0.429*X2</f>
        <v>553.41</v>
      </c>
      <c r="G416" s="257">
        <f>+F416*$X$1</f>
        <v>553.41</v>
      </c>
      <c r="H416" s="252"/>
      <c r="I416" s="252"/>
      <c r="J416" s="558"/>
      <c r="K416" s="558"/>
      <c r="L416" s="558">
        <f>F416+160</f>
        <v>713.41</v>
      </c>
      <c r="M416" s="257">
        <f>+L416*$X$1</f>
        <v>713.41</v>
      </c>
      <c r="N416" s="558">
        <f>F416+100</f>
        <v>653.41</v>
      </c>
      <c r="O416" s="257">
        <f>+N416*$X$1</f>
        <v>653.41</v>
      </c>
      <c r="P416" s="558">
        <f>F416+75</f>
        <v>628.41</v>
      </c>
      <c r="Q416" s="257">
        <f>+P416*$X$1</f>
        <v>628.41</v>
      </c>
      <c r="R416" s="558">
        <f>F416+65</f>
        <v>618.41</v>
      </c>
      <c r="S416" s="257">
        <f>+R416*$X$1</f>
        <v>618.41</v>
      </c>
      <c r="T416" s="93">
        <f>F416+50</f>
        <v>603.41</v>
      </c>
      <c r="U416" s="235">
        <f>+T416*$X$1</f>
        <v>603.41</v>
      </c>
      <c r="V416" s="93">
        <f>F416+38</f>
        <v>591.41</v>
      </c>
      <c r="W416" s="235">
        <f>+V416*$X$1</f>
        <v>591.41</v>
      </c>
      <c r="X416" s="162"/>
      <c r="Y416" s="164"/>
      <c r="Z416" s="164"/>
      <c r="AA416" s="162"/>
      <c r="AB416" s="353">
        <v>2280</v>
      </c>
      <c r="AC416" s="62"/>
    </row>
    <row r="417" spans="1:29" ht="12.6" customHeight="1" x14ac:dyDescent="0.2">
      <c r="A417" s="17"/>
      <c r="B417" s="662" t="s">
        <v>438</v>
      </c>
      <c r="C417" s="663"/>
      <c r="D417" s="663"/>
      <c r="E417" s="663"/>
      <c r="F417" s="334">
        <f>0.37*X2</f>
        <v>477.3</v>
      </c>
      <c r="G417" s="258">
        <f t="shared" ref="G417" si="1256">+F417*$X$1</f>
        <v>477.3</v>
      </c>
      <c r="H417" s="251"/>
      <c r="I417" s="251"/>
      <c r="J417" s="406"/>
      <c r="K417" s="406"/>
      <c r="L417" s="406">
        <f>F417+160</f>
        <v>637.29999999999995</v>
      </c>
      <c r="M417" s="258">
        <f>+L417*$X$1</f>
        <v>637.29999999999995</v>
      </c>
      <c r="N417" s="406">
        <f>F417+100</f>
        <v>577.29999999999995</v>
      </c>
      <c r="O417" s="258">
        <f>+N417*$X$1</f>
        <v>577.29999999999995</v>
      </c>
      <c r="P417" s="406">
        <f>F417+75</f>
        <v>552.29999999999995</v>
      </c>
      <c r="Q417" s="258">
        <f>+P417*$X$1</f>
        <v>552.29999999999995</v>
      </c>
      <c r="R417" s="406">
        <f>F417+65</f>
        <v>542.29999999999995</v>
      </c>
      <c r="S417" s="258">
        <f>+R417*$X$1</f>
        <v>542.29999999999995</v>
      </c>
      <c r="T417" s="92">
        <f>F417+50</f>
        <v>527.29999999999995</v>
      </c>
      <c r="U417" s="272">
        <f>+T417*$X$1</f>
        <v>527.29999999999995</v>
      </c>
      <c r="V417" s="92">
        <f>F417+38</f>
        <v>515.29999999999995</v>
      </c>
      <c r="W417" s="272">
        <f>+V417*$X$1</f>
        <v>515.29999999999995</v>
      </c>
      <c r="X417" s="162"/>
      <c r="Y417" s="164"/>
      <c r="Z417" s="164"/>
      <c r="AA417" s="162"/>
      <c r="AB417" s="353">
        <v>2281</v>
      </c>
      <c r="AC417" s="62"/>
    </row>
    <row r="418" spans="1:29" ht="12.6" customHeight="1" x14ac:dyDescent="0.2">
      <c r="A418" s="17"/>
      <c r="B418" s="659" t="s">
        <v>798</v>
      </c>
      <c r="C418" s="822"/>
      <c r="D418" s="822"/>
      <c r="E418" s="823"/>
      <c r="F418" s="337">
        <f>0.51*X2</f>
        <v>657.9</v>
      </c>
      <c r="G418" s="257">
        <f t="shared" ref="G418" si="1257">+F418*$X$1</f>
        <v>657.9</v>
      </c>
      <c r="H418" s="252"/>
      <c r="I418" s="305"/>
      <c r="J418" s="534"/>
      <c r="K418" s="257"/>
      <c r="L418" s="534">
        <f>F418+160</f>
        <v>817.9</v>
      </c>
      <c r="M418" s="257">
        <f>+L418*$X$1</f>
        <v>817.9</v>
      </c>
      <c r="N418" s="534">
        <f>F418+100</f>
        <v>757.9</v>
      </c>
      <c r="O418" s="257">
        <f>+N418*$X$1</f>
        <v>757.9</v>
      </c>
      <c r="P418" s="534">
        <f>F418+75</f>
        <v>732.9</v>
      </c>
      <c r="Q418" s="257">
        <f>+P418*$X$1</f>
        <v>732.9</v>
      </c>
      <c r="R418" s="534">
        <f>F418+65</f>
        <v>722.9</v>
      </c>
      <c r="S418" s="257">
        <f>+R418*$X$1</f>
        <v>722.9</v>
      </c>
      <c r="T418" s="93">
        <f>F418+50</f>
        <v>707.9</v>
      </c>
      <c r="U418" s="235">
        <f>+T418*$X$1</f>
        <v>707.9</v>
      </c>
      <c r="V418" s="93">
        <f>F418+38</f>
        <v>695.9</v>
      </c>
      <c r="W418" s="235">
        <f>+V418*$X$1</f>
        <v>695.9</v>
      </c>
      <c r="X418" s="119"/>
      <c r="Y418" s="119"/>
      <c r="Z418" s="119"/>
      <c r="AA418" s="119"/>
      <c r="AB418" s="353">
        <v>2282</v>
      </c>
    </row>
    <row r="419" spans="1:29" ht="12.6" customHeight="1" x14ac:dyDescent="0.2">
      <c r="A419" s="17"/>
      <c r="B419" s="664" t="s">
        <v>797</v>
      </c>
      <c r="C419" s="733"/>
      <c r="D419" s="733"/>
      <c r="E419" s="734"/>
      <c r="F419" s="477">
        <f>0.475*X2</f>
        <v>612.75</v>
      </c>
      <c r="G419" s="469">
        <f>+F419*$X$1</f>
        <v>612.75</v>
      </c>
      <c r="H419" s="470"/>
      <c r="I419" s="472"/>
      <c r="J419" s="598"/>
      <c r="K419" s="469"/>
      <c r="L419" s="598">
        <f t="shared" ref="L419" si="1258">F419+160</f>
        <v>772.75</v>
      </c>
      <c r="M419" s="469">
        <f t="shared" ref="M419" si="1259">+L419*$X$1</f>
        <v>772.75</v>
      </c>
      <c r="N419" s="598">
        <f t="shared" ref="N419" si="1260">F419+100</f>
        <v>712.75</v>
      </c>
      <c r="O419" s="469">
        <f t="shared" ref="O419" si="1261">+N419*$X$1</f>
        <v>712.75</v>
      </c>
      <c r="P419" s="598">
        <f t="shared" ref="P419" si="1262">F419+75</f>
        <v>687.75</v>
      </c>
      <c r="Q419" s="469">
        <f t="shared" ref="Q419" si="1263">+P419*$X$1</f>
        <v>687.75</v>
      </c>
      <c r="R419" s="598">
        <f t="shared" ref="R419" si="1264">F419+65</f>
        <v>677.75</v>
      </c>
      <c r="S419" s="469">
        <f t="shared" ref="S419" si="1265">+R419*$X$1</f>
        <v>677.75</v>
      </c>
      <c r="T419" s="549">
        <f t="shared" ref="T419" si="1266">F419+50</f>
        <v>662.75</v>
      </c>
      <c r="U419" s="548">
        <f t="shared" ref="U419" si="1267">+T419*$X$1</f>
        <v>662.75</v>
      </c>
      <c r="V419" s="549">
        <f t="shared" ref="V419" si="1268">F419+38</f>
        <v>650.75</v>
      </c>
      <c r="W419" s="548">
        <f t="shared" ref="W419" si="1269">+V419*$X$1</f>
        <v>650.75</v>
      </c>
      <c r="X419" s="119"/>
      <c r="Y419" s="119"/>
      <c r="Z419" s="119"/>
      <c r="AA419" s="119"/>
      <c r="AB419" s="353">
        <v>2283</v>
      </c>
    </row>
    <row r="420" spans="1:29" ht="12.6" customHeight="1" x14ac:dyDescent="0.2">
      <c r="A420" s="17"/>
      <c r="B420" s="710" t="s">
        <v>308</v>
      </c>
      <c r="C420" s="794"/>
      <c r="D420" s="794"/>
      <c r="E420" s="794"/>
      <c r="F420" s="333">
        <f>0.569*X2</f>
        <v>734.01</v>
      </c>
      <c r="G420" s="257">
        <f>+F420*$X$1</f>
        <v>734.01</v>
      </c>
      <c r="H420" s="252"/>
      <c r="I420" s="252"/>
      <c r="J420" s="534"/>
      <c r="K420" s="534"/>
      <c r="L420" s="534">
        <f t="shared" ref="L420:L431" si="1270">F420+160</f>
        <v>894.01</v>
      </c>
      <c r="M420" s="257">
        <f t="shared" ref="M420:M436" si="1271">+L420*$X$1</f>
        <v>894.01</v>
      </c>
      <c r="N420" s="534">
        <f t="shared" ref="N420:N431" si="1272">F420+100</f>
        <v>834.01</v>
      </c>
      <c r="O420" s="257">
        <f t="shared" ref="O420:O431" si="1273">+N420*$X$1</f>
        <v>834.01</v>
      </c>
      <c r="P420" s="534">
        <f t="shared" ref="P420:P431" si="1274">F420+75</f>
        <v>809.01</v>
      </c>
      <c r="Q420" s="257">
        <f t="shared" ref="Q420:Q436" si="1275">+P420*$X$1</f>
        <v>809.01</v>
      </c>
      <c r="R420" s="534">
        <f t="shared" ref="R420:R431" si="1276">F420+65</f>
        <v>799.01</v>
      </c>
      <c r="S420" s="257">
        <f t="shared" ref="S420:S431" si="1277">+R420*$X$1</f>
        <v>799.01</v>
      </c>
      <c r="T420" s="93">
        <f t="shared" ref="T420:T431" si="1278">F420+50</f>
        <v>784.01</v>
      </c>
      <c r="U420" s="235">
        <f t="shared" ref="U420:U436" si="1279">+T420*$X$1</f>
        <v>784.01</v>
      </c>
      <c r="V420" s="93">
        <f t="shared" ref="V420:V431" si="1280">F420+38</f>
        <v>772.01</v>
      </c>
      <c r="W420" s="235">
        <f t="shared" ref="W420:W436" si="1281">+V420*$X$1</f>
        <v>772.01</v>
      </c>
      <c r="X420" s="173"/>
      <c r="Y420" s="172"/>
      <c r="Z420" s="172"/>
      <c r="AA420" s="173"/>
      <c r="AB420" s="353">
        <v>2285</v>
      </c>
      <c r="AC420" s="62"/>
    </row>
    <row r="421" spans="1:29" ht="12.6" customHeight="1" x14ac:dyDescent="0.2">
      <c r="A421" s="17"/>
      <c r="B421" s="662" t="s">
        <v>309</v>
      </c>
      <c r="C421" s="663"/>
      <c r="D421" s="663"/>
      <c r="E421" s="663"/>
      <c r="F421" s="334">
        <f>0.31*X2</f>
        <v>399.9</v>
      </c>
      <c r="G421" s="258">
        <f>+F421*$X$1</f>
        <v>399.9</v>
      </c>
      <c r="H421" s="251"/>
      <c r="I421" s="251"/>
      <c r="J421" s="406"/>
      <c r="K421" s="406"/>
      <c r="L421" s="406">
        <f t="shared" si="1270"/>
        <v>559.9</v>
      </c>
      <c r="M421" s="258">
        <f t="shared" si="1271"/>
        <v>559.9</v>
      </c>
      <c r="N421" s="406">
        <f t="shared" si="1272"/>
        <v>499.9</v>
      </c>
      <c r="O421" s="258">
        <f t="shared" si="1273"/>
        <v>499.9</v>
      </c>
      <c r="P421" s="406">
        <f t="shared" si="1274"/>
        <v>474.9</v>
      </c>
      <c r="Q421" s="258">
        <f t="shared" si="1275"/>
        <v>474.9</v>
      </c>
      <c r="R421" s="406">
        <f t="shared" si="1276"/>
        <v>464.9</v>
      </c>
      <c r="S421" s="258">
        <f t="shared" si="1277"/>
        <v>464.9</v>
      </c>
      <c r="T421" s="92">
        <f t="shared" si="1278"/>
        <v>449.9</v>
      </c>
      <c r="U421" s="272">
        <f t="shared" si="1279"/>
        <v>449.9</v>
      </c>
      <c r="V421" s="92">
        <f t="shared" si="1280"/>
        <v>437.9</v>
      </c>
      <c r="W421" s="272">
        <f t="shared" si="1281"/>
        <v>437.9</v>
      </c>
      <c r="X421" s="174"/>
      <c r="Y421" s="175"/>
      <c r="Z421" s="175"/>
      <c r="AA421" s="174"/>
      <c r="AB421" s="353">
        <v>2286</v>
      </c>
      <c r="AC421" s="62"/>
    </row>
    <row r="422" spans="1:29" ht="12.6" customHeight="1" x14ac:dyDescent="0.2">
      <c r="A422" s="17"/>
      <c r="B422" s="641" t="s">
        <v>343</v>
      </c>
      <c r="C422" s="642"/>
      <c r="D422" s="642"/>
      <c r="E422" s="642"/>
      <c r="F422" s="337">
        <f>0.46*X2</f>
        <v>593.4</v>
      </c>
      <c r="G422" s="273">
        <f t="shared" ref="G422:G424" si="1282">+F422*$X$1</f>
        <v>593.4</v>
      </c>
      <c r="H422" s="422"/>
      <c r="I422" s="422"/>
      <c r="J422" s="93"/>
      <c r="K422" s="93"/>
      <c r="L422" s="534">
        <f t="shared" si="1270"/>
        <v>753.4</v>
      </c>
      <c r="M422" s="257">
        <f t="shared" si="1271"/>
        <v>753.4</v>
      </c>
      <c r="N422" s="534">
        <f t="shared" si="1272"/>
        <v>693.4</v>
      </c>
      <c r="O422" s="257">
        <f t="shared" si="1273"/>
        <v>693.4</v>
      </c>
      <c r="P422" s="534">
        <f t="shared" si="1274"/>
        <v>668.4</v>
      </c>
      <c r="Q422" s="257">
        <f t="shared" si="1275"/>
        <v>668.4</v>
      </c>
      <c r="R422" s="534">
        <f t="shared" si="1276"/>
        <v>658.4</v>
      </c>
      <c r="S422" s="257">
        <f t="shared" si="1277"/>
        <v>658.4</v>
      </c>
      <c r="T422" s="93">
        <f t="shared" si="1278"/>
        <v>643.4</v>
      </c>
      <c r="U422" s="235">
        <f t="shared" si="1279"/>
        <v>643.4</v>
      </c>
      <c r="V422" s="93">
        <f t="shared" si="1280"/>
        <v>631.4</v>
      </c>
      <c r="W422" s="235">
        <f t="shared" si="1281"/>
        <v>631.4</v>
      </c>
      <c r="X422" s="204"/>
      <c r="Y422" s="203"/>
      <c r="Z422" s="203"/>
      <c r="AA422" s="204"/>
      <c r="AB422" s="353">
        <v>2287</v>
      </c>
      <c r="AC422" s="62"/>
    </row>
    <row r="423" spans="1:29" ht="12.6" customHeight="1" x14ac:dyDescent="0.2">
      <c r="A423" s="17"/>
      <c r="B423" s="725" t="s">
        <v>352</v>
      </c>
      <c r="C423" s="726"/>
      <c r="D423" s="726"/>
      <c r="E423" s="727"/>
      <c r="F423" s="334">
        <f>0.92*X2</f>
        <v>1186.8</v>
      </c>
      <c r="G423" s="258">
        <f t="shared" si="1282"/>
        <v>1186.8</v>
      </c>
      <c r="H423" s="251"/>
      <c r="I423" s="251"/>
      <c r="J423" s="406"/>
      <c r="K423" s="406"/>
      <c r="L423" s="406">
        <f t="shared" si="1270"/>
        <v>1346.8</v>
      </c>
      <c r="M423" s="258">
        <f t="shared" si="1271"/>
        <v>1346.8</v>
      </c>
      <c r="N423" s="406">
        <f t="shared" si="1272"/>
        <v>1286.8</v>
      </c>
      <c r="O423" s="258">
        <f t="shared" si="1273"/>
        <v>1286.8</v>
      </c>
      <c r="P423" s="406">
        <f t="shared" si="1274"/>
        <v>1261.8</v>
      </c>
      <c r="Q423" s="258">
        <f t="shared" si="1275"/>
        <v>1261.8</v>
      </c>
      <c r="R423" s="406">
        <f t="shared" si="1276"/>
        <v>1251.8</v>
      </c>
      <c r="S423" s="258">
        <f t="shared" si="1277"/>
        <v>1251.8</v>
      </c>
      <c r="T423" s="92">
        <f t="shared" si="1278"/>
        <v>1236.8</v>
      </c>
      <c r="U423" s="272">
        <f t="shared" si="1279"/>
        <v>1236.8</v>
      </c>
      <c r="V423" s="92">
        <f t="shared" si="1280"/>
        <v>1224.8</v>
      </c>
      <c r="W423" s="272">
        <f t="shared" si="1281"/>
        <v>1224.8</v>
      </c>
      <c r="X423" s="205"/>
      <c r="Y423" s="206"/>
      <c r="Z423" s="206"/>
      <c r="AA423" s="205"/>
      <c r="AB423" s="353">
        <v>2289</v>
      </c>
      <c r="AC423" s="62"/>
    </row>
    <row r="424" spans="1:29" ht="12.6" customHeight="1" x14ac:dyDescent="0.2">
      <c r="A424" s="17"/>
      <c r="B424" s="676" t="s">
        <v>631</v>
      </c>
      <c r="C424" s="677"/>
      <c r="D424" s="677"/>
      <c r="E424" s="678"/>
      <c r="F424" s="337">
        <f>0.725*X2</f>
        <v>935.25</v>
      </c>
      <c r="G424" s="257">
        <f t="shared" si="1282"/>
        <v>935.25</v>
      </c>
      <c r="H424" s="252"/>
      <c r="I424" s="252"/>
      <c r="J424" s="534"/>
      <c r="K424" s="534"/>
      <c r="L424" s="534">
        <f t="shared" si="1270"/>
        <v>1095.25</v>
      </c>
      <c r="M424" s="257">
        <f t="shared" si="1271"/>
        <v>1095.25</v>
      </c>
      <c r="N424" s="534">
        <f t="shared" si="1272"/>
        <v>1035.25</v>
      </c>
      <c r="O424" s="257">
        <f t="shared" si="1273"/>
        <v>1035.25</v>
      </c>
      <c r="P424" s="534">
        <f t="shared" si="1274"/>
        <v>1010.25</v>
      </c>
      <c r="Q424" s="257">
        <f t="shared" si="1275"/>
        <v>1010.25</v>
      </c>
      <c r="R424" s="534">
        <f t="shared" si="1276"/>
        <v>1000.25</v>
      </c>
      <c r="S424" s="257">
        <f t="shared" si="1277"/>
        <v>1000.25</v>
      </c>
      <c r="T424" s="93">
        <f t="shared" si="1278"/>
        <v>985.25</v>
      </c>
      <c r="U424" s="235">
        <f t="shared" si="1279"/>
        <v>985.25</v>
      </c>
      <c r="V424" s="93">
        <f t="shared" si="1280"/>
        <v>973.25</v>
      </c>
      <c r="W424" s="235">
        <f t="shared" si="1281"/>
        <v>973.25</v>
      </c>
      <c r="X424" s="388"/>
      <c r="Y424" s="389"/>
      <c r="Z424" s="389"/>
      <c r="AA424" s="388"/>
      <c r="AB424" s="353">
        <v>2290</v>
      </c>
      <c r="AC424" s="62"/>
    </row>
    <row r="425" spans="1:29" ht="12.6" customHeight="1" x14ac:dyDescent="0.2">
      <c r="A425" s="17"/>
      <c r="B425" s="742" t="s">
        <v>437</v>
      </c>
      <c r="C425" s="743"/>
      <c r="D425" s="743"/>
      <c r="E425" s="744"/>
      <c r="F425" s="336">
        <f>0.41*X2</f>
        <v>528.9</v>
      </c>
      <c r="G425" s="258">
        <f t="shared" ref="G425" si="1283">+F425*$X$1</f>
        <v>528.9</v>
      </c>
      <c r="H425" s="251"/>
      <c r="I425" s="251"/>
      <c r="J425" s="406"/>
      <c r="K425" s="406"/>
      <c r="L425" s="406">
        <f t="shared" si="1270"/>
        <v>688.9</v>
      </c>
      <c r="M425" s="258">
        <f t="shared" si="1271"/>
        <v>688.9</v>
      </c>
      <c r="N425" s="406">
        <f t="shared" si="1272"/>
        <v>628.9</v>
      </c>
      <c r="O425" s="258">
        <f t="shared" si="1273"/>
        <v>628.9</v>
      </c>
      <c r="P425" s="406">
        <f t="shared" si="1274"/>
        <v>603.9</v>
      </c>
      <c r="Q425" s="258">
        <f t="shared" si="1275"/>
        <v>603.9</v>
      </c>
      <c r="R425" s="406">
        <f t="shared" si="1276"/>
        <v>593.9</v>
      </c>
      <c r="S425" s="258">
        <f t="shared" si="1277"/>
        <v>593.9</v>
      </c>
      <c r="T425" s="92">
        <f t="shared" si="1278"/>
        <v>578.9</v>
      </c>
      <c r="U425" s="272">
        <f t="shared" si="1279"/>
        <v>578.9</v>
      </c>
      <c r="V425" s="92">
        <f t="shared" si="1280"/>
        <v>566.9</v>
      </c>
      <c r="W425" s="272">
        <f t="shared" si="1281"/>
        <v>566.9</v>
      </c>
      <c r="X425" s="228"/>
      <c r="Y425" s="232"/>
      <c r="Z425" s="232"/>
      <c r="AA425" s="228"/>
      <c r="AB425" s="353">
        <v>2291</v>
      </c>
      <c r="AC425" s="62"/>
    </row>
    <row r="426" spans="1:29" ht="12.6" customHeight="1" x14ac:dyDescent="0.2">
      <c r="A426" s="17"/>
      <c r="B426" s="781" t="s">
        <v>565</v>
      </c>
      <c r="C426" s="782"/>
      <c r="D426" s="782"/>
      <c r="E426" s="783"/>
      <c r="F426" s="477">
        <f>0.22*X2</f>
        <v>283.8</v>
      </c>
      <c r="G426" s="469">
        <f t="shared" ref="G426" si="1284">+F426*$X$1</f>
        <v>283.8</v>
      </c>
      <c r="H426" s="470"/>
      <c r="I426" s="470"/>
      <c r="J426" s="556"/>
      <c r="K426" s="556"/>
      <c r="L426" s="556"/>
      <c r="M426" s="469"/>
      <c r="N426" s="556">
        <f t="shared" si="1272"/>
        <v>383.8</v>
      </c>
      <c r="O426" s="469">
        <f t="shared" si="1273"/>
        <v>383.8</v>
      </c>
      <c r="P426" s="556">
        <f t="shared" si="1274"/>
        <v>358.8</v>
      </c>
      <c r="Q426" s="469">
        <f t="shared" si="1275"/>
        <v>358.8</v>
      </c>
      <c r="R426" s="556">
        <f t="shared" si="1276"/>
        <v>348.8</v>
      </c>
      <c r="S426" s="469">
        <f t="shared" si="1277"/>
        <v>348.8</v>
      </c>
      <c r="T426" s="549">
        <f t="shared" si="1278"/>
        <v>333.8</v>
      </c>
      <c r="U426" s="548">
        <f t="shared" si="1279"/>
        <v>333.8</v>
      </c>
      <c r="V426" s="549">
        <f t="shared" si="1280"/>
        <v>321.8</v>
      </c>
      <c r="W426" s="548">
        <f t="shared" si="1281"/>
        <v>321.8</v>
      </c>
      <c r="X426" s="233"/>
      <c r="Y426" s="234"/>
      <c r="Z426" s="234"/>
      <c r="AA426" s="233"/>
      <c r="AB426" s="353">
        <v>2292</v>
      </c>
      <c r="AC426" s="62"/>
    </row>
    <row r="427" spans="1:29" ht="12.6" customHeight="1" x14ac:dyDescent="0.2">
      <c r="A427" s="17"/>
      <c r="B427" s="742" t="s">
        <v>455</v>
      </c>
      <c r="C427" s="743"/>
      <c r="D427" s="743"/>
      <c r="E427" s="744"/>
      <c r="F427" s="336">
        <f>0.882*X2</f>
        <v>1137.78</v>
      </c>
      <c r="G427" s="258">
        <f t="shared" ref="G427" si="1285">+F427*$X$1</f>
        <v>1137.78</v>
      </c>
      <c r="H427" s="251"/>
      <c r="I427" s="251"/>
      <c r="J427" s="406"/>
      <c r="K427" s="406"/>
      <c r="L427" s="406">
        <f t="shared" si="1270"/>
        <v>1297.78</v>
      </c>
      <c r="M427" s="258">
        <f t="shared" si="1271"/>
        <v>1297.78</v>
      </c>
      <c r="N427" s="406">
        <f t="shared" si="1272"/>
        <v>1237.78</v>
      </c>
      <c r="O427" s="258">
        <f t="shared" si="1273"/>
        <v>1237.78</v>
      </c>
      <c r="P427" s="406">
        <f t="shared" si="1274"/>
        <v>1212.78</v>
      </c>
      <c r="Q427" s="258">
        <f t="shared" si="1275"/>
        <v>1212.78</v>
      </c>
      <c r="R427" s="406">
        <f t="shared" si="1276"/>
        <v>1202.78</v>
      </c>
      <c r="S427" s="258">
        <f t="shared" si="1277"/>
        <v>1202.78</v>
      </c>
      <c r="T427" s="92">
        <f t="shared" si="1278"/>
        <v>1187.78</v>
      </c>
      <c r="U427" s="272">
        <f t="shared" si="1279"/>
        <v>1187.78</v>
      </c>
      <c r="V427" s="92">
        <f t="shared" si="1280"/>
        <v>1175.78</v>
      </c>
      <c r="W427" s="272">
        <f t="shared" si="1281"/>
        <v>1175.78</v>
      </c>
      <c r="X427" s="236"/>
      <c r="Y427" s="237"/>
      <c r="Z427" s="237"/>
      <c r="AA427" s="236"/>
      <c r="AB427" s="353">
        <v>2293</v>
      </c>
      <c r="AC427" s="62"/>
    </row>
    <row r="428" spans="1:29" ht="12.6" customHeight="1" x14ac:dyDescent="0.2">
      <c r="A428" s="17"/>
      <c r="B428" s="676" t="s">
        <v>512</v>
      </c>
      <c r="C428" s="677"/>
      <c r="D428" s="677"/>
      <c r="E428" s="678"/>
      <c r="F428" s="452">
        <v>380</v>
      </c>
      <c r="G428" s="257">
        <f t="shared" ref="G428" si="1286">+F428*$X$1</f>
        <v>380</v>
      </c>
      <c r="H428" s="252"/>
      <c r="I428" s="252"/>
      <c r="J428" s="534"/>
      <c r="K428" s="534"/>
      <c r="L428" s="534">
        <f t="shared" si="1270"/>
        <v>540</v>
      </c>
      <c r="M428" s="257">
        <f t="shared" si="1271"/>
        <v>540</v>
      </c>
      <c r="N428" s="534">
        <f t="shared" si="1272"/>
        <v>480</v>
      </c>
      <c r="O428" s="257">
        <f t="shared" si="1273"/>
        <v>480</v>
      </c>
      <c r="P428" s="534">
        <f t="shared" si="1274"/>
        <v>455</v>
      </c>
      <c r="Q428" s="257">
        <f t="shared" si="1275"/>
        <v>455</v>
      </c>
      <c r="R428" s="534">
        <f t="shared" si="1276"/>
        <v>445</v>
      </c>
      <c r="S428" s="257">
        <f t="shared" si="1277"/>
        <v>445</v>
      </c>
      <c r="T428" s="93">
        <f t="shared" si="1278"/>
        <v>430</v>
      </c>
      <c r="U428" s="235">
        <f t="shared" si="1279"/>
        <v>430</v>
      </c>
      <c r="V428" s="93">
        <f t="shared" si="1280"/>
        <v>418</v>
      </c>
      <c r="W428" s="235">
        <f t="shared" si="1281"/>
        <v>418</v>
      </c>
      <c r="X428" s="291"/>
      <c r="Y428" s="292"/>
      <c r="Z428" s="292"/>
      <c r="AA428" s="291"/>
      <c r="AB428" s="353">
        <v>2294</v>
      </c>
      <c r="AC428" s="62"/>
    </row>
    <row r="429" spans="1:29" ht="12.6" customHeight="1" x14ac:dyDescent="0.2">
      <c r="A429" s="17"/>
      <c r="B429" s="742" t="s">
        <v>396</v>
      </c>
      <c r="C429" s="743"/>
      <c r="D429" s="743"/>
      <c r="E429" s="744"/>
      <c r="F429" s="336">
        <f>0.5*X2</f>
        <v>645</v>
      </c>
      <c r="G429" s="258">
        <f t="shared" ref="G429" si="1287">+F429*$X$1</f>
        <v>645</v>
      </c>
      <c r="H429" s="251"/>
      <c r="I429" s="251"/>
      <c r="J429" s="406"/>
      <c r="K429" s="406"/>
      <c r="L429" s="406">
        <f t="shared" si="1270"/>
        <v>805</v>
      </c>
      <c r="M429" s="258">
        <f t="shared" si="1271"/>
        <v>805</v>
      </c>
      <c r="N429" s="406">
        <f t="shared" si="1272"/>
        <v>745</v>
      </c>
      <c r="O429" s="258">
        <f t="shared" si="1273"/>
        <v>745</v>
      </c>
      <c r="P429" s="406">
        <f t="shared" si="1274"/>
        <v>720</v>
      </c>
      <c r="Q429" s="258">
        <f t="shared" si="1275"/>
        <v>720</v>
      </c>
      <c r="R429" s="406">
        <f t="shared" si="1276"/>
        <v>710</v>
      </c>
      <c r="S429" s="258">
        <f t="shared" si="1277"/>
        <v>710</v>
      </c>
      <c r="T429" s="92">
        <f t="shared" si="1278"/>
        <v>695</v>
      </c>
      <c r="U429" s="272">
        <f t="shared" si="1279"/>
        <v>695</v>
      </c>
      <c r="V429" s="92">
        <f t="shared" si="1280"/>
        <v>683</v>
      </c>
      <c r="W429" s="272">
        <f t="shared" si="1281"/>
        <v>683</v>
      </c>
      <c r="X429" s="207"/>
      <c r="Y429" s="208"/>
      <c r="Z429" s="208"/>
      <c r="AA429" s="207"/>
      <c r="AB429" s="353">
        <v>2295</v>
      </c>
      <c r="AC429" s="62"/>
    </row>
    <row r="430" spans="1:29" ht="12.6" customHeight="1" x14ac:dyDescent="0.2">
      <c r="A430" s="17"/>
      <c r="B430" s="781" t="s">
        <v>354</v>
      </c>
      <c r="C430" s="782"/>
      <c r="D430" s="782"/>
      <c r="E430" s="783"/>
      <c r="F430" s="477">
        <f>0.37*X2</f>
        <v>477.3</v>
      </c>
      <c r="G430" s="469">
        <f t="shared" ref="G430" si="1288">+F430*$X$1</f>
        <v>477.3</v>
      </c>
      <c r="H430" s="470"/>
      <c r="I430" s="470"/>
      <c r="J430" s="532"/>
      <c r="K430" s="532"/>
      <c r="L430" s="532">
        <f t="shared" si="1270"/>
        <v>637.29999999999995</v>
      </c>
      <c r="M430" s="469">
        <f t="shared" si="1271"/>
        <v>637.29999999999995</v>
      </c>
      <c r="N430" s="532">
        <f t="shared" si="1272"/>
        <v>577.29999999999995</v>
      </c>
      <c r="O430" s="469">
        <f t="shared" si="1273"/>
        <v>577.29999999999995</v>
      </c>
      <c r="P430" s="532">
        <f t="shared" si="1274"/>
        <v>552.29999999999995</v>
      </c>
      <c r="Q430" s="469">
        <f t="shared" si="1275"/>
        <v>552.29999999999995</v>
      </c>
      <c r="R430" s="532">
        <f t="shared" si="1276"/>
        <v>542.29999999999995</v>
      </c>
      <c r="S430" s="469">
        <f t="shared" si="1277"/>
        <v>542.29999999999995</v>
      </c>
      <c r="T430" s="549">
        <f t="shared" si="1278"/>
        <v>527.29999999999995</v>
      </c>
      <c r="U430" s="548">
        <f t="shared" si="1279"/>
        <v>527.29999999999995</v>
      </c>
      <c r="V430" s="549">
        <f t="shared" si="1280"/>
        <v>515.29999999999995</v>
      </c>
      <c r="W430" s="548">
        <f t="shared" si="1281"/>
        <v>515.29999999999995</v>
      </c>
      <c r="X430" s="207"/>
      <c r="Y430" s="208"/>
      <c r="Z430" s="208"/>
      <c r="AA430" s="207"/>
      <c r="AB430" s="353">
        <v>2296</v>
      </c>
      <c r="AC430" s="62"/>
    </row>
    <row r="431" spans="1:29" ht="12.6" customHeight="1" x14ac:dyDescent="0.2">
      <c r="A431" s="17"/>
      <c r="B431" s="742" t="s">
        <v>494</v>
      </c>
      <c r="C431" s="743"/>
      <c r="D431" s="743"/>
      <c r="E431" s="744"/>
      <c r="F431" s="336">
        <f>0.565*X2</f>
        <v>728.84999999999991</v>
      </c>
      <c r="G431" s="258">
        <f t="shared" ref="G431" si="1289">+F431*$X$1</f>
        <v>728.84999999999991</v>
      </c>
      <c r="H431" s="251"/>
      <c r="I431" s="251"/>
      <c r="J431" s="406"/>
      <c r="K431" s="258"/>
      <c r="L431" s="406">
        <f t="shared" si="1270"/>
        <v>888.84999999999991</v>
      </c>
      <c r="M431" s="258">
        <f t="shared" si="1271"/>
        <v>888.84999999999991</v>
      </c>
      <c r="N431" s="406">
        <f t="shared" si="1272"/>
        <v>828.84999999999991</v>
      </c>
      <c r="O431" s="258">
        <f t="shared" si="1273"/>
        <v>828.84999999999991</v>
      </c>
      <c r="P431" s="406">
        <f t="shared" si="1274"/>
        <v>803.84999999999991</v>
      </c>
      <c r="Q431" s="258">
        <f t="shared" si="1275"/>
        <v>803.84999999999991</v>
      </c>
      <c r="R431" s="406">
        <f t="shared" si="1276"/>
        <v>793.84999999999991</v>
      </c>
      <c r="S431" s="258">
        <f t="shared" si="1277"/>
        <v>793.84999999999991</v>
      </c>
      <c r="T431" s="92">
        <f t="shared" si="1278"/>
        <v>778.84999999999991</v>
      </c>
      <c r="U431" s="272">
        <f t="shared" si="1279"/>
        <v>778.84999999999991</v>
      </c>
      <c r="V431" s="92">
        <f t="shared" si="1280"/>
        <v>766.84999999999991</v>
      </c>
      <c r="W431" s="272">
        <f t="shared" si="1281"/>
        <v>766.84999999999991</v>
      </c>
      <c r="X431" s="280"/>
      <c r="Y431" s="281"/>
      <c r="Z431" s="281"/>
      <c r="AA431" s="280"/>
      <c r="AB431" s="353">
        <v>2299</v>
      </c>
      <c r="AC431" s="62"/>
    </row>
    <row r="432" spans="1:29" ht="12.6" customHeight="1" x14ac:dyDescent="0.2">
      <c r="A432" s="17"/>
      <c r="B432" s="659" t="s">
        <v>807</v>
      </c>
      <c r="C432" s="707"/>
      <c r="D432" s="707"/>
      <c r="E432" s="708"/>
      <c r="F432" s="333">
        <f>1.863*X2</f>
        <v>2403.27</v>
      </c>
      <c r="G432" s="257">
        <f>+F432*$X$1</f>
        <v>2403.27</v>
      </c>
      <c r="H432" s="534">
        <f t="shared" ref="H432:H435" si="1290">F432+600</f>
        <v>3003.27</v>
      </c>
      <c r="I432" s="257">
        <f t="shared" ref="I432:I436" si="1291">+H432*$X$1</f>
        <v>3003.27</v>
      </c>
      <c r="J432" s="534">
        <f t="shared" ref="J432:J435" si="1292">F432+200</f>
        <v>2603.27</v>
      </c>
      <c r="K432" s="257">
        <f t="shared" ref="K432:K436" si="1293">+J432*$X$1</f>
        <v>2603.27</v>
      </c>
      <c r="L432" s="534">
        <f>F432+150</f>
        <v>2553.27</v>
      </c>
      <c r="M432" s="257">
        <f t="shared" si="1271"/>
        <v>2553.27</v>
      </c>
      <c r="N432" s="534">
        <f>F432+110</f>
        <v>2513.27</v>
      </c>
      <c r="O432" s="257">
        <f>+N432*$X$1</f>
        <v>2513.27</v>
      </c>
      <c r="P432" s="534">
        <f>F432+90</f>
        <v>2493.27</v>
      </c>
      <c r="Q432" s="257">
        <f t="shared" si="1275"/>
        <v>2493.27</v>
      </c>
      <c r="R432" s="534">
        <f>F432+70</f>
        <v>2473.27</v>
      </c>
      <c r="S432" s="257">
        <f>+R432*$X$1</f>
        <v>2473.27</v>
      </c>
      <c r="T432" s="534">
        <f>F432+56</f>
        <v>2459.27</v>
      </c>
      <c r="U432" s="257">
        <f t="shared" si="1279"/>
        <v>2459.27</v>
      </c>
      <c r="V432" s="534">
        <f>F432+49</f>
        <v>2452.27</v>
      </c>
      <c r="W432" s="257">
        <f t="shared" si="1281"/>
        <v>2452.27</v>
      </c>
      <c r="X432" s="653"/>
      <c r="Y432" s="639"/>
      <c r="Z432" s="639"/>
      <c r="AA432" s="640"/>
      <c r="AB432" s="353">
        <v>2310</v>
      </c>
      <c r="AC432" s="62"/>
    </row>
    <row r="433" spans="1:29" ht="12.6" customHeight="1" x14ac:dyDescent="0.2">
      <c r="A433" s="17"/>
      <c r="B433" s="662" t="s">
        <v>386</v>
      </c>
      <c r="C433" s="1003"/>
      <c r="D433" s="1003"/>
      <c r="E433" s="1003"/>
      <c r="F433" s="334">
        <f>1.2*X2</f>
        <v>1548</v>
      </c>
      <c r="G433" s="258">
        <f>+F433*$X$1</f>
        <v>1548</v>
      </c>
      <c r="H433" s="406">
        <f t="shared" si="1290"/>
        <v>2148</v>
      </c>
      <c r="I433" s="258">
        <f t="shared" si="1291"/>
        <v>2148</v>
      </c>
      <c r="J433" s="406">
        <f t="shared" si="1292"/>
        <v>1748</v>
      </c>
      <c r="K433" s="258">
        <f t="shared" si="1293"/>
        <v>1748</v>
      </c>
      <c r="L433" s="406">
        <f>F433+150</f>
        <v>1698</v>
      </c>
      <c r="M433" s="258">
        <f t="shared" si="1271"/>
        <v>1698</v>
      </c>
      <c r="N433" s="406">
        <f>F433+110</f>
        <v>1658</v>
      </c>
      <c r="O433" s="258">
        <f>+N433*$X$1</f>
        <v>1658</v>
      </c>
      <c r="P433" s="406">
        <f>F433+90</f>
        <v>1638</v>
      </c>
      <c r="Q433" s="258">
        <f t="shared" si="1275"/>
        <v>1638</v>
      </c>
      <c r="R433" s="406">
        <f>F433+70</f>
        <v>1618</v>
      </c>
      <c r="S433" s="258">
        <f>+R433*$X$1</f>
        <v>1618</v>
      </c>
      <c r="T433" s="406">
        <f>F433+56</f>
        <v>1604</v>
      </c>
      <c r="U433" s="258">
        <f t="shared" si="1279"/>
        <v>1604</v>
      </c>
      <c r="V433" s="406">
        <f>F433+49</f>
        <v>1597</v>
      </c>
      <c r="W433" s="258">
        <f t="shared" si="1281"/>
        <v>1597</v>
      </c>
      <c r="X433" s="653"/>
      <c r="Y433" s="639"/>
      <c r="Z433" s="639"/>
      <c r="AA433" s="640"/>
      <c r="AB433" s="353">
        <v>2322</v>
      </c>
      <c r="AC433" s="62"/>
    </row>
    <row r="434" spans="1:29" ht="12.6" customHeight="1" x14ac:dyDescent="0.2">
      <c r="A434" s="17"/>
      <c r="B434" s="784" t="s">
        <v>838</v>
      </c>
      <c r="C434" s="1163"/>
      <c r="D434" s="1163"/>
      <c r="E434" s="1163"/>
      <c r="F434" s="333">
        <f>1.2*X2</f>
        <v>1548</v>
      </c>
      <c r="G434" s="257">
        <f>+F434*$X$1</f>
        <v>1548</v>
      </c>
      <c r="H434" s="534">
        <f t="shared" si="1290"/>
        <v>2148</v>
      </c>
      <c r="I434" s="257">
        <f t="shared" si="1291"/>
        <v>2148</v>
      </c>
      <c r="J434" s="534">
        <f t="shared" si="1292"/>
        <v>1748</v>
      </c>
      <c r="K434" s="257">
        <f t="shared" si="1293"/>
        <v>1748</v>
      </c>
      <c r="L434" s="534">
        <f>F434+150</f>
        <v>1698</v>
      </c>
      <c r="M434" s="257">
        <f t="shared" si="1271"/>
        <v>1698</v>
      </c>
      <c r="N434" s="534">
        <f>F434+110</f>
        <v>1658</v>
      </c>
      <c r="O434" s="257">
        <f>+N434*$X$1</f>
        <v>1658</v>
      </c>
      <c r="P434" s="534">
        <f>F434+90</f>
        <v>1638</v>
      </c>
      <c r="Q434" s="257">
        <f t="shared" si="1275"/>
        <v>1638</v>
      </c>
      <c r="R434" s="534">
        <f>F434+70</f>
        <v>1618</v>
      </c>
      <c r="S434" s="257">
        <f>+R434*$X$1</f>
        <v>1618</v>
      </c>
      <c r="T434" s="534">
        <f>F434+56</f>
        <v>1604</v>
      </c>
      <c r="U434" s="257">
        <f t="shared" si="1279"/>
        <v>1604</v>
      </c>
      <c r="V434" s="534">
        <f>F434+49</f>
        <v>1597</v>
      </c>
      <c r="W434" s="257">
        <f t="shared" si="1281"/>
        <v>1597</v>
      </c>
      <c r="X434" s="653"/>
      <c r="Y434" s="639"/>
      <c r="Z434" s="639"/>
      <c r="AA434" s="640"/>
      <c r="AB434" s="353" t="s">
        <v>860</v>
      </c>
      <c r="AC434" s="62"/>
    </row>
    <row r="435" spans="1:29" ht="12.6" customHeight="1" x14ac:dyDescent="0.2">
      <c r="A435" s="17"/>
      <c r="B435" s="662" t="s">
        <v>765</v>
      </c>
      <c r="C435" s="1003"/>
      <c r="D435" s="1003"/>
      <c r="E435" s="1003"/>
      <c r="F435" s="334">
        <f>1.4*X2</f>
        <v>1805.9999999999998</v>
      </c>
      <c r="G435" s="258">
        <f>+F435*$X$1</f>
        <v>1805.9999999999998</v>
      </c>
      <c r="H435" s="406">
        <f t="shared" si="1290"/>
        <v>2406</v>
      </c>
      <c r="I435" s="258">
        <f t="shared" si="1291"/>
        <v>2406</v>
      </c>
      <c r="J435" s="406">
        <f t="shared" si="1292"/>
        <v>2005.9999999999998</v>
      </c>
      <c r="K435" s="258">
        <f t="shared" si="1293"/>
        <v>2005.9999999999998</v>
      </c>
      <c r="L435" s="406">
        <f>F435+150</f>
        <v>1955.9999999999998</v>
      </c>
      <c r="M435" s="258">
        <f t="shared" si="1271"/>
        <v>1955.9999999999998</v>
      </c>
      <c r="N435" s="406">
        <f>F435+110</f>
        <v>1915.9999999999998</v>
      </c>
      <c r="O435" s="258">
        <f>+N435*$X$1</f>
        <v>1915.9999999999998</v>
      </c>
      <c r="P435" s="406">
        <f>F435+90</f>
        <v>1895.9999999999998</v>
      </c>
      <c r="Q435" s="258">
        <f t="shared" si="1275"/>
        <v>1895.9999999999998</v>
      </c>
      <c r="R435" s="406">
        <f>F435+70</f>
        <v>1875.9999999999998</v>
      </c>
      <c r="S435" s="258">
        <f>+R435*$X$1</f>
        <v>1875.9999999999998</v>
      </c>
      <c r="T435" s="406">
        <f>F435+56</f>
        <v>1861.9999999999998</v>
      </c>
      <c r="U435" s="258">
        <f t="shared" si="1279"/>
        <v>1861.9999999999998</v>
      </c>
      <c r="V435" s="406">
        <f>F435+49</f>
        <v>1854.9999999999998</v>
      </c>
      <c r="W435" s="258">
        <f t="shared" si="1281"/>
        <v>1854.9999999999998</v>
      </c>
      <c r="X435" s="653"/>
      <c r="Y435" s="639"/>
      <c r="Z435" s="639"/>
      <c r="AA435" s="640"/>
      <c r="AB435" s="353">
        <v>2327</v>
      </c>
      <c r="AC435" s="62"/>
    </row>
    <row r="436" spans="1:29" ht="12.6" customHeight="1" x14ac:dyDescent="0.2">
      <c r="A436" s="17"/>
      <c r="B436" s="659" t="s">
        <v>230</v>
      </c>
      <c r="C436" s="660"/>
      <c r="D436" s="660"/>
      <c r="E436" s="661"/>
      <c r="F436" s="333">
        <f>3.407*X2</f>
        <v>4395.03</v>
      </c>
      <c r="G436" s="257">
        <f>+F436*$X$1</f>
        <v>4395.03</v>
      </c>
      <c r="H436" s="534">
        <f>F436+650</f>
        <v>5045.03</v>
      </c>
      <c r="I436" s="257">
        <f t="shared" si="1291"/>
        <v>5045.03</v>
      </c>
      <c r="J436" s="534">
        <f>F436+230</f>
        <v>4625.03</v>
      </c>
      <c r="K436" s="257">
        <f t="shared" si="1293"/>
        <v>4625.03</v>
      </c>
      <c r="L436" s="534">
        <f>F436+190</f>
        <v>4585.03</v>
      </c>
      <c r="M436" s="257">
        <f t="shared" si="1271"/>
        <v>4585.03</v>
      </c>
      <c r="N436" s="534">
        <f>F436+150</f>
        <v>4545.03</v>
      </c>
      <c r="O436" s="257">
        <f t="shared" ref="O436" si="1294">+N436*$X$1</f>
        <v>4545.03</v>
      </c>
      <c r="P436" s="534">
        <f>F436+130</f>
        <v>4525.03</v>
      </c>
      <c r="Q436" s="257">
        <f t="shared" si="1275"/>
        <v>4525.03</v>
      </c>
      <c r="R436" s="534">
        <f>F436+110</f>
        <v>4505.03</v>
      </c>
      <c r="S436" s="257">
        <f t="shared" ref="S436" si="1295">+R436*$X$1</f>
        <v>4505.03</v>
      </c>
      <c r="T436" s="534">
        <f>F436+90</f>
        <v>4485.03</v>
      </c>
      <c r="U436" s="257">
        <f t="shared" si="1279"/>
        <v>4485.03</v>
      </c>
      <c r="V436" s="534">
        <f>F436+70</f>
        <v>4465.03</v>
      </c>
      <c r="W436" s="257">
        <f t="shared" si="1281"/>
        <v>4465.03</v>
      </c>
      <c r="X436" s="653"/>
      <c r="Y436" s="639"/>
      <c r="Z436" s="639"/>
      <c r="AA436" s="640"/>
      <c r="AB436" s="353">
        <v>2330</v>
      </c>
      <c r="AC436" s="62"/>
    </row>
    <row r="437" spans="1:29" ht="12.6" customHeight="1" x14ac:dyDescent="0.2">
      <c r="A437" s="94"/>
      <c r="B437" s="696" t="s">
        <v>827</v>
      </c>
      <c r="C437" s="636"/>
      <c r="D437" s="636"/>
      <c r="E437" s="637"/>
      <c r="F437" s="334">
        <f>1.3*X2</f>
        <v>1677</v>
      </c>
      <c r="G437" s="258">
        <f t="shared" ref="G437" si="1296">+F437*$X$1</f>
        <v>1677</v>
      </c>
      <c r="H437" s="406">
        <f>F437+650</f>
        <v>2327</v>
      </c>
      <c r="I437" s="258">
        <f t="shared" ref="I437" si="1297">+H437*$X$1</f>
        <v>2327</v>
      </c>
      <c r="J437" s="406">
        <f>F437+230</f>
        <v>1907</v>
      </c>
      <c r="K437" s="258">
        <f t="shared" ref="K437" si="1298">+J437*$X$1</f>
        <v>1907</v>
      </c>
      <c r="L437" s="406">
        <f>F437+190</f>
        <v>1867</v>
      </c>
      <c r="M437" s="258">
        <f t="shared" ref="M437" si="1299">+L437*$X$1</f>
        <v>1867</v>
      </c>
      <c r="N437" s="406">
        <f>F437+150</f>
        <v>1827</v>
      </c>
      <c r="O437" s="258">
        <f t="shared" ref="O437" si="1300">+N437*$X$1</f>
        <v>1827</v>
      </c>
      <c r="P437" s="406">
        <f>F437+130</f>
        <v>1807</v>
      </c>
      <c r="Q437" s="258">
        <f t="shared" ref="Q437" si="1301">+P437*$X$1</f>
        <v>1807</v>
      </c>
      <c r="R437" s="406">
        <f>F437+110</f>
        <v>1787</v>
      </c>
      <c r="S437" s="258">
        <f t="shared" ref="S437" si="1302">+R437*$X$1</f>
        <v>1787</v>
      </c>
      <c r="T437" s="406">
        <f>F437+90</f>
        <v>1767</v>
      </c>
      <c r="U437" s="258">
        <f t="shared" ref="U437" si="1303">+T437*$X$1</f>
        <v>1767</v>
      </c>
      <c r="V437" s="406">
        <f>F437+70</f>
        <v>1747</v>
      </c>
      <c r="W437" s="258">
        <f t="shared" ref="W437" si="1304">+V437*$X$1</f>
        <v>1747</v>
      </c>
      <c r="X437" s="653"/>
      <c r="Y437" s="639"/>
      <c r="Z437" s="639"/>
      <c r="AA437" s="640"/>
      <c r="AB437" s="353">
        <v>2331</v>
      </c>
      <c r="AC437" s="62"/>
    </row>
    <row r="438" spans="1:29" ht="12.6" customHeight="1" x14ac:dyDescent="0.2">
      <c r="A438" s="94"/>
      <c r="B438" s="696" t="s">
        <v>821</v>
      </c>
      <c r="C438" s="636"/>
      <c r="D438" s="636"/>
      <c r="E438" s="637"/>
      <c r="F438" s="502">
        <f>4.3*X2</f>
        <v>5547</v>
      </c>
      <c r="G438" s="257">
        <f t="shared" ref="G438" si="1305">+F438*$X$1</f>
        <v>5547</v>
      </c>
      <c r="H438" s="534">
        <f>F438+800</f>
        <v>6347</v>
      </c>
      <c r="I438" s="257">
        <f t="shared" ref="I438:I440" si="1306">+H438*$X$1</f>
        <v>6347</v>
      </c>
      <c r="J438" s="534">
        <f>F438+350</f>
        <v>5897</v>
      </c>
      <c r="K438" s="257">
        <f t="shared" ref="K438:K440" si="1307">+J438*$X$1</f>
        <v>5897</v>
      </c>
      <c r="L438" s="534">
        <f>F438+290</f>
        <v>5837</v>
      </c>
      <c r="M438" s="257">
        <f t="shared" ref="M438:M440" si="1308">+L438*$X$1</f>
        <v>5837</v>
      </c>
      <c r="N438" s="534">
        <f>F438+230</f>
        <v>5777</v>
      </c>
      <c r="O438" s="257">
        <f t="shared" ref="O438:O440" si="1309">+N438*$X$1</f>
        <v>5777</v>
      </c>
      <c r="P438" s="534">
        <f>F438+200</f>
        <v>5747</v>
      </c>
      <c r="Q438" s="257">
        <f t="shared" ref="Q438:Q440" si="1310">+P438*$X$1</f>
        <v>5747</v>
      </c>
      <c r="R438" s="534">
        <f>F438+170</f>
        <v>5717</v>
      </c>
      <c r="S438" s="257">
        <f t="shared" ref="S438:S440" si="1311">+R438*$X$1</f>
        <v>5717</v>
      </c>
      <c r="T438" s="534">
        <f>F438+140</f>
        <v>5687</v>
      </c>
      <c r="U438" s="257">
        <f t="shared" ref="U438:U440" si="1312">+T438*$X$1</f>
        <v>5687</v>
      </c>
      <c r="V438" s="534">
        <f>F438+105</f>
        <v>5652</v>
      </c>
      <c r="W438" s="257">
        <f t="shared" ref="W438:W440" si="1313">+V438*$X$1</f>
        <v>5652</v>
      </c>
      <c r="X438" s="653"/>
      <c r="Y438" s="639"/>
      <c r="Z438" s="639"/>
      <c r="AA438" s="640"/>
      <c r="AB438" s="353">
        <v>2332</v>
      </c>
      <c r="AC438" s="62"/>
    </row>
    <row r="439" spans="1:29" ht="12.6" customHeight="1" x14ac:dyDescent="0.2">
      <c r="A439" s="94"/>
      <c r="B439" s="656" t="s">
        <v>355</v>
      </c>
      <c r="C439" s="669"/>
      <c r="D439" s="669"/>
      <c r="E439" s="670"/>
      <c r="F439" s="334">
        <f>1.05*X2</f>
        <v>1354.5</v>
      </c>
      <c r="G439" s="258">
        <f t="shared" ref="G439" si="1314">+F439*$X$1</f>
        <v>1354.5</v>
      </c>
      <c r="H439" s="406">
        <f>F439+650</f>
        <v>2004.5</v>
      </c>
      <c r="I439" s="258">
        <f t="shared" si="1306"/>
        <v>2004.5</v>
      </c>
      <c r="J439" s="406">
        <f>F439+230</f>
        <v>1584.5</v>
      </c>
      <c r="K439" s="258">
        <f t="shared" si="1307"/>
        <v>1584.5</v>
      </c>
      <c r="L439" s="406">
        <f>F439+190</f>
        <v>1544.5</v>
      </c>
      <c r="M439" s="258">
        <f t="shared" si="1308"/>
        <v>1544.5</v>
      </c>
      <c r="N439" s="406">
        <f>F439+150</f>
        <v>1504.5</v>
      </c>
      <c r="O439" s="258">
        <f t="shared" si="1309"/>
        <v>1504.5</v>
      </c>
      <c r="P439" s="406">
        <f>F439+130</f>
        <v>1484.5</v>
      </c>
      <c r="Q439" s="258">
        <f t="shared" si="1310"/>
        <v>1484.5</v>
      </c>
      <c r="R439" s="406">
        <f>F439+110</f>
        <v>1464.5</v>
      </c>
      <c r="S439" s="258">
        <f t="shared" si="1311"/>
        <v>1464.5</v>
      </c>
      <c r="T439" s="406">
        <f>F439+90</f>
        <v>1444.5</v>
      </c>
      <c r="U439" s="258">
        <f t="shared" si="1312"/>
        <v>1444.5</v>
      </c>
      <c r="V439" s="406">
        <f>F439+70</f>
        <v>1424.5</v>
      </c>
      <c r="W439" s="258">
        <f t="shared" si="1313"/>
        <v>1424.5</v>
      </c>
      <c r="X439" s="653"/>
      <c r="Y439" s="639"/>
      <c r="Z439" s="639"/>
      <c r="AA439" s="640"/>
      <c r="AB439" s="353">
        <v>2334</v>
      </c>
      <c r="AC439" s="62"/>
    </row>
    <row r="440" spans="1:29" ht="12.6" customHeight="1" x14ac:dyDescent="0.2">
      <c r="A440" s="94"/>
      <c r="B440" s="758" t="s">
        <v>231</v>
      </c>
      <c r="C440" s="759"/>
      <c r="D440" s="759"/>
      <c r="E440" s="760"/>
      <c r="F440" s="337">
        <f>1.18*X2</f>
        <v>1522.1999999999998</v>
      </c>
      <c r="G440" s="273">
        <f t="shared" ref="G440" si="1315">+F440*$X$1</f>
        <v>1522.1999999999998</v>
      </c>
      <c r="H440" s="534">
        <f>F440+650</f>
        <v>2172.1999999999998</v>
      </c>
      <c r="I440" s="257">
        <f t="shared" si="1306"/>
        <v>2172.1999999999998</v>
      </c>
      <c r="J440" s="534">
        <f>F440+230</f>
        <v>1752.1999999999998</v>
      </c>
      <c r="K440" s="257">
        <f t="shared" si="1307"/>
        <v>1752.1999999999998</v>
      </c>
      <c r="L440" s="534">
        <f>F440+190</f>
        <v>1712.1999999999998</v>
      </c>
      <c r="M440" s="257">
        <f t="shared" si="1308"/>
        <v>1712.1999999999998</v>
      </c>
      <c r="N440" s="534">
        <f>F440+150</f>
        <v>1672.1999999999998</v>
      </c>
      <c r="O440" s="257">
        <f t="shared" si="1309"/>
        <v>1672.1999999999998</v>
      </c>
      <c r="P440" s="534">
        <f>F440+130</f>
        <v>1652.1999999999998</v>
      </c>
      <c r="Q440" s="257">
        <f t="shared" si="1310"/>
        <v>1652.1999999999998</v>
      </c>
      <c r="R440" s="534">
        <f>F440+110</f>
        <v>1632.1999999999998</v>
      </c>
      <c r="S440" s="257">
        <f t="shared" si="1311"/>
        <v>1632.1999999999998</v>
      </c>
      <c r="T440" s="534">
        <f>F440+90</f>
        <v>1612.1999999999998</v>
      </c>
      <c r="U440" s="257">
        <f t="shared" si="1312"/>
        <v>1612.1999999999998</v>
      </c>
      <c r="V440" s="534">
        <f>F440+70</f>
        <v>1592.1999999999998</v>
      </c>
      <c r="W440" s="257">
        <f t="shared" si="1313"/>
        <v>1592.1999999999998</v>
      </c>
      <c r="X440" s="653"/>
      <c r="Y440" s="639"/>
      <c r="Z440" s="639"/>
      <c r="AA440" s="640"/>
      <c r="AB440" s="367">
        <v>2336</v>
      </c>
      <c r="AC440" s="62"/>
    </row>
    <row r="441" spans="1:29" ht="12.6" customHeight="1" x14ac:dyDescent="0.2">
      <c r="A441" s="17"/>
      <c r="B441" s="656" t="s">
        <v>232</v>
      </c>
      <c r="C441" s="669"/>
      <c r="D441" s="669"/>
      <c r="E441" s="670"/>
      <c r="F441" s="334">
        <f>1.355*X2</f>
        <v>1747.95</v>
      </c>
      <c r="G441" s="258">
        <f>+F441*$X$1</f>
        <v>1747.95</v>
      </c>
      <c r="H441" s="406">
        <f t="shared" ref="H441" si="1316">F441+600</f>
        <v>2347.9499999999998</v>
      </c>
      <c r="I441" s="258">
        <f t="shared" ref="I441" si="1317">+H441*$X$1</f>
        <v>2347.9499999999998</v>
      </c>
      <c r="J441" s="406">
        <f t="shared" ref="J441" si="1318">F441+200</f>
        <v>1947.95</v>
      </c>
      <c r="K441" s="258">
        <f t="shared" ref="K441" si="1319">+J441*$X$1</f>
        <v>1947.95</v>
      </c>
      <c r="L441" s="406">
        <f>F441+150</f>
        <v>1897.95</v>
      </c>
      <c r="M441" s="258">
        <f t="shared" ref="M441" si="1320">+L441*$X$1</f>
        <v>1897.95</v>
      </c>
      <c r="N441" s="406">
        <f>F441+110</f>
        <v>1857.95</v>
      </c>
      <c r="O441" s="258">
        <f t="shared" ref="O441:O453" si="1321">+N441*$X$1</f>
        <v>1857.95</v>
      </c>
      <c r="P441" s="406">
        <f>F441+90</f>
        <v>1837.95</v>
      </c>
      <c r="Q441" s="258">
        <f t="shared" ref="Q441" si="1322">+P441*$X$1</f>
        <v>1837.95</v>
      </c>
      <c r="R441" s="406">
        <f>F441+70</f>
        <v>1817.95</v>
      </c>
      <c r="S441" s="258">
        <f t="shared" ref="S441:S453" si="1323">+R441*$X$1</f>
        <v>1817.95</v>
      </c>
      <c r="T441" s="406">
        <f>F441+56</f>
        <v>1803.95</v>
      </c>
      <c r="U441" s="258">
        <f t="shared" ref="U441" si="1324">+T441*$X$1</f>
        <v>1803.95</v>
      </c>
      <c r="V441" s="406">
        <f>F441+49</f>
        <v>1796.95</v>
      </c>
      <c r="W441" s="258">
        <f t="shared" ref="W441" si="1325">+V441*$X$1</f>
        <v>1796.95</v>
      </c>
      <c r="X441" s="653"/>
      <c r="Y441" s="639"/>
      <c r="Z441" s="639"/>
      <c r="AA441" s="640"/>
      <c r="AB441" s="353">
        <v>2337</v>
      </c>
      <c r="AC441" s="62"/>
    </row>
    <row r="442" spans="1:29" ht="12.6" customHeight="1" x14ac:dyDescent="0.2">
      <c r="A442" s="17"/>
      <c r="B442" s="778" t="s">
        <v>233</v>
      </c>
      <c r="C442" s="779"/>
      <c r="D442" s="779"/>
      <c r="E442" s="780"/>
      <c r="F442" s="502">
        <f>1.83*X2</f>
        <v>2360.7000000000003</v>
      </c>
      <c r="G442" s="622">
        <f t="shared" ref="G442" si="1326">+F442*$X$1</f>
        <v>2360.7000000000003</v>
      </c>
      <c r="H442" s="534">
        <f t="shared" ref="H442:H443" si="1327">F442+600</f>
        <v>2960.7000000000003</v>
      </c>
      <c r="I442" s="257">
        <f t="shared" ref="I442:I443" si="1328">+H442*$X$1</f>
        <v>2960.7000000000003</v>
      </c>
      <c r="J442" s="534">
        <f t="shared" ref="J442:J443" si="1329">F442+200</f>
        <v>2560.7000000000003</v>
      </c>
      <c r="K442" s="257">
        <f t="shared" ref="K442:K443" si="1330">+J442*$X$1</f>
        <v>2560.7000000000003</v>
      </c>
      <c r="L442" s="534">
        <f>F442+150</f>
        <v>2510.7000000000003</v>
      </c>
      <c r="M442" s="257">
        <f t="shared" ref="M442:M443" si="1331">+L442*$X$1</f>
        <v>2510.7000000000003</v>
      </c>
      <c r="N442" s="534">
        <f>F442+110</f>
        <v>2470.7000000000003</v>
      </c>
      <c r="O442" s="257">
        <f t="shared" si="1321"/>
        <v>2470.7000000000003</v>
      </c>
      <c r="P442" s="534">
        <f>F442+90</f>
        <v>2450.7000000000003</v>
      </c>
      <c r="Q442" s="257">
        <f t="shared" ref="Q442:Q443" si="1332">+P442*$X$1</f>
        <v>2450.7000000000003</v>
      </c>
      <c r="R442" s="534">
        <f>F442+70</f>
        <v>2430.7000000000003</v>
      </c>
      <c r="S442" s="257">
        <f t="shared" si="1323"/>
        <v>2430.7000000000003</v>
      </c>
      <c r="T442" s="534">
        <f>F442+56</f>
        <v>2416.7000000000003</v>
      </c>
      <c r="U442" s="257">
        <f t="shared" ref="U442:U443" si="1333">+T442*$X$1</f>
        <v>2416.7000000000003</v>
      </c>
      <c r="V442" s="534">
        <f>F442+49</f>
        <v>2409.7000000000003</v>
      </c>
      <c r="W442" s="257">
        <f t="shared" ref="W442:W443" si="1334">+V442*$X$1</f>
        <v>2409.7000000000003</v>
      </c>
      <c r="X442" s="653"/>
      <c r="Y442" s="639"/>
      <c r="Z442" s="639"/>
      <c r="AA442" s="640"/>
      <c r="AB442" s="353">
        <v>2338</v>
      </c>
      <c r="AC442" s="62"/>
    </row>
    <row r="443" spans="1:29" ht="12.6" customHeight="1" x14ac:dyDescent="0.2">
      <c r="A443" s="17"/>
      <c r="B443" s="656" t="s">
        <v>298</v>
      </c>
      <c r="C443" s="669"/>
      <c r="D443" s="669"/>
      <c r="E443" s="670"/>
      <c r="F443" s="503">
        <f>1.05*X2</f>
        <v>1354.5</v>
      </c>
      <c r="G443" s="258">
        <f>+F443*$X$1</f>
        <v>1354.5</v>
      </c>
      <c r="H443" s="406">
        <f t="shared" si="1327"/>
        <v>1954.5</v>
      </c>
      <c r="I443" s="258">
        <f t="shared" si="1328"/>
        <v>1954.5</v>
      </c>
      <c r="J443" s="406">
        <f t="shared" si="1329"/>
        <v>1554.5</v>
      </c>
      <c r="K443" s="258">
        <f t="shared" si="1330"/>
        <v>1554.5</v>
      </c>
      <c r="L443" s="406">
        <f>F443+150</f>
        <v>1504.5</v>
      </c>
      <c r="M443" s="258">
        <f t="shared" si="1331"/>
        <v>1504.5</v>
      </c>
      <c r="N443" s="406">
        <f>F443+110</f>
        <v>1464.5</v>
      </c>
      <c r="O443" s="258">
        <f t="shared" si="1321"/>
        <v>1464.5</v>
      </c>
      <c r="P443" s="406">
        <f>F443+90</f>
        <v>1444.5</v>
      </c>
      <c r="Q443" s="258">
        <f t="shared" si="1332"/>
        <v>1444.5</v>
      </c>
      <c r="R443" s="406">
        <f>F443+70</f>
        <v>1424.5</v>
      </c>
      <c r="S443" s="258">
        <f t="shared" si="1323"/>
        <v>1424.5</v>
      </c>
      <c r="T443" s="406">
        <f>F443+56</f>
        <v>1410.5</v>
      </c>
      <c r="U443" s="258">
        <f t="shared" si="1333"/>
        <v>1410.5</v>
      </c>
      <c r="V443" s="406">
        <f>F443+49</f>
        <v>1403.5</v>
      </c>
      <c r="W443" s="258">
        <f t="shared" si="1334"/>
        <v>1403.5</v>
      </c>
      <c r="X443" s="161"/>
      <c r="Y443" s="164"/>
      <c r="Z443" s="164"/>
      <c r="AA443" s="163"/>
      <c r="AB443" s="353">
        <v>2340</v>
      </c>
      <c r="AC443" s="62"/>
    </row>
    <row r="444" spans="1:29" ht="12.6" customHeight="1" x14ac:dyDescent="0.2">
      <c r="A444" s="17"/>
      <c r="B444" s="664" t="s">
        <v>848</v>
      </c>
      <c r="C444" s="665"/>
      <c r="D444" s="665"/>
      <c r="E444" s="666"/>
      <c r="F444" s="473">
        <f>6*X2</f>
        <v>7740</v>
      </c>
      <c r="G444" s="469">
        <f t="shared" ref="G444" si="1335">+F444*$X$1</f>
        <v>7740</v>
      </c>
      <c r="H444" s="598">
        <f>F444+800</f>
        <v>8540</v>
      </c>
      <c r="I444" s="469">
        <f t="shared" ref="I444" si="1336">+H444*$X$1</f>
        <v>8540</v>
      </c>
      <c r="J444" s="598">
        <f>F444+300</f>
        <v>8040</v>
      </c>
      <c r="K444" s="469">
        <f t="shared" ref="K444" si="1337">+J444*$X$1</f>
        <v>8040</v>
      </c>
      <c r="L444" s="598">
        <f>F444+230</f>
        <v>7970</v>
      </c>
      <c r="M444" s="469">
        <f t="shared" ref="M444" si="1338">+L444*$X$1</f>
        <v>7970</v>
      </c>
      <c r="N444" s="598">
        <f>F444+170</f>
        <v>7910</v>
      </c>
      <c r="O444" s="469">
        <f t="shared" si="1321"/>
        <v>7910</v>
      </c>
      <c r="P444" s="598">
        <f>F444+140</f>
        <v>7880</v>
      </c>
      <c r="Q444" s="469">
        <f t="shared" ref="Q444" si="1339">+P444*$X$1</f>
        <v>7880</v>
      </c>
      <c r="R444" s="598">
        <f>F444+110</f>
        <v>7850</v>
      </c>
      <c r="S444" s="469">
        <f t="shared" si="1323"/>
        <v>7850</v>
      </c>
      <c r="T444" s="598">
        <f>F444+90</f>
        <v>7830</v>
      </c>
      <c r="U444" s="469">
        <f t="shared" ref="U444" si="1340">+T444*$X$1</f>
        <v>7830</v>
      </c>
      <c r="V444" s="598">
        <f>F444+78</f>
        <v>7818</v>
      </c>
      <c r="W444" s="469">
        <f t="shared" ref="W444" si="1341">+V444*$X$1</f>
        <v>7818</v>
      </c>
      <c r="X444" s="491"/>
      <c r="Y444" s="492"/>
      <c r="Z444" s="492"/>
      <c r="AA444" s="493"/>
      <c r="AB444" s="353">
        <v>2341</v>
      </c>
      <c r="AC444" s="62"/>
    </row>
    <row r="445" spans="1:29" ht="12.6" customHeight="1" x14ac:dyDescent="0.2">
      <c r="A445" s="17"/>
      <c r="B445" s="656" t="s">
        <v>641</v>
      </c>
      <c r="C445" s="669"/>
      <c r="D445" s="669"/>
      <c r="E445" s="670"/>
      <c r="F445" s="334">
        <f>11.92*X2</f>
        <v>15376.8</v>
      </c>
      <c r="G445" s="258">
        <f t="shared" ref="G445" si="1342">+F445*$X$1</f>
        <v>15376.8</v>
      </c>
      <c r="H445" s="406">
        <f t="shared" ref="H445:H453" si="1343">F445+600</f>
        <v>15976.8</v>
      </c>
      <c r="I445" s="258">
        <f t="shared" ref="I445:I454" si="1344">+H445*$X$1</f>
        <v>15976.8</v>
      </c>
      <c r="J445" s="406">
        <f t="shared" ref="J445:J453" si="1345">F445+200</f>
        <v>15576.8</v>
      </c>
      <c r="K445" s="258">
        <f t="shared" ref="K445:K454" si="1346">+J445*$X$1</f>
        <v>15576.8</v>
      </c>
      <c r="L445" s="406">
        <f t="shared" ref="L445:L453" si="1347">F445+150</f>
        <v>15526.8</v>
      </c>
      <c r="M445" s="258">
        <f t="shared" ref="M445:M454" si="1348">+L445*$X$1</f>
        <v>15526.8</v>
      </c>
      <c r="N445" s="406">
        <f t="shared" ref="N445:N453" si="1349">F445+110</f>
        <v>15486.8</v>
      </c>
      <c r="O445" s="258">
        <f t="shared" si="1321"/>
        <v>15486.8</v>
      </c>
      <c r="P445" s="406">
        <f t="shared" ref="P445:P453" si="1350">F445+90</f>
        <v>15466.8</v>
      </c>
      <c r="Q445" s="258">
        <f t="shared" ref="Q445:Q454" si="1351">+P445*$X$1</f>
        <v>15466.8</v>
      </c>
      <c r="R445" s="406">
        <f t="shared" ref="R445:R453" si="1352">F445+70</f>
        <v>15446.8</v>
      </c>
      <c r="S445" s="258">
        <f t="shared" si="1323"/>
        <v>15446.8</v>
      </c>
      <c r="T445" s="406">
        <f t="shared" ref="T445:T453" si="1353">F445+56</f>
        <v>15432.8</v>
      </c>
      <c r="U445" s="258">
        <f t="shared" ref="U445:U454" si="1354">+T445*$X$1</f>
        <v>15432.8</v>
      </c>
      <c r="V445" s="406">
        <f t="shared" ref="V445:V453" si="1355">F445+49</f>
        <v>15425.8</v>
      </c>
      <c r="W445" s="258">
        <f t="shared" ref="W445:W454" si="1356">+V445*$X$1</f>
        <v>15425.8</v>
      </c>
      <c r="X445" s="392"/>
      <c r="Y445" s="393"/>
      <c r="Z445" s="393"/>
      <c r="AA445" s="394"/>
      <c r="AB445" s="353">
        <v>2342</v>
      </c>
      <c r="AC445" s="62"/>
    </row>
    <row r="446" spans="1:29" ht="12.6" customHeight="1" x14ac:dyDescent="0.2">
      <c r="A446" s="17"/>
      <c r="B446" s="778" t="s">
        <v>640</v>
      </c>
      <c r="C446" s="779"/>
      <c r="D446" s="779"/>
      <c r="E446" s="780"/>
      <c r="F446" s="502">
        <f>14.05*X2</f>
        <v>18124.5</v>
      </c>
      <c r="G446" s="622">
        <f t="shared" ref="G446" si="1357">+F446*$X$1</f>
        <v>18124.5</v>
      </c>
      <c r="H446" s="534">
        <f t="shared" si="1343"/>
        <v>18724.5</v>
      </c>
      <c r="I446" s="257">
        <f t="shared" si="1344"/>
        <v>18724.5</v>
      </c>
      <c r="J446" s="534">
        <f t="shared" si="1345"/>
        <v>18324.5</v>
      </c>
      <c r="K446" s="257">
        <f t="shared" si="1346"/>
        <v>18324.5</v>
      </c>
      <c r="L446" s="534">
        <f t="shared" si="1347"/>
        <v>18274.5</v>
      </c>
      <c r="M446" s="257">
        <f t="shared" si="1348"/>
        <v>18274.5</v>
      </c>
      <c r="N446" s="534">
        <f t="shared" si="1349"/>
        <v>18234.5</v>
      </c>
      <c r="O446" s="257">
        <f t="shared" si="1321"/>
        <v>18234.5</v>
      </c>
      <c r="P446" s="534">
        <f t="shared" si="1350"/>
        <v>18214.5</v>
      </c>
      <c r="Q446" s="257">
        <f t="shared" si="1351"/>
        <v>18214.5</v>
      </c>
      <c r="R446" s="534">
        <f t="shared" si="1352"/>
        <v>18194.5</v>
      </c>
      <c r="S446" s="257">
        <f t="shared" si="1323"/>
        <v>18194.5</v>
      </c>
      <c r="T446" s="534">
        <f t="shared" si="1353"/>
        <v>18180.5</v>
      </c>
      <c r="U446" s="257">
        <f t="shared" si="1354"/>
        <v>18180.5</v>
      </c>
      <c r="V446" s="534">
        <f t="shared" si="1355"/>
        <v>18173.5</v>
      </c>
      <c r="W446" s="257">
        <f t="shared" si="1356"/>
        <v>18173.5</v>
      </c>
      <c r="X446" s="392"/>
      <c r="Y446" s="393"/>
      <c r="Z446" s="393"/>
      <c r="AA446" s="394"/>
      <c r="AB446" s="353">
        <v>2343</v>
      </c>
      <c r="AC446" s="62"/>
    </row>
    <row r="447" spans="1:29" ht="12.6" customHeight="1" x14ac:dyDescent="0.2">
      <c r="A447" s="17"/>
      <c r="B447" s="656" t="s">
        <v>777</v>
      </c>
      <c r="C447" s="669"/>
      <c r="D447" s="669"/>
      <c r="E447" s="670"/>
      <c r="F447" s="334">
        <f>9.4*X2</f>
        <v>12126</v>
      </c>
      <c r="G447" s="258">
        <f>+F447*$X$1</f>
        <v>12126</v>
      </c>
      <c r="H447" s="406">
        <f t="shared" si="1343"/>
        <v>12726</v>
      </c>
      <c r="I447" s="258">
        <f t="shared" si="1344"/>
        <v>12726</v>
      </c>
      <c r="J447" s="406">
        <f t="shared" si="1345"/>
        <v>12326</v>
      </c>
      <c r="K447" s="258">
        <f t="shared" si="1346"/>
        <v>12326</v>
      </c>
      <c r="L447" s="406">
        <f t="shared" si="1347"/>
        <v>12276</v>
      </c>
      <c r="M447" s="258">
        <f t="shared" si="1348"/>
        <v>12276</v>
      </c>
      <c r="N447" s="406">
        <f t="shared" si="1349"/>
        <v>12236</v>
      </c>
      <c r="O447" s="258">
        <f t="shared" si="1321"/>
        <v>12236</v>
      </c>
      <c r="P447" s="406">
        <f t="shared" si="1350"/>
        <v>12216</v>
      </c>
      <c r="Q447" s="258">
        <f t="shared" si="1351"/>
        <v>12216</v>
      </c>
      <c r="R447" s="406">
        <f t="shared" si="1352"/>
        <v>12196</v>
      </c>
      <c r="S447" s="258">
        <f t="shared" si="1323"/>
        <v>12196</v>
      </c>
      <c r="T447" s="406">
        <f t="shared" si="1353"/>
        <v>12182</v>
      </c>
      <c r="U447" s="258">
        <f t="shared" si="1354"/>
        <v>12182</v>
      </c>
      <c r="V447" s="406">
        <f t="shared" si="1355"/>
        <v>12175</v>
      </c>
      <c r="W447" s="258">
        <f t="shared" si="1356"/>
        <v>12175</v>
      </c>
      <c r="X447" s="445"/>
      <c r="Y447" s="446"/>
      <c r="Z447" s="446"/>
      <c r="AA447" s="447"/>
      <c r="AB447" s="353" t="s">
        <v>778</v>
      </c>
      <c r="AC447" s="62"/>
    </row>
    <row r="448" spans="1:29" ht="12.6" customHeight="1" x14ac:dyDescent="0.2">
      <c r="A448" s="17"/>
      <c r="B448" s="659" t="s">
        <v>642</v>
      </c>
      <c r="C448" s="707"/>
      <c r="D448" s="707"/>
      <c r="E448" s="708"/>
      <c r="F448" s="333">
        <f>12.76*X2</f>
        <v>16460.400000000001</v>
      </c>
      <c r="G448" s="257">
        <f t="shared" ref="G448" si="1358">+F448*$X$1</f>
        <v>16460.400000000001</v>
      </c>
      <c r="H448" s="559">
        <f t="shared" si="1343"/>
        <v>17060.400000000001</v>
      </c>
      <c r="I448" s="257">
        <f t="shared" si="1344"/>
        <v>17060.400000000001</v>
      </c>
      <c r="J448" s="559">
        <f t="shared" si="1345"/>
        <v>16660.400000000001</v>
      </c>
      <c r="K448" s="257">
        <f t="shared" si="1346"/>
        <v>16660.400000000001</v>
      </c>
      <c r="L448" s="559">
        <f t="shared" si="1347"/>
        <v>16610.400000000001</v>
      </c>
      <c r="M448" s="257">
        <f t="shared" si="1348"/>
        <v>16610.400000000001</v>
      </c>
      <c r="N448" s="559">
        <f t="shared" si="1349"/>
        <v>16570.400000000001</v>
      </c>
      <c r="O448" s="257">
        <f t="shared" si="1321"/>
        <v>16570.400000000001</v>
      </c>
      <c r="P448" s="559">
        <f t="shared" si="1350"/>
        <v>16550.400000000001</v>
      </c>
      <c r="Q448" s="257">
        <f t="shared" si="1351"/>
        <v>16550.400000000001</v>
      </c>
      <c r="R448" s="559">
        <f t="shared" si="1352"/>
        <v>16530.400000000001</v>
      </c>
      <c r="S448" s="257">
        <f t="shared" si="1323"/>
        <v>16530.400000000001</v>
      </c>
      <c r="T448" s="559">
        <f t="shared" si="1353"/>
        <v>16516.400000000001</v>
      </c>
      <c r="U448" s="257">
        <f t="shared" si="1354"/>
        <v>16516.400000000001</v>
      </c>
      <c r="V448" s="559">
        <f t="shared" si="1355"/>
        <v>16509.400000000001</v>
      </c>
      <c r="W448" s="257">
        <f t="shared" si="1356"/>
        <v>16509.400000000001</v>
      </c>
      <c r="X448" s="392"/>
      <c r="Y448" s="393"/>
      <c r="Z448" s="393"/>
      <c r="AA448" s="394"/>
      <c r="AB448" s="353" t="s">
        <v>700</v>
      </c>
      <c r="AC448" s="62"/>
    </row>
    <row r="449" spans="1:29" ht="12.6" customHeight="1" x14ac:dyDescent="0.2">
      <c r="A449" s="17"/>
      <c r="B449" s="656" t="s">
        <v>543</v>
      </c>
      <c r="C449" s="669"/>
      <c r="D449" s="669"/>
      <c r="E449" s="670"/>
      <c r="F449" s="334">
        <f>2.6*X2</f>
        <v>3354</v>
      </c>
      <c r="G449" s="258">
        <f t="shared" ref="G449" si="1359">+F449*$X$1</f>
        <v>3354</v>
      </c>
      <c r="H449" s="576"/>
      <c r="I449" s="258"/>
      <c r="J449" s="576">
        <f t="shared" si="1345"/>
        <v>3554</v>
      </c>
      <c r="K449" s="258">
        <f t="shared" si="1346"/>
        <v>3554</v>
      </c>
      <c r="L449" s="576">
        <f t="shared" si="1347"/>
        <v>3504</v>
      </c>
      <c r="M449" s="258">
        <f t="shared" si="1348"/>
        <v>3504</v>
      </c>
      <c r="N449" s="576">
        <f t="shared" si="1349"/>
        <v>3464</v>
      </c>
      <c r="O449" s="258">
        <f t="shared" si="1321"/>
        <v>3464</v>
      </c>
      <c r="P449" s="576">
        <f t="shared" si="1350"/>
        <v>3444</v>
      </c>
      <c r="Q449" s="258">
        <f t="shared" si="1351"/>
        <v>3444</v>
      </c>
      <c r="R449" s="576">
        <f t="shared" si="1352"/>
        <v>3424</v>
      </c>
      <c r="S449" s="258">
        <f t="shared" si="1323"/>
        <v>3424</v>
      </c>
      <c r="T449" s="576">
        <f t="shared" si="1353"/>
        <v>3410</v>
      </c>
      <c r="U449" s="258">
        <f t="shared" si="1354"/>
        <v>3410</v>
      </c>
      <c r="V449" s="576">
        <f t="shared" si="1355"/>
        <v>3403</v>
      </c>
      <c r="W449" s="258">
        <f t="shared" si="1356"/>
        <v>3403</v>
      </c>
      <c r="X449" s="329"/>
      <c r="Y449" s="330"/>
      <c r="Z449" s="330"/>
      <c r="AA449" s="331"/>
      <c r="AB449" s="353">
        <v>2350</v>
      </c>
      <c r="AC449" s="62"/>
    </row>
    <row r="450" spans="1:29" ht="12.6" customHeight="1" x14ac:dyDescent="0.2">
      <c r="A450" s="17"/>
      <c r="B450" s="659" t="s">
        <v>624</v>
      </c>
      <c r="C450" s="707"/>
      <c r="D450" s="707"/>
      <c r="E450" s="708"/>
      <c r="F450" s="333">
        <f>1.59*X2</f>
        <v>2051.1</v>
      </c>
      <c r="G450" s="257">
        <f t="shared" ref="G450" si="1360">+F450*$X$1</f>
        <v>2051.1</v>
      </c>
      <c r="H450" s="559">
        <f t="shared" si="1343"/>
        <v>2651.1</v>
      </c>
      <c r="I450" s="257">
        <f t="shared" si="1344"/>
        <v>2651.1</v>
      </c>
      <c r="J450" s="559">
        <f t="shared" si="1345"/>
        <v>2251.1</v>
      </c>
      <c r="K450" s="257">
        <f t="shared" si="1346"/>
        <v>2251.1</v>
      </c>
      <c r="L450" s="559">
        <f t="shared" si="1347"/>
        <v>2201.1</v>
      </c>
      <c r="M450" s="257">
        <f t="shared" si="1348"/>
        <v>2201.1</v>
      </c>
      <c r="N450" s="559">
        <f t="shared" si="1349"/>
        <v>2161.1</v>
      </c>
      <c r="O450" s="257">
        <f t="shared" si="1321"/>
        <v>2161.1</v>
      </c>
      <c r="P450" s="559">
        <f t="shared" si="1350"/>
        <v>2141.1</v>
      </c>
      <c r="Q450" s="257">
        <f t="shared" si="1351"/>
        <v>2141.1</v>
      </c>
      <c r="R450" s="559">
        <f t="shared" si="1352"/>
        <v>2121.1</v>
      </c>
      <c r="S450" s="257">
        <f t="shared" si="1323"/>
        <v>2121.1</v>
      </c>
      <c r="T450" s="559">
        <f t="shared" si="1353"/>
        <v>2107.1</v>
      </c>
      <c r="U450" s="257">
        <f t="shared" si="1354"/>
        <v>2107.1</v>
      </c>
      <c r="V450" s="559">
        <f t="shared" si="1355"/>
        <v>2100.1</v>
      </c>
      <c r="W450" s="257">
        <f t="shared" si="1356"/>
        <v>2100.1</v>
      </c>
      <c r="X450" s="383"/>
      <c r="Y450" s="384"/>
      <c r="Z450" s="384"/>
      <c r="AA450" s="385"/>
      <c r="AB450" s="353">
        <v>2352</v>
      </c>
      <c r="AC450" s="62"/>
    </row>
    <row r="451" spans="1:29" ht="12.6" customHeight="1" x14ac:dyDescent="0.2">
      <c r="A451" s="17"/>
      <c r="B451" s="696" t="s">
        <v>828</v>
      </c>
      <c r="C451" s="636"/>
      <c r="D451" s="636"/>
      <c r="E451" s="637"/>
      <c r="F451" s="334">
        <f>1.48*X2</f>
        <v>1909.2</v>
      </c>
      <c r="G451" s="258">
        <f t="shared" ref="G451" si="1361">+F451*$X$1</f>
        <v>1909.2</v>
      </c>
      <c r="H451" s="406">
        <f t="shared" si="1343"/>
        <v>2509.1999999999998</v>
      </c>
      <c r="I451" s="258">
        <f t="shared" si="1344"/>
        <v>2509.1999999999998</v>
      </c>
      <c r="J451" s="406">
        <f t="shared" si="1345"/>
        <v>2109.1999999999998</v>
      </c>
      <c r="K451" s="258">
        <f t="shared" si="1346"/>
        <v>2109.1999999999998</v>
      </c>
      <c r="L451" s="406">
        <f t="shared" si="1347"/>
        <v>2059.1999999999998</v>
      </c>
      <c r="M451" s="258">
        <f t="shared" si="1348"/>
        <v>2059.1999999999998</v>
      </c>
      <c r="N451" s="406">
        <f t="shared" si="1349"/>
        <v>2019.2</v>
      </c>
      <c r="O451" s="258">
        <f t="shared" si="1321"/>
        <v>2019.2</v>
      </c>
      <c r="P451" s="406">
        <f t="shared" si="1350"/>
        <v>1999.2</v>
      </c>
      <c r="Q451" s="258">
        <f t="shared" si="1351"/>
        <v>1999.2</v>
      </c>
      <c r="R451" s="406">
        <f t="shared" si="1352"/>
        <v>1979.2</v>
      </c>
      <c r="S451" s="258">
        <f t="shared" si="1323"/>
        <v>1979.2</v>
      </c>
      <c r="T451" s="406">
        <f t="shared" si="1353"/>
        <v>1965.2</v>
      </c>
      <c r="U451" s="258">
        <f t="shared" si="1354"/>
        <v>1965.2</v>
      </c>
      <c r="V451" s="406">
        <f t="shared" si="1355"/>
        <v>1958.2</v>
      </c>
      <c r="W451" s="258">
        <f t="shared" si="1356"/>
        <v>1958.2</v>
      </c>
      <c r="X451" s="482"/>
      <c r="Y451" s="480"/>
      <c r="Z451" s="480"/>
      <c r="AA451" s="481"/>
      <c r="AB451" s="353">
        <v>2353</v>
      </c>
      <c r="AC451" s="62"/>
    </row>
    <row r="452" spans="1:29" ht="12.6" customHeight="1" x14ac:dyDescent="0.2">
      <c r="A452" s="17"/>
      <c r="B452" s="696" t="s">
        <v>872</v>
      </c>
      <c r="C452" s="636"/>
      <c r="D452" s="636"/>
      <c r="E452" s="637"/>
      <c r="F452" s="333">
        <f>1.732*X2</f>
        <v>2234.2800000000002</v>
      </c>
      <c r="G452" s="257">
        <f t="shared" ref="G452" si="1362">+F452*$X$1</f>
        <v>2234.2800000000002</v>
      </c>
      <c r="H452" s="534">
        <f t="shared" si="1343"/>
        <v>2834.28</v>
      </c>
      <c r="I452" s="257">
        <f t="shared" si="1344"/>
        <v>2834.28</v>
      </c>
      <c r="J452" s="534">
        <f t="shared" si="1345"/>
        <v>2434.2800000000002</v>
      </c>
      <c r="K452" s="257">
        <f t="shared" si="1346"/>
        <v>2434.2800000000002</v>
      </c>
      <c r="L452" s="534">
        <f t="shared" si="1347"/>
        <v>2384.2800000000002</v>
      </c>
      <c r="M452" s="257">
        <f t="shared" si="1348"/>
        <v>2384.2800000000002</v>
      </c>
      <c r="N452" s="534">
        <f t="shared" si="1349"/>
        <v>2344.2800000000002</v>
      </c>
      <c r="O452" s="257">
        <f t="shared" si="1321"/>
        <v>2344.2800000000002</v>
      </c>
      <c r="P452" s="534">
        <f t="shared" si="1350"/>
        <v>2324.2800000000002</v>
      </c>
      <c r="Q452" s="257">
        <f t="shared" si="1351"/>
        <v>2324.2800000000002</v>
      </c>
      <c r="R452" s="534">
        <f t="shared" si="1352"/>
        <v>2304.2800000000002</v>
      </c>
      <c r="S452" s="257">
        <f t="shared" si="1323"/>
        <v>2304.2800000000002</v>
      </c>
      <c r="T452" s="534">
        <f t="shared" si="1353"/>
        <v>2290.2800000000002</v>
      </c>
      <c r="U452" s="257">
        <f t="shared" si="1354"/>
        <v>2290.2800000000002</v>
      </c>
      <c r="V452" s="534">
        <f t="shared" si="1355"/>
        <v>2283.2800000000002</v>
      </c>
      <c r="W452" s="257">
        <f t="shared" si="1356"/>
        <v>2283.2800000000002</v>
      </c>
      <c r="X452" s="515"/>
      <c r="Y452" s="516"/>
      <c r="Z452" s="516"/>
      <c r="AA452" s="517"/>
      <c r="AB452" s="353">
        <v>2354</v>
      </c>
      <c r="AC452" s="62"/>
    </row>
    <row r="453" spans="1:29" ht="12.6" customHeight="1" x14ac:dyDescent="0.2">
      <c r="A453" s="17"/>
      <c r="B453" s="696" t="s">
        <v>871</v>
      </c>
      <c r="C453" s="636"/>
      <c r="D453" s="636"/>
      <c r="E453" s="637"/>
      <c r="F453" s="334">
        <f>1.471*X2</f>
        <v>1897.5900000000001</v>
      </c>
      <c r="G453" s="258">
        <f t="shared" ref="G453" si="1363">+F453*$X$1</f>
        <v>1897.5900000000001</v>
      </c>
      <c r="H453" s="406">
        <f t="shared" si="1343"/>
        <v>2497.59</v>
      </c>
      <c r="I453" s="258">
        <f t="shared" si="1344"/>
        <v>2497.59</v>
      </c>
      <c r="J453" s="406">
        <f t="shared" si="1345"/>
        <v>2097.59</v>
      </c>
      <c r="K453" s="258">
        <f t="shared" si="1346"/>
        <v>2097.59</v>
      </c>
      <c r="L453" s="406">
        <f t="shared" si="1347"/>
        <v>2047.5900000000001</v>
      </c>
      <c r="M453" s="258">
        <f t="shared" si="1348"/>
        <v>2047.5900000000001</v>
      </c>
      <c r="N453" s="406">
        <f t="shared" si="1349"/>
        <v>2007.5900000000001</v>
      </c>
      <c r="O453" s="258">
        <f t="shared" si="1321"/>
        <v>2007.5900000000001</v>
      </c>
      <c r="P453" s="406">
        <f t="shared" si="1350"/>
        <v>1987.5900000000001</v>
      </c>
      <c r="Q453" s="258">
        <f t="shared" si="1351"/>
        <v>1987.5900000000001</v>
      </c>
      <c r="R453" s="406">
        <f t="shared" si="1352"/>
        <v>1967.5900000000001</v>
      </c>
      <c r="S453" s="258">
        <f t="shared" si="1323"/>
        <v>1967.5900000000001</v>
      </c>
      <c r="T453" s="406">
        <f t="shared" si="1353"/>
        <v>1953.5900000000001</v>
      </c>
      <c r="U453" s="258">
        <f t="shared" si="1354"/>
        <v>1953.5900000000001</v>
      </c>
      <c r="V453" s="406">
        <f t="shared" si="1355"/>
        <v>1946.5900000000001</v>
      </c>
      <c r="W453" s="258">
        <f t="shared" si="1356"/>
        <v>1946.5900000000001</v>
      </c>
      <c r="X453" s="515"/>
      <c r="Y453" s="516"/>
      <c r="Z453" s="516"/>
      <c r="AA453" s="517"/>
      <c r="AB453" s="353">
        <v>2355</v>
      </c>
      <c r="AC453" s="62"/>
    </row>
    <row r="454" spans="1:29" ht="12.6" customHeight="1" x14ac:dyDescent="0.2">
      <c r="A454" s="17"/>
      <c r="B454" s="659" t="s">
        <v>884</v>
      </c>
      <c r="C454" s="707"/>
      <c r="D454" s="707"/>
      <c r="E454" s="708"/>
      <c r="F454" s="257">
        <f>2.95*X2</f>
        <v>3805.5000000000005</v>
      </c>
      <c r="G454" s="257">
        <f>+F454*$X$1</f>
        <v>3805.5000000000005</v>
      </c>
      <c r="H454" s="559">
        <f>F454+600</f>
        <v>4405.5</v>
      </c>
      <c r="I454" s="257">
        <f t="shared" si="1344"/>
        <v>4405.5</v>
      </c>
      <c r="J454" s="68">
        <f t="shared" ref="J454:J458" si="1364">F454+220</f>
        <v>4025.5000000000005</v>
      </c>
      <c r="K454" s="257">
        <f t="shared" si="1346"/>
        <v>4025.5000000000005</v>
      </c>
      <c r="L454" s="559">
        <f t="shared" ref="L454" si="1365">F454+150</f>
        <v>3955.5000000000005</v>
      </c>
      <c r="M454" s="257">
        <f t="shared" si="1348"/>
        <v>3955.5000000000005</v>
      </c>
      <c r="N454" s="559">
        <f t="shared" ref="N454" si="1366">F454+110</f>
        <v>3915.5000000000005</v>
      </c>
      <c r="O454" s="257">
        <f t="shared" ref="O454" si="1367">+N454*$X$1</f>
        <v>3915.5000000000005</v>
      </c>
      <c r="P454" s="559">
        <f t="shared" ref="P454" si="1368">F454+100</f>
        <v>3905.5000000000005</v>
      </c>
      <c r="Q454" s="257">
        <f t="shared" si="1351"/>
        <v>3905.5000000000005</v>
      </c>
      <c r="R454" s="559">
        <f t="shared" ref="R454" si="1369">F454+80</f>
        <v>3885.5000000000005</v>
      </c>
      <c r="S454" s="257">
        <f t="shared" ref="S454" si="1370">+R454*$X$1</f>
        <v>3885.5000000000005</v>
      </c>
      <c r="T454" s="559">
        <f t="shared" ref="T454" si="1371">F454+65</f>
        <v>3870.5000000000005</v>
      </c>
      <c r="U454" s="257">
        <f t="shared" si="1354"/>
        <v>3870.5000000000005</v>
      </c>
      <c r="V454" s="559">
        <f t="shared" ref="V454" si="1372">F454+56</f>
        <v>3861.5000000000005</v>
      </c>
      <c r="W454" s="257">
        <f t="shared" si="1356"/>
        <v>3861.5000000000005</v>
      </c>
      <c r="X454" s="653"/>
      <c r="Y454" s="638"/>
      <c r="Z454" s="638"/>
      <c r="AA454" s="640"/>
      <c r="AB454" s="353">
        <v>2500</v>
      </c>
    </row>
    <row r="455" spans="1:29" ht="12.6" customHeight="1" x14ac:dyDescent="0.2">
      <c r="A455" s="17"/>
      <c r="B455" s="656" t="s">
        <v>760</v>
      </c>
      <c r="C455" s="669"/>
      <c r="D455" s="669"/>
      <c r="E455" s="670"/>
      <c r="F455" s="258">
        <f>3.463*X2</f>
        <v>4467.2700000000004</v>
      </c>
      <c r="G455" s="258">
        <f>+F455*$X$1</f>
        <v>4467.2700000000004</v>
      </c>
      <c r="H455" s="573">
        <f>F455+600</f>
        <v>5067.2700000000004</v>
      </c>
      <c r="I455" s="258">
        <f t="shared" ref="I455:I457" si="1373">+H455*$X$1</f>
        <v>5067.2700000000004</v>
      </c>
      <c r="J455" s="82">
        <f t="shared" si="1364"/>
        <v>4687.2700000000004</v>
      </c>
      <c r="K455" s="258">
        <f t="shared" ref="K455:K458" si="1374">+J455*$X$1</f>
        <v>4687.2700000000004</v>
      </c>
      <c r="L455" s="573">
        <f t="shared" ref="L455:L458" si="1375">F455+150</f>
        <v>4617.2700000000004</v>
      </c>
      <c r="M455" s="258">
        <f t="shared" ref="M455:M458" si="1376">+L455*$X$1</f>
        <v>4617.2700000000004</v>
      </c>
      <c r="N455" s="573">
        <f t="shared" ref="N455:N458" si="1377">F455+110</f>
        <v>4577.2700000000004</v>
      </c>
      <c r="O455" s="258">
        <f t="shared" ref="O455:O458" si="1378">+N455*$X$1</f>
        <v>4577.2700000000004</v>
      </c>
      <c r="P455" s="573">
        <f t="shared" ref="P455:P458" si="1379">F455+100</f>
        <v>4567.2700000000004</v>
      </c>
      <c r="Q455" s="258">
        <f t="shared" ref="Q455:Q458" si="1380">+P455*$X$1</f>
        <v>4567.2700000000004</v>
      </c>
      <c r="R455" s="573">
        <f t="shared" ref="R455:R458" si="1381">F455+80</f>
        <v>4547.2700000000004</v>
      </c>
      <c r="S455" s="258">
        <f t="shared" ref="S455:S458" si="1382">+R455*$X$1</f>
        <v>4547.2700000000004</v>
      </c>
      <c r="T455" s="573">
        <f t="shared" ref="T455:T458" si="1383">F455+65</f>
        <v>4532.2700000000004</v>
      </c>
      <c r="U455" s="258">
        <f t="shared" ref="U455:U458" si="1384">+T455*$X$1</f>
        <v>4532.2700000000004</v>
      </c>
      <c r="V455" s="573">
        <f t="shared" ref="V455:V458" si="1385">F455+56</f>
        <v>4523.2700000000004</v>
      </c>
      <c r="W455" s="258">
        <f t="shared" ref="W455:W466" si="1386">+V455*$X$1</f>
        <v>4523.2700000000004</v>
      </c>
      <c r="X455" s="653"/>
      <c r="Y455" s="638"/>
      <c r="Z455" s="638"/>
      <c r="AA455" s="640"/>
      <c r="AB455" s="353">
        <v>2503</v>
      </c>
    </row>
    <row r="456" spans="1:29" ht="12.6" customHeight="1" x14ac:dyDescent="0.2">
      <c r="A456" s="17"/>
      <c r="B456" s="659" t="s">
        <v>885</v>
      </c>
      <c r="C456" s="707"/>
      <c r="D456" s="707"/>
      <c r="E456" s="708"/>
      <c r="F456" s="257">
        <f>0.95*X2</f>
        <v>1225.5</v>
      </c>
      <c r="G456" s="257">
        <f>+F456*$X$1</f>
        <v>1225.5</v>
      </c>
      <c r="H456" s="559">
        <f>F456+600</f>
        <v>1825.5</v>
      </c>
      <c r="I456" s="257">
        <f t="shared" si="1373"/>
        <v>1825.5</v>
      </c>
      <c r="J456" s="68">
        <f t="shared" si="1364"/>
        <v>1445.5</v>
      </c>
      <c r="K456" s="257">
        <f t="shared" si="1374"/>
        <v>1445.5</v>
      </c>
      <c r="L456" s="559">
        <f t="shared" si="1375"/>
        <v>1375.5</v>
      </c>
      <c r="M456" s="257">
        <f t="shared" si="1376"/>
        <v>1375.5</v>
      </c>
      <c r="N456" s="559">
        <f t="shared" si="1377"/>
        <v>1335.5</v>
      </c>
      <c r="O456" s="257">
        <f t="shared" si="1378"/>
        <v>1335.5</v>
      </c>
      <c r="P456" s="559">
        <f t="shared" si="1379"/>
        <v>1325.5</v>
      </c>
      <c r="Q456" s="257">
        <f t="shared" si="1380"/>
        <v>1325.5</v>
      </c>
      <c r="R456" s="559">
        <f t="shared" si="1381"/>
        <v>1305.5</v>
      </c>
      <c r="S456" s="257">
        <f t="shared" si="1382"/>
        <v>1305.5</v>
      </c>
      <c r="T456" s="559">
        <f t="shared" si="1383"/>
        <v>1290.5</v>
      </c>
      <c r="U456" s="257">
        <f t="shared" si="1384"/>
        <v>1290.5</v>
      </c>
      <c r="V456" s="559">
        <f t="shared" si="1385"/>
        <v>1281.5</v>
      </c>
      <c r="W456" s="257">
        <f t="shared" si="1386"/>
        <v>1281.5</v>
      </c>
      <c r="X456" s="653"/>
      <c r="Y456" s="638"/>
      <c r="Z456" s="638"/>
      <c r="AA456" s="640"/>
      <c r="AB456" s="353">
        <v>2506</v>
      </c>
    </row>
    <row r="457" spans="1:29" ht="12.6" customHeight="1" x14ac:dyDescent="0.2">
      <c r="A457" s="17"/>
      <c r="B457" s="696" t="s">
        <v>887</v>
      </c>
      <c r="C457" s="636"/>
      <c r="D457" s="636"/>
      <c r="E457" s="637"/>
      <c r="F457" s="258">
        <f>2.34*X2</f>
        <v>3018.6</v>
      </c>
      <c r="G457" s="258">
        <f>+F457*$X$1</f>
        <v>3018.6</v>
      </c>
      <c r="H457" s="573">
        <f>F457+600</f>
        <v>3618.6</v>
      </c>
      <c r="I457" s="258">
        <f t="shared" si="1373"/>
        <v>3618.6</v>
      </c>
      <c r="J457" s="82">
        <f t="shared" si="1364"/>
        <v>3238.6</v>
      </c>
      <c r="K457" s="258">
        <f t="shared" si="1374"/>
        <v>3238.6</v>
      </c>
      <c r="L457" s="573">
        <f t="shared" si="1375"/>
        <v>3168.6</v>
      </c>
      <c r="M457" s="258">
        <f t="shared" si="1376"/>
        <v>3168.6</v>
      </c>
      <c r="N457" s="573">
        <f t="shared" si="1377"/>
        <v>3128.6</v>
      </c>
      <c r="O457" s="258">
        <f t="shared" si="1378"/>
        <v>3128.6</v>
      </c>
      <c r="P457" s="573">
        <f t="shared" si="1379"/>
        <v>3118.6</v>
      </c>
      <c r="Q457" s="258">
        <f t="shared" si="1380"/>
        <v>3118.6</v>
      </c>
      <c r="R457" s="573">
        <f t="shared" si="1381"/>
        <v>3098.6</v>
      </c>
      <c r="S457" s="258">
        <f t="shared" si="1382"/>
        <v>3098.6</v>
      </c>
      <c r="T457" s="573">
        <f t="shared" si="1383"/>
        <v>3083.6</v>
      </c>
      <c r="U457" s="258">
        <f t="shared" si="1384"/>
        <v>3083.6</v>
      </c>
      <c r="V457" s="573">
        <f t="shared" si="1385"/>
        <v>3074.6</v>
      </c>
      <c r="W457" s="258">
        <f t="shared" si="1386"/>
        <v>3074.6</v>
      </c>
      <c r="X457" s="653"/>
      <c r="Y457" s="638"/>
      <c r="Z457" s="638"/>
      <c r="AA457" s="640"/>
      <c r="AB457" s="353">
        <v>2507</v>
      </c>
    </row>
    <row r="458" spans="1:29" ht="12.6" customHeight="1" x14ac:dyDescent="0.2">
      <c r="A458" s="17"/>
      <c r="B458" s="659" t="s">
        <v>445</v>
      </c>
      <c r="C458" s="660"/>
      <c r="D458" s="660"/>
      <c r="E458" s="661"/>
      <c r="F458" s="333">
        <f>2.6*X2</f>
        <v>3354</v>
      </c>
      <c r="G458" s="257">
        <f t="shared" ref="G458:G459" si="1387">+F458*$X$1</f>
        <v>3354</v>
      </c>
      <c r="H458" s="559"/>
      <c r="I458" s="257"/>
      <c r="J458" s="68">
        <f t="shared" si="1364"/>
        <v>3574</v>
      </c>
      <c r="K458" s="257">
        <f t="shared" si="1374"/>
        <v>3574</v>
      </c>
      <c r="L458" s="559">
        <f t="shared" si="1375"/>
        <v>3504</v>
      </c>
      <c r="M458" s="257">
        <f t="shared" si="1376"/>
        <v>3504</v>
      </c>
      <c r="N458" s="559">
        <f t="shared" si="1377"/>
        <v>3464</v>
      </c>
      <c r="O458" s="257">
        <f t="shared" si="1378"/>
        <v>3464</v>
      </c>
      <c r="P458" s="559">
        <f t="shared" si="1379"/>
        <v>3454</v>
      </c>
      <c r="Q458" s="257">
        <f t="shared" si="1380"/>
        <v>3454</v>
      </c>
      <c r="R458" s="559">
        <f t="shared" si="1381"/>
        <v>3434</v>
      </c>
      <c r="S458" s="257">
        <f t="shared" si="1382"/>
        <v>3434</v>
      </c>
      <c r="T458" s="559">
        <f t="shared" si="1383"/>
        <v>3419</v>
      </c>
      <c r="U458" s="257">
        <f t="shared" si="1384"/>
        <v>3419</v>
      </c>
      <c r="V458" s="559">
        <f t="shared" si="1385"/>
        <v>3410</v>
      </c>
      <c r="W458" s="257">
        <f t="shared" si="1386"/>
        <v>3410</v>
      </c>
      <c r="X458" s="149"/>
      <c r="Y458" s="122"/>
      <c r="Z458" s="122"/>
      <c r="AA458" s="125"/>
      <c r="AB458" s="365">
        <v>3001</v>
      </c>
    </row>
    <row r="459" spans="1:29" ht="12.6" customHeight="1" x14ac:dyDescent="0.2">
      <c r="A459" s="17"/>
      <c r="B459" s="696" t="s">
        <v>1015</v>
      </c>
      <c r="C459" s="698"/>
      <c r="D459" s="698"/>
      <c r="E459" s="699"/>
      <c r="F459" s="333">
        <f>3.08*X2</f>
        <v>3973.2000000000003</v>
      </c>
      <c r="G459" s="258">
        <f t="shared" si="1387"/>
        <v>3973.2000000000003</v>
      </c>
      <c r="H459" s="576"/>
      <c r="I459" s="258"/>
      <c r="J459" s="82"/>
      <c r="K459" s="258"/>
      <c r="L459" s="576"/>
      <c r="M459" s="258"/>
      <c r="N459" s="576">
        <f t="shared" ref="N459:N464" si="1388">F459+1440</f>
        <v>5413.2000000000007</v>
      </c>
      <c r="O459" s="258">
        <f t="shared" ref="O459" si="1389">+N459*$X$1</f>
        <v>5413.2000000000007</v>
      </c>
      <c r="P459" s="576">
        <f t="shared" ref="P459:P464" si="1390">F459+880</f>
        <v>4853.2000000000007</v>
      </c>
      <c r="Q459" s="258">
        <f t="shared" ref="Q459" si="1391">+P459*$X$1</f>
        <v>4853.2000000000007</v>
      </c>
      <c r="R459" s="576">
        <f t="shared" ref="R459:R464" si="1392">F459+800</f>
        <v>4773.2000000000007</v>
      </c>
      <c r="S459" s="258">
        <f t="shared" ref="S459" si="1393">+R459*$X$1</f>
        <v>4773.2000000000007</v>
      </c>
      <c r="T459" s="576">
        <f t="shared" ref="T459:T464" si="1394">F459+300</f>
        <v>4273.2000000000007</v>
      </c>
      <c r="U459" s="258">
        <f t="shared" ref="U459" si="1395">+T459*$X$1</f>
        <v>4273.2000000000007</v>
      </c>
      <c r="V459" s="576">
        <f t="shared" ref="V459:V464" si="1396">F459+200</f>
        <v>4173.2000000000007</v>
      </c>
      <c r="W459" s="258">
        <f t="shared" ref="W459" si="1397">+V459*$X$1</f>
        <v>4173.2000000000007</v>
      </c>
      <c r="X459" s="149"/>
      <c r="Y459" s="122"/>
      <c r="Z459" s="122"/>
      <c r="AA459" s="125"/>
      <c r="AB459" s="365">
        <v>3020</v>
      </c>
    </row>
    <row r="460" spans="1:29" ht="12.6" customHeight="1" x14ac:dyDescent="0.2">
      <c r="A460" s="17"/>
      <c r="B460" s="696" t="s">
        <v>1017</v>
      </c>
      <c r="C460" s="698"/>
      <c r="D460" s="698"/>
      <c r="E460" s="699"/>
      <c r="F460" s="333">
        <f>3.08*X2</f>
        <v>3973.2000000000003</v>
      </c>
      <c r="G460" s="257">
        <f t="shared" ref="G460" si="1398">+F460*$X$1</f>
        <v>3973.2000000000003</v>
      </c>
      <c r="H460" s="559"/>
      <c r="I460" s="257"/>
      <c r="J460" s="68"/>
      <c r="K460" s="257"/>
      <c r="L460" s="559"/>
      <c r="M460" s="257"/>
      <c r="N460" s="559">
        <f t="shared" si="1388"/>
        <v>5413.2000000000007</v>
      </c>
      <c r="O460" s="257">
        <f t="shared" ref="O460" si="1399">+N460*$X$1</f>
        <v>5413.2000000000007</v>
      </c>
      <c r="P460" s="559">
        <f t="shared" si="1390"/>
        <v>4853.2000000000007</v>
      </c>
      <c r="Q460" s="257">
        <f t="shared" ref="Q460" si="1400">+P460*$X$1</f>
        <v>4853.2000000000007</v>
      </c>
      <c r="R460" s="559">
        <f t="shared" si="1392"/>
        <v>4773.2000000000007</v>
      </c>
      <c r="S460" s="257">
        <f t="shared" ref="S460" si="1401">+R460*$X$1</f>
        <v>4773.2000000000007</v>
      </c>
      <c r="T460" s="559">
        <f t="shared" si="1394"/>
        <v>4273.2000000000007</v>
      </c>
      <c r="U460" s="257">
        <f t="shared" ref="U460" si="1402">+T460*$X$1</f>
        <v>4273.2000000000007</v>
      </c>
      <c r="V460" s="559">
        <f t="shared" si="1396"/>
        <v>4173.2000000000007</v>
      </c>
      <c r="W460" s="257">
        <f t="shared" ref="W460" si="1403">+V460*$X$1</f>
        <v>4173.2000000000007</v>
      </c>
      <c r="X460" s="149"/>
      <c r="Y460" s="122"/>
      <c r="Z460" s="122"/>
      <c r="AA460" s="125"/>
      <c r="AB460" s="365">
        <v>3021</v>
      </c>
    </row>
    <row r="461" spans="1:29" ht="12.6" customHeight="1" x14ac:dyDescent="0.2">
      <c r="A461" s="17"/>
      <c r="B461" s="696" t="s">
        <v>1016</v>
      </c>
      <c r="C461" s="698"/>
      <c r="D461" s="698"/>
      <c r="E461" s="699"/>
      <c r="F461" s="333">
        <f>3.08*X2</f>
        <v>3973.2000000000003</v>
      </c>
      <c r="G461" s="258">
        <f t="shared" ref="G461" si="1404">+F461*$X$1</f>
        <v>3973.2000000000003</v>
      </c>
      <c r="H461" s="576"/>
      <c r="I461" s="258"/>
      <c r="J461" s="82"/>
      <c r="K461" s="258"/>
      <c r="L461" s="576"/>
      <c r="M461" s="258"/>
      <c r="N461" s="576">
        <f t="shared" si="1388"/>
        <v>5413.2000000000007</v>
      </c>
      <c r="O461" s="258">
        <f t="shared" ref="O461" si="1405">+N461*$X$1</f>
        <v>5413.2000000000007</v>
      </c>
      <c r="P461" s="576">
        <f t="shared" si="1390"/>
        <v>4853.2000000000007</v>
      </c>
      <c r="Q461" s="258">
        <f t="shared" ref="Q461" si="1406">+P461*$X$1</f>
        <v>4853.2000000000007</v>
      </c>
      <c r="R461" s="576">
        <f t="shared" si="1392"/>
        <v>4773.2000000000007</v>
      </c>
      <c r="S461" s="258">
        <f t="shared" ref="S461" si="1407">+R461*$X$1</f>
        <v>4773.2000000000007</v>
      </c>
      <c r="T461" s="576">
        <f t="shared" si="1394"/>
        <v>4273.2000000000007</v>
      </c>
      <c r="U461" s="258">
        <f t="shared" ref="U461" si="1408">+T461*$X$1</f>
        <v>4273.2000000000007</v>
      </c>
      <c r="V461" s="576">
        <f t="shared" si="1396"/>
        <v>4173.2000000000007</v>
      </c>
      <c r="W461" s="258">
        <f t="shared" ref="W461" si="1409">+V461*$X$1</f>
        <v>4173.2000000000007</v>
      </c>
      <c r="X461" s="149"/>
      <c r="Y461" s="122"/>
      <c r="Z461" s="122"/>
      <c r="AA461" s="125"/>
      <c r="AB461" s="365">
        <v>3022</v>
      </c>
    </row>
    <row r="462" spans="1:29" ht="12.6" customHeight="1" x14ac:dyDescent="0.2">
      <c r="A462" s="17"/>
      <c r="B462" s="696" t="s">
        <v>1018</v>
      </c>
      <c r="C462" s="698"/>
      <c r="D462" s="698"/>
      <c r="E462" s="699"/>
      <c r="F462" s="333">
        <f>3.08*X2</f>
        <v>3973.2000000000003</v>
      </c>
      <c r="G462" s="257">
        <f t="shared" ref="G462" si="1410">+F462*$X$1</f>
        <v>3973.2000000000003</v>
      </c>
      <c r="H462" s="559"/>
      <c r="I462" s="257"/>
      <c r="J462" s="68"/>
      <c r="K462" s="257"/>
      <c r="L462" s="559"/>
      <c r="M462" s="257"/>
      <c r="N462" s="559">
        <f t="shared" si="1388"/>
        <v>5413.2000000000007</v>
      </c>
      <c r="O462" s="257">
        <f t="shared" ref="O462" si="1411">+N462*$X$1</f>
        <v>5413.2000000000007</v>
      </c>
      <c r="P462" s="559">
        <f t="shared" si="1390"/>
        <v>4853.2000000000007</v>
      </c>
      <c r="Q462" s="257">
        <f t="shared" ref="Q462" si="1412">+P462*$X$1</f>
        <v>4853.2000000000007</v>
      </c>
      <c r="R462" s="559">
        <f t="shared" si="1392"/>
        <v>4773.2000000000007</v>
      </c>
      <c r="S462" s="257">
        <f t="shared" ref="S462" si="1413">+R462*$X$1</f>
        <v>4773.2000000000007</v>
      </c>
      <c r="T462" s="559">
        <f t="shared" si="1394"/>
        <v>4273.2000000000007</v>
      </c>
      <c r="U462" s="257">
        <f t="shared" ref="U462" si="1414">+T462*$X$1</f>
        <v>4273.2000000000007</v>
      </c>
      <c r="V462" s="559">
        <f t="shared" si="1396"/>
        <v>4173.2000000000007</v>
      </c>
      <c r="W462" s="257">
        <f t="shared" ref="W462" si="1415">+V462*$X$1</f>
        <v>4173.2000000000007</v>
      </c>
      <c r="X462" s="149"/>
      <c r="Y462" s="122"/>
      <c r="Z462" s="122"/>
      <c r="AA462" s="125"/>
      <c r="AB462" s="365">
        <v>3023</v>
      </c>
    </row>
    <row r="463" spans="1:29" ht="12.6" customHeight="1" x14ac:dyDescent="0.2">
      <c r="A463" s="17"/>
      <c r="B463" s="696" t="s">
        <v>1019</v>
      </c>
      <c r="C463" s="698"/>
      <c r="D463" s="698"/>
      <c r="E463" s="699"/>
      <c r="F463" s="333">
        <f>3.08*X2</f>
        <v>3973.2000000000003</v>
      </c>
      <c r="G463" s="258">
        <f t="shared" ref="G463" si="1416">+F463*$X$1</f>
        <v>3973.2000000000003</v>
      </c>
      <c r="H463" s="576"/>
      <c r="I463" s="258"/>
      <c r="J463" s="82"/>
      <c r="K463" s="258"/>
      <c r="L463" s="576"/>
      <c r="M463" s="258"/>
      <c r="N463" s="576">
        <f t="shared" si="1388"/>
        <v>5413.2000000000007</v>
      </c>
      <c r="O463" s="258">
        <f t="shared" ref="O463" si="1417">+N463*$X$1</f>
        <v>5413.2000000000007</v>
      </c>
      <c r="P463" s="576">
        <f t="shared" si="1390"/>
        <v>4853.2000000000007</v>
      </c>
      <c r="Q463" s="258">
        <f t="shared" ref="Q463" si="1418">+P463*$X$1</f>
        <v>4853.2000000000007</v>
      </c>
      <c r="R463" s="576">
        <f t="shared" si="1392"/>
        <v>4773.2000000000007</v>
      </c>
      <c r="S463" s="258">
        <f t="shared" ref="S463" si="1419">+R463*$X$1</f>
        <v>4773.2000000000007</v>
      </c>
      <c r="T463" s="576">
        <f t="shared" si="1394"/>
        <v>4273.2000000000007</v>
      </c>
      <c r="U463" s="258">
        <f t="shared" ref="U463" si="1420">+T463*$X$1</f>
        <v>4273.2000000000007</v>
      </c>
      <c r="V463" s="576">
        <f t="shared" si="1396"/>
        <v>4173.2000000000007</v>
      </c>
      <c r="W463" s="258">
        <f t="shared" ref="W463" si="1421">+V463*$X$1</f>
        <v>4173.2000000000007</v>
      </c>
      <c r="X463" s="149"/>
      <c r="Y463" s="122"/>
      <c r="Z463" s="122"/>
      <c r="AA463" s="125"/>
      <c r="AB463" s="365">
        <v>3024</v>
      </c>
    </row>
    <row r="464" spans="1:29" ht="12.6" customHeight="1" x14ac:dyDescent="0.2">
      <c r="A464" s="17"/>
      <c r="B464" s="696" t="s">
        <v>1020</v>
      </c>
      <c r="C464" s="698"/>
      <c r="D464" s="698"/>
      <c r="E464" s="699"/>
      <c r="F464" s="333">
        <f>3.08*X2</f>
        <v>3973.2000000000003</v>
      </c>
      <c r="G464" s="257">
        <f t="shared" ref="G464" si="1422">+F464*$X$1</f>
        <v>3973.2000000000003</v>
      </c>
      <c r="H464" s="559"/>
      <c r="I464" s="257"/>
      <c r="J464" s="68"/>
      <c r="K464" s="257"/>
      <c r="L464" s="559"/>
      <c r="M464" s="257"/>
      <c r="N464" s="559">
        <f t="shared" si="1388"/>
        <v>5413.2000000000007</v>
      </c>
      <c r="O464" s="257">
        <f t="shared" ref="O464" si="1423">+N464*$X$1</f>
        <v>5413.2000000000007</v>
      </c>
      <c r="P464" s="559">
        <f t="shared" si="1390"/>
        <v>4853.2000000000007</v>
      </c>
      <c r="Q464" s="257">
        <f t="shared" ref="Q464" si="1424">+P464*$X$1</f>
        <v>4853.2000000000007</v>
      </c>
      <c r="R464" s="559">
        <f t="shared" si="1392"/>
        <v>4773.2000000000007</v>
      </c>
      <c r="S464" s="257">
        <f t="shared" ref="S464" si="1425">+R464*$X$1</f>
        <v>4773.2000000000007</v>
      </c>
      <c r="T464" s="559">
        <f t="shared" si="1394"/>
        <v>4273.2000000000007</v>
      </c>
      <c r="U464" s="257">
        <f t="shared" ref="U464" si="1426">+T464*$X$1</f>
        <v>4273.2000000000007</v>
      </c>
      <c r="V464" s="559">
        <f t="shared" si="1396"/>
        <v>4173.2000000000007</v>
      </c>
      <c r="W464" s="257">
        <f t="shared" ref="W464" si="1427">+V464*$X$1</f>
        <v>4173.2000000000007</v>
      </c>
      <c r="X464" s="149"/>
      <c r="Y464" s="122"/>
      <c r="Z464" s="122"/>
      <c r="AA464" s="125"/>
      <c r="AB464" s="365">
        <v>3025</v>
      </c>
    </row>
    <row r="465" spans="1:35" ht="12.6" customHeight="1" x14ac:dyDescent="0.2">
      <c r="A465" s="17"/>
      <c r="B465" s="696" t="s">
        <v>1027</v>
      </c>
      <c r="C465" s="698"/>
      <c r="D465" s="698"/>
      <c r="E465" s="699"/>
      <c r="F465" s="334">
        <f>3.08*X2</f>
        <v>3973.2000000000003</v>
      </c>
      <c r="G465" s="258">
        <f t="shared" ref="G465" si="1428">+F465*$X$1</f>
        <v>3973.2000000000003</v>
      </c>
      <c r="H465" s="576"/>
      <c r="I465" s="258"/>
      <c r="J465" s="82"/>
      <c r="K465" s="258"/>
      <c r="L465" s="576"/>
      <c r="M465" s="258"/>
      <c r="N465" s="576">
        <f t="shared" ref="N465" si="1429">F465+1440</f>
        <v>5413.2000000000007</v>
      </c>
      <c r="O465" s="258">
        <f t="shared" ref="O465" si="1430">+N465*$X$1</f>
        <v>5413.2000000000007</v>
      </c>
      <c r="P465" s="576">
        <f t="shared" ref="P465" si="1431">F465+880</f>
        <v>4853.2000000000007</v>
      </c>
      <c r="Q465" s="258">
        <f t="shared" ref="Q465" si="1432">+P465*$X$1</f>
        <v>4853.2000000000007</v>
      </c>
      <c r="R465" s="576">
        <f t="shared" ref="R465" si="1433">F465+800</f>
        <v>4773.2000000000007</v>
      </c>
      <c r="S465" s="258">
        <f t="shared" ref="S465" si="1434">+R465*$X$1</f>
        <v>4773.2000000000007</v>
      </c>
      <c r="T465" s="576">
        <f t="shared" ref="T465" si="1435">F465+300</f>
        <v>4273.2000000000007</v>
      </c>
      <c r="U465" s="258">
        <f t="shared" ref="U465" si="1436">+T465*$X$1</f>
        <v>4273.2000000000007</v>
      </c>
      <c r="V465" s="576">
        <f t="shared" ref="V465" si="1437">F465+200</f>
        <v>4173.2000000000007</v>
      </c>
      <c r="W465" s="258">
        <f t="shared" ref="W465" si="1438">+V465*$X$1</f>
        <v>4173.2000000000007</v>
      </c>
      <c r="X465" s="149"/>
      <c r="Y465" s="122"/>
      <c r="Z465" s="122"/>
      <c r="AA465" s="125"/>
      <c r="AB465" s="365">
        <v>3026</v>
      </c>
    </row>
    <row r="466" spans="1:35" ht="12.6" customHeight="1" x14ac:dyDescent="0.2">
      <c r="A466" s="94"/>
      <c r="B466" s="710" t="s">
        <v>725</v>
      </c>
      <c r="C466" s="794"/>
      <c r="D466" s="794"/>
      <c r="E466" s="794"/>
      <c r="F466" s="257">
        <v>4120</v>
      </c>
      <c r="G466" s="257">
        <f t="shared" ref="G466" si="1439">+F466*$X$1</f>
        <v>4120</v>
      </c>
      <c r="H466" s="252"/>
      <c r="I466" s="305"/>
      <c r="J466" s="559"/>
      <c r="K466" s="257"/>
      <c r="L466" s="559">
        <f>F466+1220</f>
        <v>5340</v>
      </c>
      <c r="M466" s="257">
        <f t="shared" ref="M466" si="1440">+L466*$X$1</f>
        <v>5340</v>
      </c>
      <c r="N466" s="559">
        <f>F466+1000</f>
        <v>5120</v>
      </c>
      <c r="O466" s="257">
        <f t="shared" ref="O466:O467" si="1441">+N466*$X$1</f>
        <v>5120</v>
      </c>
      <c r="P466" s="559">
        <f>F466+900</f>
        <v>5020</v>
      </c>
      <c r="Q466" s="257">
        <f t="shared" ref="Q466:Q467" si="1442">+P466*$X$1</f>
        <v>5020</v>
      </c>
      <c r="R466" s="559">
        <f>F466+850</f>
        <v>4970</v>
      </c>
      <c r="S466" s="257">
        <f t="shared" ref="S466" si="1443">+R466*$X$1</f>
        <v>4970</v>
      </c>
      <c r="T466" s="559">
        <f>F466+800</f>
        <v>4920</v>
      </c>
      <c r="U466" s="257">
        <f t="shared" ref="U466" si="1444">+T466*$X$1</f>
        <v>4920</v>
      </c>
      <c r="V466" s="559">
        <f>F466+780</f>
        <v>4900</v>
      </c>
      <c r="W466" s="257">
        <f t="shared" si="1386"/>
        <v>4900</v>
      </c>
      <c r="X466" s="197"/>
      <c r="Y466" s="199"/>
      <c r="Z466" s="199"/>
      <c r="AA466" s="198"/>
      <c r="AB466" s="353">
        <v>5003</v>
      </c>
      <c r="AC466" s="62"/>
    </row>
    <row r="467" spans="1:35" ht="12.6" customHeight="1" x14ac:dyDescent="0.2">
      <c r="A467" s="94"/>
      <c r="B467" s="662" t="s">
        <v>726</v>
      </c>
      <c r="C467" s="663"/>
      <c r="D467" s="663"/>
      <c r="E467" s="663"/>
      <c r="F467" s="258">
        <v>4120</v>
      </c>
      <c r="G467" s="258">
        <f t="shared" ref="G467" si="1445">+F467*$X$1</f>
        <v>4120</v>
      </c>
      <c r="H467" s="576">
        <f>F467+900</f>
        <v>5020</v>
      </c>
      <c r="I467" s="258">
        <f>+H467*$X$1</f>
        <v>5020</v>
      </c>
      <c r="J467" s="82">
        <f>F467+370</f>
        <v>4490</v>
      </c>
      <c r="K467" s="258">
        <f t="shared" ref="K467" si="1446">+J467*$X$1</f>
        <v>4490</v>
      </c>
      <c r="L467" s="576">
        <f>F467+310</f>
        <v>4430</v>
      </c>
      <c r="M467" s="258">
        <f t="shared" ref="M467" si="1447">+L467*$X$1</f>
        <v>4430</v>
      </c>
      <c r="N467" s="576">
        <f>F467+280</f>
        <v>4400</v>
      </c>
      <c r="O467" s="258">
        <f t="shared" si="1441"/>
        <v>4400</v>
      </c>
      <c r="P467" s="576">
        <f>F467+260</f>
        <v>4380</v>
      </c>
      <c r="Q467" s="258">
        <f t="shared" si="1442"/>
        <v>4380</v>
      </c>
      <c r="R467" s="576">
        <f>F467+240</f>
        <v>4360</v>
      </c>
      <c r="S467" s="258">
        <f t="shared" ref="S467" si="1448">+R467*$X$1</f>
        <v>4360</v>
      </c>
      <c r="T467" s="576">
        <f>F467+210</f>
        <v>4330</v>
      </c>
      <c r="U467" s="258">
        <f t="shared" ref="U467" si="1449">+T467*$X$1</f>
        <v>4330</v>
      </c>
      <c r="V467" s="576">
        <f>F467+180</f>
        <v>4300</v>
      </c>
      <c r="W467" s="258">
        <f t="shared" ref="W467" si="1450">+V467*$X$1</f>
        <v>4300</v>
      </c>
      <c r="X467" s="382"/>
      <c r="Y467" s="380"/>
      <c r="Z467" s="380"/>
      <c r="AA467" s="381"/>
      <c r="AB467" s="353" t="s">
        <v>636</v>
      </c>
      <c r="AC467" s="62"/>
    </row>
    <row r="468" spans="1:35" ht="12.6" customHeight="1" x14ac:dyDescent="0.2">
      <c r="A468" s="17"/>
      <c r="B468" s="654" t="s">
        <v>485</v>
      </c>
      <c r="C468" s="655"/>
      <c r="D468" s="655"/>
      <c r="E468" s="655"/>
      <c r="F468" s="257">
        <v>5531</v>
      </c>
      <c r="G468" s="257">
        <f t="shared" ref="G468:G476" si="1451">+F468*$X$1</f>
        <v>5531</v>
      </c>
      <c r="H468" s="252"/>
      <c r="I468" s="305"/>
      <c r="J468" s="559"/>
      <c r="K468" s="257"/>
      <c r="L468" s="559">
        <f>F468+1700</f>
        <v>7231</v>
      </c>
      <c r="M468" s="257">
        <f t="shared" ref="M468" si="1452">+L468*$X$1</f>
        <v>7231</v>
      </c>
      <c r="N468" s="559">
        <f>F468+1370</f>
        <v>6901</v>
      </c>
      <c r="O468" s="257">
        <f t="shared" ref="O468" si="1453">+N468*$X$1</f>
        <v>6901</v>
      </c>
      <c r="P468" s="559">
        <f>F468+1150</f>
        <v>6681</v>
      </c>
      <c r="Q468" s="257">
        <f t="shared" ref="Q468" si="1454">+P468*$X$1</f>
        <v>6681</v>
      </c>
      <c r="R468" s="559">
        <f>F468+1110</f>
        <v>6641</v>
      </c>
      <c r="S468" s="257">
        <f>+R468*$X$1</f>
        <v>6641</v>
      </c>
      <c r="T468" s="559">
        <f>F468+1070</f>
        <v>6601</v>
      </c>
      <c r="U468" s="257">
        <f>+T468*$X$1</f>
        <v>6601</v>
      </c>
      <c r="V468" s="559"/>
      <c r="W468" s="257"/>
      <c r="X468" s="1158"/>
      <c r="Y468" s="1159"/>
      <c r="Z468" s="1159"/>
      <c r="AA468" s="1160"/>
      <c r="AB468" s="178">
        <v>5008</v>
      </c>
      <c r="AC468" s="35"/>
      <c r="AD468" s="35"/>
      <c r="AE468" s="35"/>
      <c r="AF468" s="35"/>
      <c r="AG468" s="35"/>
      <c r="AH468" s="35"/>
      <c r="AI468" s="35"/>
    </row>
    <row r="469" spans="1:35" ht="12.6" customHeight="1" x14ac:dyDescent="0.2">
      <c r="A469" s="17"/>
      <c r="B469" s="656" t="s">
        <v>486</v>
      </c>
      <c r="C469" s="669"/>
      <c r="D469" s="669"/>
      <c r="E469" s="670"/>
      <c r="F469" s="258">
        <v>7450</v>
      </c>
      <c r="G469" s="258">
        <f t="shared" si="1451"/>
        <v>7450</v>
      </c>
      <c r="H469" s="251"/>
      <c r="I469" s="306"/>
      <c r="J469" s="576"/>
      <c r="K469" s="258"/>
      <c r="L469" s="576">
        <f>F469+1700</f>
        <v>9150</v>
      </c>
      <c r="M469" s="258">
        <f t="shared" ref="M469:M471" si="1455">+L469*$X$1</f>
        <v>9150</v>
      </c>
      <c r="N469" s="576">
        <f>F469+1370</f>
        <v>8820</v>
      </c>
      <c r="O469" s="258">
        <f t="shared" ref="O469:O471" si="1456">+N469*$X$1</f>
        <v>8820</v>
      </c>
      <c r="P469" s="576">
        <f>F469+1150</f>
        <v>8600</v>
      </c>
      <c r="Q469" s="258">
        <f t="shared" ref="Q469:Q471" si="1457">+P469*$X$1</f>
        <v>8600</v>
      </c>
      <c r="R469" s="576">
        <f>F469+1110</f>
        <v>8560</v>
      </c>
      <c r="S469" s="258">
        <f>+R469*$X$1</f>
        <v>8560</v>
      </c>
      <c r="T469" s="576">
        <f>F469+1070</f>
        <v>8520</v>
      </c>
      <c r="U469" s="258">
        <f>+T469*$X$1</f>
        <v>8520</v>
      </c>
      <c r="V469" s="576"/>
      <c r="W469" s="258"/>
      <c r="X469" s="1158"/>
      <c r="Y469" s="1159"/>
      <c r="Z469" s="1159"/>
      <c r="AA469" s="1160"/>
      <c r="AB469" s="365">
        <v>5010</v>
      </c>
      <c r="AC469" s="35"/>
      <c r="AD469" s="35"/>
      <c r="AE469" s="35"/>
      <c r="AF469" s="35"/>
      <c r="AG469" s="35"/>
      <c r="AH469" s="35"/>
      <c r="AI469" s="35"/>
    </row>
    <row r="470" spans="1:35" ht="12.6" customHeight="1" x14ac:dyDescent="0.2">
      <c r="A470" s="17"/>
      <c r="B470" s="659" t="s">
        <v>487</v>
      </c>
      <c r="C470" s="707"/>
      <c r="D470" s="707"/>
      <c r="E470" s="708"/>
      <c r="F470" s="257">
        <v>4200</v>
      </c>
      <c r="G470" s="257">
        <f t="shared" ref="G470" si="1458">+F470*$X$1</f>
        <v>4200</v>
      </c>
      <c r="H470" s="252"/>
      <c r="I470" s="305"/>
      <c r="J470" s="559"/>
      <c r="K470" s="257"/>
      <c r="L470" s="559">
        <f>F470+1700</f>
        <v>5900</v>
      </c>
      <c r="M470" s="257">
        <f t="shared" si="1455"/>
        <v>5900</v>
      </c>
      <c r="N470" s="559">
        <f>F470+1370</f>
        <v>5570</v>
      </c>
      <c r="O470" s="257">
        <f t="shared" si="1456"/>
        <v>5570</v>
      </c>
      <c r="P470" s="559">
        <f>F470+1150</f>
        <v>5350</v>
      </c>
      <c r="Q470" s="257">
        <f t="shared" si="1457"/>
        <v>5350</v>
      </c>
      <c r="R470" s="559">
        <f>F470+1110</f>
        <v>5310</v>
      </c>
      <c r="S470" s="257">
        <f>+R470*$X$1</f>
        <v>5310</v>
      </c>
      <c r="T470" s="559">
        <f>F470+1070</f>
        <v>5270</v>
      </c>
      <c r="U470" s="257">
        <f>+T470*$X$1</f>
        <v>5270</v>
      </c>
      <c r="V470" s="559"/>
      <c r="W470" s="257"/>
      <c r="X470" s="1158"/>
      <c r="Y470" s="1159"/>
      <c r="Z470" s="1159"/>
      <c r="AA470" s="1160"/>
      <c r="AB470" s="365"/>
      <c r="AC470" s="35"/>
      <c r="AD470" s="35"/>
      <c r="AE470" s="35"/>
      <c r="AF470" s="35"/>
      <c r="AG470" s="35"/>
      <c r="AH470" s="35"/>
      <c r="AI470" s="35"/>
    </row>
    <row r="471" spans="1:35" ht="12.6" customHeight="1" x14ac:dyDescent="0.2">
      <c r="A471" s="17"/>
      <c r="B471" s="656" t="s">
        <v>488</v>
      </c>
      <c r="C471" s="669"/>
      <c r="D471" s="669"/>
      <c r="E471" s="670"/>
      <c r="F471" s="258">
        <v>6231</v>
      </c>
      <c r="G471" s="258">
        <f t="shared" ref="G471:G474" si="1459">+F471*$X$1</f>
        <v>6231</v>
      </c>
      <c r="H471" s="251"/>
      <c r="I471" s="306"/>
      <c r="J471" s="576"/>
      <c r="K471" s="258"/>
      <c r="L471" s="576">
        <f>F471+1700</f>
        <v>7931</v>
      </c>
      <c r="M471" s="258">
        <f t="shared" si="1455"/>
        <v>7931</v>
      </c>
      <c r="N471" s="576">
        <f>F471+1370</f>
        <v>7601</v>
      </c>
      <c r="O471" s="258">
        <f t="shared" si="1456"/>
        <v>7601</v>
      </c>
      <c r="P471" s="576">
        <f>F471+1150</f>
        <v>7381</v>
      </c>
      <c r="Q471" s="258">
        <f t="shared" si="1457"/>
        <v>7381</v>
      </c>
      <c r="R471" s="576">
        <f>F471+1110</f>
        <v>7341</v>
      </c>
      <c r="S471" s="258">
        <f>+R471*$X$1</f>
        <v>7341</v>
      </c>
      <c r="T471" s="576">
        <f>F471+1070</f>
        <v>7301</v>
      </c>
      <c r="U471" s="258">
        <f>+T471*$X$1</f>
        <v>7301</v>
      </c>
      <c r="V471" s="576"/>
      <c r="W471" s="258"/>
      <c r="X471" s="1158"/>
      <c r="Y471" s="1159"/>
      <c r="Z471" s="1159"/>
      <c r="AA471" s="1160"/>
      <c r="AB471" s="365"/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54" t="s">
        <v>763</v>
      </c>
      <c r="C472" s="798"/>
      <c r="D472" s="798"/>
      <c r="E472" s="798"/>
      <c r="F472" s="294">
        <v>2100</v>
      </c>
      <c r="G472" s="257">
        <f t="shared" si="1459"/>
        <v>2100</v>
      </c>
      <c r="H472" s="252"/>
      <c r="I472" s="305"/>
      <c r="J472" s="68">
        <f t="shared" ref="J472" si="1460">F472+220</f>
        <v>2320</v>
      </c>
      <c r="K472" s="257">
        <f t="shared" ref="K472" si="1461">+J472*$X$1</f>
        <v>2320</v>
      </c>
      <c r="L472" s="559">
        <f t="shared" ref="L472" si="1462">F472+150</f>
        <v>2250</v>
      </c>
      <c r="M472" s="257">
        <f t="shared" ref="M472" si="1463">+L472*$X$1</f>
        <v>2250</v>
      </c>
      <c r="N472" s="559">
        <f t="shared" ref="N472" si="1464">F472+110</f>
        <v>2210</v>
      </c>
      <c r="O472" s="257">
        <f t="shared" ref="O472" si="1465">+N472*$X$1</f>
        <v>2210</v>
      </c>
      <c r="P472" s="559">
        <f t="shared" ref="P472" si="1466">F472+100</f>
        <v>2200</v>
      </c>
      <c r="Q472" s="257">
        <f t="shared" ref="Q472" si="1467">+P472*$X$1</f>
        <v>2200</v>
      </c>
      <c r="R472" s="559">
        <f t="shared" ref="R472" si="1468">F472+80</f>
        <v>2180</v>
      </c>
      <c r="S472" s="257">
        <f t="shared" ref="S472" si="1469">+R472*$X$1</f>
        <v>2180</v>
      </c>
      <c r="T472" s="559">
        <f t="shared" ref="T472" si="1470">F472+65</f>
        <v>2165</v>
      </c>
      <c r="U472" s="257">
        <f t="shared" ref="U472" si="1471">+T472*$X$1</f>
        <v>2165</v>
      </c>
      <c r="V472" s="559">
        <f t="shared" ref="V472" si="1472">F472+56</f>
        <v>2156</v>
      </c>
      <c r="W472" s="257">
        <f t="shared" ref="W472" si="1473">+V472*$X$1</f>
        <v>2156</v>
      </c>
      <c r="X472" s="755"/>
      <c r="Y472" s="756"/>
      <c r="Z472" s="756"/>
      <c r="AA472" s="757"/>
      <c r="AB472" s="365">
        <v>11604</v>
      </c>
    </row>
    <row r="473" spans="1:35" ht="12.6" customHeight="1" x14ac:dyDescent="0.2">
      <c r="A473" s="17"/>
      <c r="B473" s="645" t="s">
        <v>484</v>
      </c>
      <c r="C473" s="679"/>
      <c r="D473" s="679"/>
      <c r="E473" s="679"/>
      <c r="F473" s="293">
        <v>2100</v>
      </c>
      <c r="G473" s="258">
        <f t="shared" si="1451"/>
        <v>2100</v>
      </c>
      <c r="H473" s="251"/>
      <c r="I473" s="306"/>
      <c r="J473" s="576">
        <f>F473+330</f>
        <v>2430</v>
      </c>
      <c r="K473" s="258">
        <f t="shared" ref="K473" si="1474">+J473*$X$1</f>
        <v>2430</v>
      </c>
      <c r="L473" s="576">
        <f>F473+270</f>
        <v>2370</v>
      </c>
      <c r="M473" s="258">
        <f>+L473*$X$1</f>
        <v>2370</v>
      </c>
      <c r="N473" s="576">
        <f>F473+220</f>
        <v>2320</v>
      </c>
      <c r="O473" s="258">
        <f>+N473*$X$1</f>
        <v>2320</v>
      </c>
      <c r="P473" s="576">
        <f>F473+190</f>
        <v>2290</v>
      </c>
      <c r="Q473" s="258">
        <f t="shared" ref="Q473" si="1475">+P473*$X$1</f>
        <v>2290</v>
      </c>
      <c r="R473" s="576">
        <f>F473+170</f>
        <v>2270</v>
      </c>
      <c r="S473" s="258">
        <f>+R473*$X$1</f>
        <v>2270</v>
      </c>
      <c r="T473" s="576">
        <f>F473+140</f>
        <v>2240</v>
      </c>
      <c r="U473" s="258">
        <f t="shared" ref="U473" si="1476">+T473*$X$1</f>
        <v>2240</v>
      </c>
      <c r="V473" s="576">
        <f>F473+130</f>
        <v>2230</v>
      </c>
      <c r="W473" s="258">
        <f>+V473*$X$1</f>
        <v>2230</v>
      </c>
      <c r="X473" s="755"/>
      <c r="Y473" s="756"/>
      <c r="Z473" s="756"/>
      <c r="AA473" s="757"/>
      <c r="AB473" s="365">
        <v>11605</v>
      </c>
    </row>
    <row r="474" spans="1:35" ht="12.6" customHeight="1" x14ac:dyDescent="0.2">
      <c r="A474" s="17"/>
      <c r="B474" s="737" t="s">
        <v>762</v>
      </c>
      <c r="C474" s="1131"/>
      <c r="D474" s="1131"/>
      <c r="E474" s="1131"/>
      <c r="F474" s="294">
        <v>950</v>
      </c>
      <c r="G474" s="257">
        <f t="shared" si="1459"/>
        <v>950</v>
      </c>
      <c r="H474" s="252"/>
      <c r="I474" s="252"/>
      <c r="J474" s="559"/>
      <c r="K474" s="257"/>
      <c r="L474" s="559"/>
      <c r="M474" s="257"/>
      <c r="N474" s="559"/>
      <c r="O474" s="257"/>
      <c r="P474" s="559"/>
      <c r="Q474" s="257"/>
      <c r="R474" s="559"/>
      <c r="S474" s="257"/>
      <c r="T474" s="93"/>
      <c r="U474" s="235"/>
      <c r="V474" s="93"/>
      <c r="W474" s="235"/>
      <c r="X474" s="755"/>
      <c r="Y474" s="756"/>
      <c r="Z474" s="756"/>
      <c r="AA474" s="757"/>
      <c r="AB474" s="368"/>
    </row>
    <row r="475" spans="1:35" ht="12.6" customHeight="1" x14ac:dyDescent="0.2">
      <c r="A475" s="17"/>
      <c r="B475" s="645" t="s">
        <v>234</v>
      </c>
      <c r="C475" s="679"/>
      <c r="D475" s="679"/>
      <c r="E475" s="679"/>
      <c r="F475" s="258">
        <v>1090</v>
      </c>
      <c r="G475" s="258">
        <f t="shared" si="1451"/>
        <v>1090</v>
      </c>
      <c r="H475" s="251"/>
      <c r="I475" s="251"/>
      <c r="J475" s="82">
        <f t="shared" ref="J475" si="1477">F475+220</f>
        <v>1310</v>
      </c>
      <c r="K475" s="258">
        <f t="shared" ref="K475" si="1478">+J475*$X$1</f>
        <v>1310</v>
      </c>
      <c r="L475" s="576">
        <f t="shared" ref="L475" si="1479">F475+150</f>
        <v>1240</v>
      </c>
      <c r="M475" s="258">
        <f t="shared" ref="M475" si="1480">+L475*$X$1</f>
        <v>1240</v>
      </c>
      <c r="N475" s="576">
        <f t="shared" ref="N475" si="1481">F475+110</f>
        <v>1200</v>
      </c>
      <c r="O475" s="258">
        <f t="shared" ref="O475" si="1482">+N475*$X$1</f>
        <v>1200</v>
      </c>
      <c r="P475" s="576">
        <f t="shared" ref="P475" si="1483">F475+100</f>
        <v>1190</v>
      </c>
      <c r="Q475" s="258">
        <f t="shared" ref="Q475" si="1484">+P475*$X$1</f>
        <v>1190</v>
      </c>
      <c r="R475" s="576">
        <f t="shared" ref="R475" si="1485">F475+80</f>
        <v>1170</v>
      </c>
      <c r="S475" s="258">
        <f t="shared" ref="S475" si="1486">+R475*$X$1</f>
        <v>1170</v>
      </c>
      <c r="T475" s="576">
        <f t="shared" ref="T475" si="1487">F475+65</f>
        <v>1155</v>
      </c>
      <c r="U475" s="258">
        <f t="shared" ref="U475" si="1488">+T475*$X$1</f>
        <v>1155</v>
      </c>
      <c r="V475" s="576">
        <f t="shared" ref="V475" si="1489">F475+56</f>
        <v>1146</v>
      </c>
      <c r="W475" s="258">
        <f t="shared" ref="W475" si="1490">+V475*$X$1</f>
        <v>1146</v>
      </c>
      <c r="X475" s="138"/>
      <c r="Y475" s="119"/>
      <c r="Z475" s="119"/>
      <c r="AA475" s="119"/>
      <c r="AB475" s="369"/>
    </row>
    <row r="476" spans="1:35" ht="12.6" customHeight="1" x14ac:dyDescent="0.2">
      <c r="A476" s="94"/>
      <c r="B476" s="776" t="s">
        <v>235</v>
      </c>
      <c r="C476" s="777"/>
      <c r="D476" s="777"/>
      <c r="E476" s="777"/>
      <c r="F476" s="469">
        <v>70</v>
      </c>
      <c r="G476" s="469">
        <f t="shared" si="1451"/>
        <v>70</v>
      </c>
      <c r="H476" s="532"/>
      <c r="I476" s="532"/>
      <c r="J476" s="532"/>
      <c r="K476" s="532"/>
      <c r="L476" s="532"/>
      <c r="M476" s="532"/>
      <c r="N476" s="532"/>
      <c r="O476" s="469"/>
      <c r="P476" s="532"/>
      <c r="Q476" s="469"/>
      <c r="R476" s="532"/>
      <c r="S476" s="469"/>
      <c r="T476" s="532"/>
      <c r="U476" s="469"/>
      <c r="V476" s="532"/>
      <c r="W476" s="469"/>
      <c r="X476" s="138"/>
      <c r="Y476" s="119"/>
      <c r="Z476" s="119"/>
      <c r="AA476" s="119"/>
      <c r="AB476" s="178">
        <v>11612</v>
      </c>
    </row>
    <row r="477" spans="1:35" ht="12.6" customHeight="1" x14ac:dyDescent="0.2">
      <c r="A477" s="17"/>
      <c r="B477" s="496"/>
      <c r="C477" s="497"/>
      <c r="D477" s="497"/>
      <c r="E477" s="497"/>
      <c r="F477" s="376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5"/>
      <c r="Y477" s="71"/>
      <c r="Z477" s="71"/>
      <c r="AA477" s="71"/>
      <c r="AB477" s="504"/>
    </row>
    <row r="478" spans="1:35" ht="12.6" customHeight="1" x14ac:dyDescent="0.2">
      <c r="A478" s="17"/>
      <c r="B478" s="496"/>
      <c r="C478" s="497"/>
      <c r="D478" s="497"/>
      <c r="E478" s="497"/>
      <c r="F478" s="376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5"/>
      <c r="Y478" s="71"/>
      <c r="Z478" s="71"/>
      <c r="AA478" s="71"/>
      <c r="AB478" s="504"/>
    </row>
    <row r="479" spans="1:35" ht="15.75" customHeight="1" x14ac:dyDescent="0.2">
      <c r="A479" s="17"/>
      <c r="B479" s="745" t="s">
        <v>11</v>
      </c>
      <c r="C479" s="702" t="s">
        <v>12</v>
      </c>
      <c r="D479" s="703"/>
      <c r="E479" s="703"/>
      <c r="F479" s="729" t="s">
        <v>13</v>
      </c>
      <c r="G479" s="729" t="s">
        <v>13</v>
      </c>
      <c r="H479" s="700" t="s">
        <v>742</v>
      </c>
      <c r="I479" s="700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1168" t="s">
        <v>14</v>
      </c>
      <c r="Y479" s="1168"/>
      <c r="Z479" s="1168"/>
      <c r="AA479" s="1168"/>
      <c r="AB479" s="1196" t="s">
        <v>15</v>
      </c>
      <c r="AE479" s="61"/>
      <c r="AF479" s="694" t="s">
        <v>3</v>
      </c>
      <c r="AG479" s="695"/>
      <c r="AH479" s="695"/>
    </row>
    <row r="480" spans="1:35" ht="12" customHeight="1" x14ac:dyDescent="0.2">
      <c r="A480" s="17"/>
      <c r="B480" s="745"/>
      <c r="C480" s="703"/>
      <c r="D480" s="703"/>
      <c r="E480" s="703"/>
      <c r="F480" s="730"/>
      <c r="G480" s="730"/>
      <c r="H480" s="421"/>
      <c r="I480" s="413" t="s">
        <v>267</v>
      </c>
      <c r="J480" s="415"/>
      <c r="K480" s="413" t="s">
        <v>17</v>
      </c>
      <c r="L480" s="416"/>
      <c r="M480" s="416" t="s">
        <v>18</v>
      </c>
      <c r="N480" s="416"/>
      <c r="O480" s="413" t="s">
        <v>19</v>
      </c>
      <c r="P480" s="416"/>
      <c r="Q480" s="416" t="s">
        <v>268</v>
      </c>
      <c r="R480" s="416"/>
      <c r="S480" s="416" t="s">
        <v>20</v>
      </c>
      <c r="T480" s="416"/>
      <c r="U480" s="416" t="s">
        <v>21</v>
      </c>
      <c r="V480" s="416"/>
      <c r="W480" s="416" t="s">
        <v>22</v>
      </c>
      <c r="X480" s="1168"/>
      <c r="Y480" s="1168"/>
      <c r="Z480" s="1168"/>
      <c r="AA480" s="1168"/>
      <c r="AB480" s="1196"/>
    </row>
    <row r="481" spans="1:29" ht="12.6" customHeight="1" x14ac:dyDescent="0.2">
      <c r="A481" s="17"/>
      <c r="B481" s="696" t="s">
        <v>980</v>
      </c>
      <c r="C481" s="636"/>
      <c r="D481" s="636"/>
      <c r="E481" s="637"/>
      <c r="F481" s="334">
        <f>3.4*X2</f>
        <v>4386</v>
      </c>
      <c r="G481" s="258">
        <f>+F481*$X$1</f>
        <v>4386</v>
      </c>
      <c r="H481" s="576">
        <f>F481+650</f>
        <v>5036</v>
      </c>
      <c r="I481" s="258">
        <f t="shared" ref="I481" si="1491">+H481*$X$1</f>
        <v>5036</v>
      </c>
      <c r="J481" s="576">
        <f>F481+230</f>
        <v>4616</v>
      </c>
      <c r="K481" s="258">
        <f t="shared" ref="K481" si="1492">+J481*$X$1</f>
        <v>4616</v>
      </c>
      <c r="L481" s="576">
        <f>F481+190</f>
        <v>4576</v>
      </c>
      <c r="M481" s="258">
        <f t="shared" ref="M481" si="1493">+L481*$X$1</f>
        <v>4576</v>
      </c>
      <c r="N481" s="576">
        <f>F481+150</f>
        <v>4536</v>
      </c>
      <c r="O481" s="258">
        <f t="shared" ref="O481" si="1494">+N481*$X$1</f>
        <v>4536</v>
      </c>
      <c r="P481" s="576">
        <f>F481+130</f>
        <v>4516</v>
      </c>
      <c r="Q481" s="258">
        <f t="shared" ref="Q481" si="1495">+P481*$X$1</f>
        <v>4516</v>
      </c>
      <c r="R481" s="576">
        <f>F481+110</f>
        <v>4496</v>
      </c>
      <c r="S481" s="258">
        <f t="shared" ref="S481" si="1496">+R481*$X$1</f>
        <v>4496</v>
      </c>
      <c r="T481" s="576">
        <f>F481+90</f>
        <v>4476</v>
      </c>
      <c r="U481" s="258">
        <f t="shared" ref="U481" si="1497">+T481*$X$1</f>
        <v>4476</v>
      </c>
      <c r="V481" s="576">
        <f>F481+70</f>
        <v>4456</v>
      </c>
      <c r="W481" s="258">
        <f t="shared" ref="W481" si="1498">+V481*$X$1</f>
        <v>4456</v>
      </c>
      <c r="X481" s="638"/>
      <c r="Y481" s="639"/>
      <c r="Z481" s="639"/>
      <c r="AA481" s="640"/>
      <c r="AB481" s="178" t="s">
        <v>982</v>
      </c>
    </row>
    <row r="482" spans="1:29" ht="12.6" customHeight="1" x14ac:dyDescent="0.2">
      <c r="A482" s="17"/>
      <c r="B482" s="659" t="s">
        <v>759</v>
      </c>
      <c r="C482" s="707"/>
      <c r="D482" s="707"/>
      <c r="E482" s="708"/>
      <c r="F482" s="333">
        <f>1.28*X2</f>
        <v>1651.2</v>
      </c>
      <c r="G482" s="257">
        <f t="shared" ref="G482" si="1499">+F482*$X$1</f>
        <v>1651.2</v>
      </c>
      <c r="H482" s="559">
        <f t="shared" ref="H482" si="1500">F482+600</f>
        <v>2251.1999999999998</v>
      </c>
      <c r="I482" s="257">
        <f t="shared" ref="I482" si="1501">+H482*$X$1</f>
        <v>2251.1999999999998</v>
      </c>
      <c r="J482" s="559">
        <f t="shared" ref="J482" si="1502">F482+200</f>
        <v>1851.2</v>
      </c>
      <c r="K482" s="257">
        <f t="shared" ref="K482" si="1503">+J482*$X$1</f>
        <v>1851.2</v>
      </c>
      <c r="L482" s="559">
        <f>F482+150</f>
        <v>1801.2</v>
      </c>
      <c r="M482" s="257">
        <f t="shared" ref="M482" si="1504">+L482*$X$1</f>
        <v>1801.2</v>
      </c>
      <c r="N482" s="559">
        <f>F482+110</f>
        <v>1761.2</v>
      </c>
      <c r="O482" s="257">
        <f>+N482*$X$1</f>
        <v>1761.2</v>
      </c>
      <c r="P482" s="559">
        <f>F482+90</f>
        <v>1741.2</v>
      </c>
      <c r="Q482" s="257">
        <f t="shared" ref="Q482" si="1505">+P482*$X$1</f>
        <v>1741.2</v>
      </c>
      <c r="R482" s="559">
        <f>F482+70</f>
        <v>1721.2</v>
      </c>
      <c r="S482" s="257">
        <f>+R482*$X$1</f>
        <v>1721.2</v>
      </c>
      <c r="T482" s="559">
        <f>F482+56</f>
        <v>1707.2</v>
      </c>
      <c r="U482" s="257">
        <f t="shared" ref="U482" si="1506">+T482*$X$1</f>
        <v>1707.2</v>
      </c>
      <c r="V482" s="559">
        <f>F482+49</f>
        <v>1700.2</v>
      </c>
      <c r="W482" s="257">
        <f t="shared" ref="W482" si="1507">+V482*$X$1</f>
        <v>1700.2</v>
      </c>
      <c r="X482" s="638"/>
      <c r="Y482" s="639"/>
      <c r="Z482" s="639"/>
      <c r="AA482" s="640"/>
      <c r="AB482" s="178" t="s">
        <v>471</v>
      </c>
    </row>
    <row r="483" spans="1:29" ht="12.6" customHeight="1" x14ac:dyDescent="0.2">
      <c r="A483" s="17"/>
      <c r="B483" s="696" t="s">
        <v>966</v>
      </c>
      <c r="C483" s="636"/>
      <c r="D483" s="636"/>
      <c r="E483" s="637"/>
      <c r="F483" s="334">
        <f>1.71*X2</f>
        <v>2205.9</v>
      </c>
      <c r="G483" s="258">
        <f>+F483*$X$1</f>
        <v>2205.9</v>
      </c>
      <c r="H483" s="576">
        <f t="shared" ref="H483" si="1508">F483+600</f>
        <v>2805.9</v>
      </c>
      <c r="I483" s="258">
        <f t="shared" ref="I483:I485" si="1509">+H483*$X$1</f>
        <v>2805.9</v>
      </c>
      <c r="J483" s="576">
        <f t="shared" ref="J483" si="1510">F483+200</f>
        <v>2405.9</v>
      </c>
      <c r="K483" s="258">
        <f t="shared" ref="K483:K485" si="1511">+J483*$X$1</f>
        <v>2405.9</v>
      </c>
      <c r="L483" s="576">
        <f>F483+150</f>
        <v>2355.9</v>
      </c>
      <c r="M483" s="258">
        <f t="shared" ref="M483:M485" si="1512">+L483*$X$1</f>
        <v>2355.9</v>
      </c>
      <c r="N483" s="576">
        <f>F483+110</f>
        <v>2315.9</v>
      </c>
      <c r="O483" s="258">
        <f>+N483*$X$1</f>
        <v>2315.9</v>
      </c>
      <c r="P483" s="576">
        <f>F483+90</f>
        <v>2295.9</v>
      </c>
      <c r="Q483" s="258">
        <f t="shared" ref="Q483:Q485" si="1513">+P483*$X$1</f>
        <v>2295.9</v>
      </c>
      <c r="R483" s="576">
        <f>F483+70</f>
        <v>2275.9</v>
      </c>
      <c r="S483" s="258">
        <f>+R483*$X$1</f>
        <v>2275.9</v>
      </c>
      <c r="T483" s="576">
        <f>F483+56</f>
        <v>2261.9</v>
      </c>
      <c r="U483" s="258">
        <f t="shared" ref="U483:U485" si="1514">+T483*$X$1</f>
        <v>2261.9</v>
      </c>
      <c r="V483" s="576">
        <f>F483+49</f>
        <v>2254.9</v>
      </c>
      <c r="W483" s="258">
        <f t="shared" ref="W483:W485" si="1515">+V483*$X$1</f>
        <v>2254.9</v>
      </c>
      <c r="X483" s="638"/>
      <c r="Y483" s="639"/>
      <c r="Z483" s="639"/>
      <c r="AA483" s="640"/>
      <c r="AB483" s="178" t="s">
        <v>965</v>
      </c>
    </row>
    <row r="484" spans="1:29" ht="12.6" customHeight="1" x14ac:dyDescent="0.2">
      <c r="A484" s="17"/>
      <c r="B484" s="696" t="s">
        <v>981</v>
      </c>
      <c r="C484" s="636"/>
      <c r="D484" s="636"/>
      <c r="E484" s="637"/>
      <c r="F484" s="333">
        <f>3.4*X2</f>
        <v>4386</v>
      </c>
      <c r="G484" s="257">
        <f>+F484*$X$1</f>
        <v>4386</v>
      </c>
      <c r="H484" s="559">
        <f>F484+650</f>
        <v>5036</v>
      </c>
      <c r="I484" s="257">
        <f t="shared" ref="I484" si="1516">+H484*$X$1</f>
        <v>5036</v>
      </c>
      <c r="J484" s="559">
        <f>F484+230</f>
        <v>4616</v>
      </c>
      <c r="K484" s="257">
        <f t="shared" ref="K484" si="1517">+J484*$X$1</f>
        <v>4616</v>
      </c>
      <c r="L484" s="559">
        <f>F484+190</f>
        <v>4576</v>
      </c>
      <c r="M484" s="257">
        <f t="shared" ref="M484" si="1518">+L484*$X$1</f>
        <v>4576</v>
      </c>
      <c r="N484" s="559">
        <f>F484+150</f>
        <v>4536</v>
      </c>
      <c r="O484" s="257">
        <f t="shared" ref="O484" si="1519">+N484*$X$1</f>
        <v>4536</v>
      </c>
      <c r="P484" s="559">
        <f>F484+130</f>
        <v>4516</v>
      </c>
      <c r="Q484" s="257">
        <f t="shared" ref="Q484" si="1520">+P484*$X$1</f>
        <v>4516</v>
      </c>
      <c r="R484" s="559">
        <f>F484+110</f>
        <v>4496</v>
      </c>
      <c r="S484" s="257">
        <f t="shared" ref="S484" si="1521">+R484*$X$1</f>
        <v>4496</v>
      </c>
      <c r="T484" s="559">
        <f>F484+90</f>
        <v>4476</v>
      </c>
      <c r="U484" s="257">
        <f t="shared" ref="U484" si="1522">+T484*$X$1</f>
        <v>4476</v>
      </c>
      <c r="V484" s="559">
        <f>F484+70</f>
        <v>4456</v>
      </c>
      <c r="W484" s="257">
        <f t="shared" ref="W484" si="1523">+V484*$X$1</f>
        <v>4456</v>
      </c>
      <c r="X484" s="638"/>
      <c r="Y484" s="639"/>
      <c r="Z484" s="639"/>
      <c r="AA484" s="640"/>
      <c r="AB484" s="178" t="s">
        <v>983</v>
      </c>
    </row>
    <row r="485" spans="1:29" ht="12.6" customHeight="1" x14ac:dyDescent="0.2">
      <c r="A485" s="17"/>
      <c r="B485" s="696" t="s">
        <v>968</v>
      </c>
      <c r="C485" s="636"/>
      <c r="D485" s="636"/>
      <c r="E485" s="637"/>
      <c r="F485" s="334">
        <f>4.14*X2</f>
        <v>5340.5999999999995</v>
      </c>
      <c r="G485" s="258">
        <f t="shared" ref="G485" si="1524">+F485*$X$1</f>
        <v>5340.5999999999995</v>
      </c>
      <c r="H485" s="576">
        <f>F485+650</f>
        <v>5990.5999999999995</v>
      </c>
      <c r="I485" s="258">
        <f t="shared" si="1509"/>
        <v>5990.5999999999995</v>
      </c>
      <c r="J485" s="576">
        <f>F485+230</f>
        <v>5570.5999999999995</v>
      </c>
      <c r="K485" s="258">
        <f t="shared" si="1511"/>
        <v>5570.5999999999995</v>
      </c>
      <c r="L485" s="576">
        <f>F485+190</f>
        <v>5530.5999999999995</v>
      </c>
      <c r="M485" s="258">
        <f t="shared" si="1512"/>
        <v>5530.5999999999995</v>
      </c>
      <c r="N485" s="576">
        <f>F485+150</f>
        <v>5490.5999999999995</v>
      </c>
      <c r="O485" s="258">
        <f t="shared" ref="O485" si="1525">+N485*$X$1</f>
        <v>5490.5999999999995</v>
      </c>
      <c r="P485" s="576">
        <f>F485+130</f>
        <v>5470.5999999999995</v>
      </c>
      <c r="Q485" s="258">
        <f t="shared" si="1513"/>
        <v>5470.5999999999995</v>
      </c>
      <c r="R485" s="576">
        <f>F485+110</f>
        <v>5450.5999999999995</v>
      </c>
      <c r="S485" s="258">
        <f t="shared" ref="S485" si="1526">+R485*$X$1</f>
        <v>5450.5999999999995</v>
      </c>
      <c r="T485" s="576">
        <f>F485+90</f>
        <v>5430.5999999999995</v>
      </c>
      <c r="U485" s="258">
        <f t="shared" si="1514"/>
        <v>5430.5999999999995</v>
      </c>
      <c r="V485" s="576">
        <f>F485+70</f>
        <v>5410.5999999999995</v>
      </c>
      <c r="W485" s="258">
        <f t="shared" si="1515"/>
        <v>5410.5999999999995</v>
      </c>
      <c r="X485" s="638"/>
      <c r="Y485" s="639"/>
      <c r="Z485" s="639"/>
      <c r="AA485" s="640"/>
      <c r="AB485" s="178" t="s">
        <v>967</v>
      </c>
    </row>
    <row r="486" spans="1:29" ht="12.6" customHeight="1" x14ac:dyDescent="0.2">
      <c r="A486" s="94"/>
      <c r="B486" s="710" t="s">
        <v>976</v>
      </c>
      <c r="C486" s="794"/>
      <c r="D486" s="794"/>
      <c r="E486" s="794"/>
      <c r="F486" s="333">
        <f>4.76*X2</f>
        <v>6140.4</v>
      </c>
      <c r="G486" s="257">
        <f>+F486*$X$1</f>
        <v>6140.4</v>
      </c>
      <c r="H486" s="559">
        <f>F486+650</f>
        <v>6790.4</v>
      </c>
      <c r="I486" s="257">
        <f t="shared" ref="I486" si="1527">+H486*$X$1</f>
        <v>6790.4</v>
      </c>
      <c r="J486" s="559">
        <f>F486+230</f>
        <v>6370.4</v>
      </c>
      <c r="K486" s="257">
        <f t="shared" ref="K486" si="1528">+J486*$X$1</f>
        <v>6370.4</v>
      </c>
      <c r="L486" s="559">
        <f>F486+190</f>
        <v>6330.4</v>
      </c>
      <c r="M486" s="257">
        <f t="shared" ref="M486" si="1529">+L486*$X$1</f>
        <v>6330.4</v>
      </c>
      <c r="N486" s="559">
        <f>F486+150</f>
        <v>6290.4</v>
      </c>
      <c r="O486" s="257">
        <f t="shared" ref="O486" si="1530">+N486*$X$1</f>
        <v>6290.4</v>
      </c>
      <c r="P486" s="559">
        <f>F486+130</f>
        <v>6270.4</v>
      </c>
      <c r="Q486" s="257">
        <f t="shared" ref="Q486" si="1531">+P486*$X$1</f>
        <v>6270.4</v>
      </c>
      <c r="R486" s="559">
        <f>F486+110</f>
        <v>6250.4</v>
      </c>
      <c r="S486" s="257">
        <f t="shared" ref="S486" si="1532">+R486*$X$1</f>
        <v>6250.4</v>
      </c>
      <c r="T486" s="559">
        <f>F486+90</f>
        <v>6230.4</v>
      </c>
      <c r="U486" s="257">
        <f t="shared" ref="U486" si="1533">+T486*$X$1</f>
        <v>6230.4</v>
      </c>
      <c r="V486" s="559">
        <f>F486+70</f>
        <v>6210.4</v>
      </c>
      <c r="W486" s="257">
        <f t="shared" ref="W486" si="1534">+V486*$X$1</f>
        <v>6210.4</v>
      </c>
      <c r="X486" s="638"/>
      <c r="Y486" s="638"/>
      <c r="Z486" s="638"/>
      <c r="AA486" s="638"/>
      <c r="AB486" s="353" t="s">
        <v>977</v>
      </c>
      <c r="AC486" s="62"/>
    </row>
    <row r="487" spans="1:29" ht="12.6" customHeight="1" x14ac:dyDescent="0.2">
      <c r="A487" s="94"/>
      <c r="B487" s="662" t="s">
        <v>600</v>
      </c>
      <c r="C487" s="663"/>
      <c r="D487" s="663"/>
      <c r="E487" s="663"/>
      <c r="F487" s="334">
        <f>4.14*X2</f>
        <v>5340.5999999999995</v>
      </c>
      <c r="G487" s="258">
        <f>+F487*$X$1</f>
        <v>5340.5999999999995</v>
      </c>
      <c r="H487" s="576">
        <f>F487+650</f>
        <v>5990.5999999999995</v>
      </c>
      <c r="I487" s="258">
        <f>+H487*$X$1</f>
        <v>5990.5999999999995</v>
      </c>
      <c r="J487" s="576">
        <f>F487+230</f>
        <v>5570.5999999999995</v>
      </c>
      <c r="K487" s="258">
        <f>+J487*$X$1</f>
        <v>5570.5999999999995</v>
      </c>
      <c r="L487" s="576">
        <f>F487+190</f>
        <v>5530.5999999999995</v>
      </c>
      <c r="M487" s="258">
        <f>+L487*$X$1</f>
        <v>5530.5999999999995</v>
      </c>
      <c r="N487" s="576">
        <f>F487+150</f>
        <v>5490.5999999999995</v>
      </c>
      <c r="O487" s="258">
        <f t="shared" ref="O487" si="1535">+N487*$X$1</f>
        <v>5490.5999999999995</v>
      </c>
      <c r="P487" s="576">
        <f>F487+130</f>
        <v>5470.5999999999995</v>
      </c>
      <c r="Q487" s="258">
        <f>+P487*$X$1</f>
        <v>5470.5999999999995</v>
      </c>
      <c r="R487" s="576">
        <f>F487+110</f>
        <v>5450.5999999999995</v>
      </c>
      <c r="S487" s="258">
        <f t="shared" ref="S487" si="1536">+R487*$X$1</f>
        <v>5450.5999999999995</v>
      </c>
      <c r="T487" s="576">
        <f>F487+90</f>
        <v>5430.5999999999995</v>
      </c>
      <c r="U487" s="258">
        <f>+T487*$X$1</f>
        <v>5430.5999999999995</v>
      </c>
      <c r="V487" s="576">
        <f>F487+70</f>
        <v>5410.5999999999995</v>
      </c>
      <c r="W487" s="258">
        <f>+V487*$X$1</f>
        <v>5410.5999999999995</v>
      </c>
      <c r="X487" s="638"/>
      <c r="Y487" s="638"/>
      <c r="Z487" s="638"/>
      <c r="AA487" s="638"/>
      <c r="AB487" s="353" t="s">
        <v>599</v>
      </c>
      <c r="AC487" s="62"/>
    </row>
    <row r="488" spans="1:29" ht="12.6" customHeight="1" x14ac:dyDescent="0.2">
      <c r="A488" s="17"/>
      <c r="B488" s="696" t="s">
        <v>985</v>
      </c>
      <c r="C488" s="636"/>
      <c r="D488" s="636"/>
      <c r="E488" s="637"/>
      <c r="F488" s="333">
        <f>3.72*X2</f>
        <v>4798.8</v>
      </c>
      <c r="G488" s="257">
        <f t="shared" ref="G488" si="1537">+F488*$X$1</f>
        <v>4798.8</v>
      </c>
      <c r="H488" s="559">
        <f t="shared" ref="H488" si="1538">F488+600</f>
        <v>5398.8</v>
      </c>
      <c r="I488" s="257">
        <f t="shared" ref="I488" si="1539">+H488*$X$1</f>
        <v>5398.8</v>
      </c>
      <c r="J488" s="559">
        <f t="shared" ref="J488" si="1540">F488+200</f>
        <v>4998.8</v>
      </c>
      <c r="K488" s="257">
        <f t="shared" ref="K488" si="1541">+J488*$X$1</f>
        <v>4998.8</v>
      </c>
      <c r="L488" s="559">
        <f>F488+150</f>
        <v>4948.8</v>
      </c>
      <c r="M488" s="257">
        <f t="shared" ref="M488" si="1542">+L488*$X$1</f>
        <v>4948.8</v>
      </c>
      <c r="N488" s="559">
        <f>F488+110</f>
        <v>4908.8</v>
      </c>
      <c r="O488" s="257">
        <f>+N488*$X$1</f>
        <v>4908.8</v>
      </c>
      <c r="P488" s="559">
        <f>F488+90</f>
        <v>4888.8</v>
      </c>
      <c r="Q488" s="257">
        <f t="shared" ref="Q488" si="1543">+P488*$X$1</f>
        <v>4888.8</v>
      </c>
      <c r="R488" s="559">
        <f>F488+70</f>
        <v>4868.8</v>
      </c>
      <c r="S488" s="257">
        <f>+R488*$X$1</f>
        <v>4868.8</v>
      </c>
      <c r="T488" s="559">
        <f>F488+56</f>
        <v>4854.8</v>
      </c>
      <c r="U488" s="257">
        <f t="shared" ref="U488" si="1544">+T488*$X$1</f>
        <v>4854.8</v>
      </c>
      <c r="V488" s="559">
        <f>F488+49</f>
        <v>4847.8</v>
      </c>
      <c r="W488" s="257">
        <f t="shared" ref="W488" si="1545">+V488*$X$1</f>
        <v>4847.8</v>
      </c>
      <c r="X488" s="638"/>
      <c r="Y488" s="639"/>
      <c r="Z488" s="639"/>
      <c r="AA488" s="640"/>
      <c r="AB488" s="178" t="s">
        <v>969</v>
      </c>
    </row>
    <row r="489" spans="1:29" ht="12.6" customHeight="1" x14ac:dyDescent="0.2">
      <c r="A489" s="17"/>
      <c r="B489" s="696" t="s">
        <v>984</v>
      </c>
      <c r="C489" s="636"/>
      <c r="D489" s="636"/>
      <c r="E489" s="637"/>
      <c r="F489" s="334">
        <f>5.08*X2</f>
        <v>6553.2</v>
      </c>
      <c r="G489" s="258">
        <f t="shared" ref="G489" si="1546">+F489*$X$1</f>
        <v>6553.2</v>
      </c>
      <c r="H489" s="576">
        <f t="shared" ref="H489" si="1547">F489+600</f>
        <v>7153.2</v>
      </c>
      <c r="I489" s="258">
        <f t="shared" ref="I489" si="1548">+H489*$X$1</f>
        <v>7153.2</v>
      </c>
      <c r="J489" s="576">
        <f t="shared" ref="J489" si="1549">F489+200</f>
        <v>6753.2</v>
      </c>
      <c r="K489" s="258">
        <f t="shared" ref="K489" si="1550">+J489*$X$1</f>
        <v>6753.2</v>
      </c>
      <c r="L489" s="576">
        <f>F489+150</f>
        <v>6703.2</v>
      </c>
      <c r="M489" s="258">
        <f t="shared" ref="M489" si="1551">+L489*$X$1</f>
        <v>6703.2</v>
      </c>
      <c r="N489" s="576">
        <f>F489+110</f>
        <v>6663.2</v>
      </c>
      <c r="O489" s="258">
        <f>+N489*$X$1</f>
        <v>6663.2</v>
      </c>
      <c r="P489" s="576">
        <f>F489+90</f>
        <v>6643.2</v>
      </c>
      <c r="Q489" s="258">
        <f t="shared" ref="Q489" si="1552">+P489*$X$1</f>
        <v>6643.2</v>
      </c>
      <c r="R489" s="576">
        <f>F489+70</f>
        <v>6623.2</v>
      </c>
      <c r="S489" s="258">
        <f>+R489*$X$1</f>
        <v>6623.2</v>
      </c>
      <c r="T489" s="576">
        <f>F489+56</f>
        <v>6609.2</v>
      </c>
      <c r="U489" s="258">
        <f t="shared" ref="U489" si="1553">+T489*$X$1</f>
        <v>6609.2</v>
      </c>
      <c r="V489" s="576">
        <f>F489+49</f>
        <v>6602.2</v>
      </c>
      <c r="W489" s="258">
        <f t="shared" ref="W489" si="1554">+V489*$X$1</f>
        <v>6602.2</v>
      </c>
      <c r="X489" s="638"/>
      <c r="Y489" s="639"/>
      <c r="Z489" s="639"/>
      <c r="AA489" s="640"/>
      <c r="AB489" s="178" t="s">
        <v>986</v>
      </c>
    </row>
    <row r="490" spans="1:29" ht="12.6" customHeight="1" x14ac:dyDescent="0.2">
      <c r="A490" s="17"/>
      <c r="B490" s="659" t="s">
        <v>979</v>
      </c>
      <c r="C490" s="707"/>
      <c r="D490" s="707"/>
      <c r="E490" s="708"/>
      <c r="F490" s="333">
        <f>4.1*X2</f>
        <v>5288.9999999999991</v>
      </c>
      <c r="G490" s="257">
        <f t="shared" ref="G490" si="1555">+F490*$X$1</f>
        <v>5288.9999999999991</v>
      </c>
      <c r="H490" s="559"/>
      <c r="I490" s="257"/>
      <c r="J490" s="559">
        <f t="shared" ref="J490" si="1556">F490+200</f>
        <v>5488.9999999999991</v>
      </c>
      <c r="K490" s="257">
        <f t="shared" ref="K490" si="1557">+J490*$X$1</f>
        <v>5488.9999999999991</v>
      </c>
      <c r="L490" s="559">
        <f>F490+150</f>
        <v>5438.9999999999991</v>
      </c>
      <c r="M490" s="257">
        <f t="shared" ref="M490" si="1558">+L490*$X$1</f>
        <v>5438.9999999999991</v>
      </c>
      <c r="N490" s="559">
        <f>F490+110</f>
        <v>5398.9999999999991</v>
      </c>
      <c r="O490" s="257">
        <f>+N490*$X$1</f>
        <v>5398.9999999999991</v>
      </c>
      <c r="P490" s="559">
        <f>F490+90</f>
        <v>5378.9999999999991</v>
      </c>
      <c r="Q490" s="257">
        <f t="shared" ref="Q490" si="1559">+P490*$X$1</f>
        <v>5378.9999999999991</v>
      </c>
      <c r="R490" s="559">
        <f>F490+70</f>
        <v>5358.9999999999991</v>
      </c>
      <c r="S490" s="257">
        <f>+R490*$X$1</f>
        <v>5358.9999999999991</v>
      </c>
      <c r="T490" s="559">
        <f>F490+56</f>
        <v>5344.9999999999991</v>
      </c>
      <c r="U490" s="257">
        <f t="shared" ref="U490" si="1560">+T490*$X$1</f>
        <v>5344.9999999999991</v>
      </c>
      <c r="V490" s="559">
        <f>F490+49</f>
        <v>5337.9999999999991</v>
      </c>
      <c r="W490" s="257">
        <f t="shared" ref="W490" si="1561">+V490*$X$1</f>
        <v>5337.9999999999991</v>
      </c>
      <c r="X490" s="638"/>
      <c r="Y490" s="639"/>
      <c r="Z490" s="639"/>
      <c r="AA490" s="640"/>
      <c r="AB490" s="178" t="s">
        <v>978</v>
      </c>
    </row>
    <row r="491" spans="1:29" ht="12.6" customHeight="1" x14ac:dyDescent="0.2">
      <c r="A491" s="94"/>
      <c r="B491" s="662" t="s">
        <v>819</v>
      </c>
      <c r="C491" s="663"/>
      <c r="D491" s="663"/>
      <c r="E491" s="663"/>
      <c r="F491" s="334">
        <f>3.7*X2</f>
        <v>4773</v>
      </c>
      <c r="G491" s="258">
        <f t="shared" ref="G491" si="1562">+F491*$X$1</f>
        <v>4773</v>
      </c>
      <c r="H491" s="576"/>
      <c r="I491" s="258"/>
      <c r="J491" s="576">
        <f>F491+300</f>
        <v>5073</v>
      </c>
      <c r="K491" s="258">
        <f t="shared" ref="K491" si="1563">+J491*$X$1</f>
        <v>5073</v>
      </c>
      <c r="L491" s="576">
        <f>F491+240</f>
        <v>5013</v>
      </c>
      <c r="M491" s="258">
        <f t="shared" ref="M491" si="1564">+L491*$X$1</f>
        <v>5013</v>
      </c>
      <c r="N491" s="576">
        <f>F491+200</f>
        <v>4973</v>
      </c>
      <c r="O491" s="258">
        <f t="shared" ref="O491" si="1565">+N491*$X$1</f>
        <v>4973</v>
      </c>
      <c r="P491" s="576">
        <f>F491+160</f>
        <v>4933</v>
      </c>
      <c r="Q491" s="258">
        <f t="shared" ref="Q491" si="1566">+P491*$X$1</f>
        <v>4933</v>
      </c>
      <c r="R491" s="576">
        <f>F491+140</f>
        <v>4913</v>
      </c>
      <c r="S491" s="258">
        <f t="shared" ref="S491" si="1567">+R491*$X$1</f>
        <v>4913</v>
      </c>
      <c r="T491" s="576">
        <f>F491+110</f>
        <v>4883</v>
      </c>
      <c r="U491" s="258">
        <f t="shared" ref="U491" si="1568">+T491*$X$1</f>
        <v>4883</v>
      </c>
      <c r="V491" s="576">
        <f>F491+90</f>
        <v>4863</v>
      </c>
      <c r="W491" s="258">
        <f t="shared" ref="W491" si="1569">+V491*$X$1</f>
        <v>4863</v>
      </c>
      <c r="X491" s="638"/>
      <c r="Y491" s="638"/>
      <c r="Z491" s="638"/>
      <c r="AA491" s="638"/>
      <c r="AB491" s="353" t="s">
        <v>820</v>
      </c>
      <c r="AC491" s="62"/>
    </row>
    <row r="492" spans="1:29" ht="12.6" customHeight="1" x14ac:dyDescent="0.2">
      <c r="A492" s="94"/>
      <c r="B492" s="784" t="s">
        <v>896</v>
      </c>
      <c r="C492" s="785"/>
      <c r="D492" s="785"/>
      <c r="E492" s="785"/>
      <c r="F492" s="333">
        <v>1190</v>
      </c>
      <c r="G492" s="257">
        <f t="shared" ref="G492" si="1570">+F492*$X$1</f>
        <v>1190</v>
      </c>
      <c r="H492" s="559"/>
      <c r="I492" s="257"/>
      <c r="J492" s="559"/>
      <c r="K492" s="257"/>
      <c r="L492" s="559">
        <f>F492+190</f>
        <v>1380</v>
      </c>
      <c r="M492" s="257">
        <f t="shared" ref="M492:M493" si="1571">+L492*$X$1</f>
        <v>1380</v>
      </c>
      <c r="N492" s="559">
        <f>F492+150</f>
        <v>1340</v>
      </c>
      <c r="O492" s="257">
        <f t="shared" ref="O492:O493" si="1572">+N492*$X$1</f>
        <v>1340</v>
      </c>
      <c r="P492" s="559">
        <f>F492+130</f>
        <v>1320</v>
      </c>
      <c r="Q492" s="257">
        <f t="shared" ref="Q492:Q493" si="1573">+P492*$X$1</f>
        <v>1320</v>
      </c>
      <c r="R492" s="559">
        <f>F492+110</f>
        <v>1300</v>
      </c>
      <c r="S492" s="257">
        <f t="shared" ref="S492:S493" si="1574">+R492*$X$1</f>
        <v>1300</v>
      </c>
      <c r="T492" s="559">
        <f>F492+90</f>
        <v>1280</v>
      </c>
      <c r="U492" s="257">
        <f t="shared" ref="U492:U493" si="1575">+T492*$X$1</f>
        <v>1280</v>
      </c>
      <c r="V492" s="559">
        <f>F492+70</f>
        <v>1260</v>
      </c>
      <c r="W492" s="257">
        <f t="shared" ref="W492:W493" si="1576">+V492*$X$1</f>
        <v>1260</v>
      </c>
      <c r="X492" s="638"/>
      <c r="Y492" s="638"/>
      <c r="Z492" s="638"/>
      <c r="AA492" s="638"/>
      <c r="AB492" s="353" t="s">
        <v>907</v>
      </c>
      <c r="AC492" s="62"/>
    </row>
    <row r="493" spans="1:29" ht="12.6" customHeight="1" x14ac:dyDescent="0.2">
      <c r="A493" s="94"/>
      <c r="B493" s="784" t="s">
        <v>897</v>
      </c>
      <c r="C493" s="785"/>
      <c r="D493" s="785"/>
      <c r="E493" s="785"/>
      <c r="F493" s="334">
        <v>1420</v>
      </c>
      <c r="G493" s="258">
        <f t="shared" ref="G493" si="1577">+F493*$X$1</f>
        <v>1420</v>
      </c>
      <c r="H493" s="576"/>
      <c r="I493" s="258"/>
      <c r="J493" s="576"/>
      <c r="K493" s="258"/>
      <c r="L493" s="576">
        <f>F493+190</f>
        <v>1610</v>
      </c>
      <c r="M493" s="258">
        <f t="shared" si="1571"/>
        <v>1610</v>
      </c>
      <c r="N493" s="576">
        <f>F493+150</f>
        <v>1570</v>
      </c>
      <c r="O493" s="258">
        <f t="shared" si="1572"/>
        <v>1570</v>
      </c>
      <c r="P493" s="576">
        <f>F493+130</f>
        <v>1550</v>
      </c>
      <c r="Q493" s="258">
        <f t="shared" si="1573"/>
        <v>1550</v>
      </c>
      <c r="R493" s="576">
        <f>F493+110</f>
        <v>1530</v>
      </c>
      <c r="S493" s="258">
        <f t="shared" si="1574"/>
        <v>1530</v>
      </c>
      <c r="T493" s="576">
        <f>F493+90</f>
        <v>1510</v>
      </c>
      <c r="U493" s="258">
        <f t="shared" si="1575"/>
        <v>1510</v>
      </c>
      <c r="V493" s="576">
        <f>F493+70</f>
        <v>1490</v>
      </c>
      <c r="W493" s="258">
        <f t="shared" si="1576"/>
        <v>1490</v>
      </c>
      <c r="X493" s="638"/>
      <c r="Y493" s="638"/>
      <c r="Z493" s="638"/>
      <c r="AA493" s="638"/>
      <c r="AB493" s="353" t="s">
        <v>908</v>
      </c>
      <c r="AC493" s="62"/>
    </row>
    <row r="494" spans="1:29" ht="12.6" customHeight="1" x14ac:dyDescent="0.2">
      <c r="A494" s="94"/>
      <c r="B494" s="784" t="s">
        <v>898</v>
      </c>
      <c r="C494" s="785"/>
      <c r="D494" s="785"/>
      <c r="E494" s="785"/>
      <c r="F494" s="333">
        <v>1420</v>
      </c>
      <c r="G494" s="257">
        <f t="shared" ref="G494" si="1578">+F494*$X$1</f>
        <v>1420</v>
      </c>
      <c r="H494" s="559"/>
      <c r="I494" s="257"/>
      <c r="J494" s="559"/>
      <c r="K494" s="257"/>
      <c r="L494" s="559">
        <f>F494+190</f>
        <v>1610</v>
      </c>
      <c r="M494" s="257">
        <f>+L494*$X$1</f>
        <v>1610</v>
      </c>
      <c r="N494" s="559">
        <f>F494+150</f>
        <v>1570</v>
      </c>
      <c r="O494" s="257">
        <f>+N494*$X$1</f>
        <v>1570</v>
      </c>
      <c r="P494" s="559">
        <f>F494+130</f>
        <v>1550</v>
      </c>
      <c r="Q494" s="257">
        <f>+P494*$X$1</f>
        <v>1550</v>
      </c>
      <c r="R494" s="559">
        <f>F494+110</f>
        <v>1530</v>
      </c>
      <c r="S494" s="257">
        <f>+R494*$X$1</f>
        <v>1530</v>
      </c>
      <c r="T494" s="559">
        <f>F494+90</f>
        <v>1510</v>
      </c>
      <c r="U494" s="257">
        <f>+T494*$X$1</f>
        <v>1510</v>
      </c>
      <c r="V494" s="559">
        <f>F494+70</f>
        <v>1490</v>
      </c>
      <c r="W494" s="257">
        <f>+V494*$X$1</f>
        <v>1490</v>
      </c>
      <c r="X494" s="638"/>
      <c r="Y494" s="638"/>
      <c r="Z494" s="638"/>
      <c r="AA494" s="638"/>
      <c r="AB494" s="353" t="s">
        <v>909</v>
      </c>
      <c r="AC494" s="62"/>
    </row>
    <row r="495" spans="1:29" ht="12.6" customHeight="1" x14ac:dyDescent="0.2">
      <c r="A495" s="94"/>
      <c r="B495" s="784" t="s">
        <v>899</v>
      </c>
      <c r="C495" s="785"/>
      <c r="D495" s="785"/>
      <c r="E495" s="785"/>
      <c r="F495" s="334">
        <v>1420</v>
      </c>
      <c r="G495" s="258">
        <f t="shared" ref="G495" si="1579">+F495*$X$1</f>
        <v>1420</v>
      </c>
      <c r="H495" s="406"/>
      <c r="I495" s="258"/>
      <c r="J495" s="406"/>
      <c r="K495" s="258"/>
      <c r="L495" s="406">
        <f>F495+190</f>
        <v>1610</v>
      </c>
      <c r="M495" s="258">
        <f>+L495*$X$1</f>
        <v>1610</v>
      </c>
      <c r="N495" s="406">
        <f>F495+150</f>
        <v>1570</v>
      </c>
      <c r="O495" s="258">
        <f>+N495*$X$1</f>
        <v>1570</v>
      </c>
      <c r="P495" s="406">
        <f>F495+130</f>
        <v>1550</v>
      </c>
      <c r="Q495" s="258">
        <f>+P495*$X$1</f>
        <v>1550</v>
      </c>
      <c r="R495" s="406">
        <f>F495+110</f>
        <v>1530</v>
      </c>
      <c r="S495" s="258">
        <f>+R495*$X$1</f>
        <v>1530</v>
      </c>
      <c r="T495" s="406">
        <f>F495+90</f>
        <v>1510</v>
      </c>
      <c r="U495" s="258">
        <f>+T495*$X$1</f>
        <v>1510</v>
      </c>
      <c r="V495" s="406">
        <f>F495+70</f>
        <v>1490</v>
      </c>
      <c r="W495" s="258">
        <f>+V495*$X$1</f>
        <v>1490</v>
      </c>
      <c r="X495" s="638"/>
      <c r="Y495" s="638"/>
      <c r="Z495" s="638"/>
      <c r="AA495" s="638"/>
      <c r="AB495" s="353"/>
      <c r="AC495" s="62"/>
    </row>
    <row r="496" spans="1:29" ht="12.6" customHeight="1" x14ac:dyDescent="0.2">
      <c r="A496" s="94"/>
      <c r="B496" s="784" t="s">
        <v>835</v>
      </c>
      <c r="C496" s="785"/>
      <c r="D496" s="785"/>
      <c r="E496" s="785"/>
      <c r="F496" s="333">
        <v>23</v>
      </c>
      <c r="G496" s="257">
        <f t="shared" ref="G496" si="1580">+F496*$X$1</f>
        <v>23</v>
      </c>
      <c r="H496" s="559"/>
      <c r="I496" s="257"/>
      <c r="J496" s="559"/>
      <c r="K496" s="257"/>
      <c r="L496" s="559"/>
      <c r="M496" s="257"/>
      <c r="N496" s="559"/>
      <c r="O496" s="257"/>
      <c r="P496" s="559"/>
      <c r="Q496" s="257"/>
      <c r="R496" s="559"/>
      <c r="S496" s="257"/>
      <c r="T496" s="559"/>
      <c r="U496" s="257"/>
      <c r="V496" s="559"/>
      <c r="W496" s="257"/>
      <c r="X496" s="638"/>
      <c r="Y496" s="638"/>
      <c r="Z496" s="638"/>
      <c r="AA496" s="638"/>
      <c r="AB496" s="353" t="s">
        <v>836</v>
      </c>
      <c r="AC496" s="62"/>
    </row>
    <row r="497" spans="1:33" ht="12.6" customHeight="1" x14ac:dyDescent="0.2">
      <c r="A497" s="94"/>
      <c r="B497" s="784" t="s">
        <v>834</v>
      </c>
      <c r="C497" s="785"/>
      <c r="D497" s="785"/>
      <c r="E497" s="785"/>
      <c r="F497" s="334">
        <v>50</v>
      </c>
      <c r="G497" s="258">
        <f t="shared" ref="G497" si="1581">+F497*$X$1</f>
        <v>50</v>
      </c>
      <c r="H497" s="575"/>
      <c r="I497" s="258"/>
      <c r="J497" s="575"/>
      <c r="K497" s="258"/>
      <c r="L497" s="575"/>
      <c r="M497" s="258"/>
      <c r="N497" s="575"/>
      <c r="O497" s="258"/>
      <c r="P497" s="575"/>
      <c r="Q497" s="258"/>
      <c r="R497" s="575"/>
      <c r="S497" s="258"/>
      <c r="T497" s="575"/>
      <c r="U497" s="258"/>
      <c r="V497" s="575"/>
      <c r="W497" s="258"/>
      <c r="X497" s="638"/>
      <c r="Y497" s="638"/>
      <c r="Z497" s="638"/>
      <c r="AA497" s="638"/>
      <c r="AB497" s="353" t="s">
        <v>837</v>
      </c>
      <c r="AC497" s="62"/>
    </row>
    <row r="498" spans="1:33" ht="12.6" customHeight="1" x14ac:dyDescent="0.2">
      <c r="A498" s="17"/>
      <c r="B498" s="659" t="s">
        <v>313</v>
      </c>
      <c r="C498" s="707"/>
      <c r="D498" s="707"/>
      <c r="E498" s="708"/>
      <c r="F498" s="257">
        <v>1225</v>
      </c>
      <c r="G498" s="257">
        <f t="shared" ref="G498:G500" si="1582">+F498*$X$1</f>
        <v>1225</v>
      </c>
      <c r="H498" s="240"/>
      <c r="I498" s="746" t="s">
        <v>458</v>
      </c>
      <c r="J498" s="747"/>
      <c r="K498" s="747"/>
      <c r="L498" s="747"/>
      <c r="M498" s="748"/>
      <c r="N498" s="559">
        <v>1750</v>
      </c>
      <c r="O498" s="257">
        <f>+N498*$X$1</f>
        <v>1750</v>
      </c>
      <c r="P498" s="91">
        <v>1745</v>
      </c>
      <c r="Q498" s="257">
        <f t="shared" ref="Q498" si="1583">+P498*$X$1</f>
        <v>1745</v>
      </c>
      <c r="R498" s="559">
        <v>1571</v>
      </c>
      <c r="S498" s="257">
        <f>+R498*$X$1</f>
        <v>1571</v>
      </c>
      <c r="T498" s="559">
        <v>1462</v>
      </c>
      <c r="U498" s="257">
        <f>+T498*$X$1</f>
        <v>1462</v>
      </c>
      <c r="V498" s="559">
        <v>1419</v>
      </c>
      <c r="W498" s="257">
        <f t="shared" ref="W498" si="1584">+V498*$X$1</f>
        <v>1419</v>
      </c>
      <c r="X498" s="122"/>
      <c r="Y498" s="122"/>
      <c r="Z498" s="122"/>
      <c r="AA498" s="125"/>
      <c r="AB498" s="27"/>
    </row>
    <row r="499" spans="1:33" ht="12.6" customHeight="1" x14ac:dyDescent="0.2">
      <c r="A499" s="17"/>
      <c r="B499" s="656" t="s">
        <v>314</v>
      </c>
      <c r="C499" s="669"/>
      <c r="D499" s="669"/>
      <c r="E499" s="670"/>
      <c r="F499" s="258">
        <v>1225</v>
      </c>
      <c r="G499" s="258">
        <f t="shared" si="1582"/>
        <v>1225</v>
      </c>
      <c r="H499" s="238"/>
      <c r="I499" s="749"/>
      <c r="J499" s="750"/>
      <c r="K499" s="750"/>
      <c r="L499" s="750"/>
      <c r="M499" s="751"/>
      <c r="N499" s="575">
        <v>1750</v>
      </c>
      <c r="O499" s="258">
        <f>+N499*$X$1</f>
        <v>1750</v>
      </c>
      <c r="P499" s="95">
        <v>1745</v>
      </c>
      <c r="Q499" s="258">
        <f t="shared" ref="Q499:Q500" si="1585">+P499*$X$1</f>
        <v>1745</v>
      </c>
      <c r="R499" s="575">
        <v>1571</v>
      </c>
      <c r="S499" s="258">
        <f>+R499*$X$1</f>
        <v>1571</v>
      </c>
      <c r="T499" s="575">
        <v>1462</v>
      </c>
      <c r="U499" s="258">
        <f>+T499*$X$1</f>
        <v>1462</v>
      </c>
      <c r="V499" s="575">
        <v>1419</v>
      </c>
      <c r="W499" s="258">
        <f t="shared" ref="W499:W500" si="1586">+V499*$X$1</f>
        <v>1419</v>
      </c>
      <c r="X499" s="122"/>
      <c r="Y499" s="122"/>
      <c r="Z499" s="122"/>
      <c r="AA499" s="125"/>
      <c r="AB499" s="178"/>
    </row>
    <row r="500" spans="1:33" ht="12.6" customHeight="1" x14ac:dyDescent="0.2">
      <c r="A500" s="17"/>
      <c r="B500" s="659" t="s">
        <v>315</v>
      </c>
      <c r="C500" s="707"/>
      <c r="D500" s="707"/>
      <c r="E500" s="708"/>
      <c r="F500" s="257">
        <v>1225</v>
      </c>
      <c r="G500" s="257">
        <f t="shared" si="1582"/>
        <v>1225</v>
      </c>
      <c r="H500" s="240"/>
      <c r="I500" s="752"/>
      <c r="J500" s="753"/>
      <c r="K500" s="753"/>
      <c r="L500" s="753"/>
      <c r="M500" s="754"/>
      <c r="N500" s="559">
        <v>1750</v>
      </c>
      <c r="O500" s="257">
        <f>+N500*$X$1</f>
        <v>1750</v>
      </c>
      <c r="P500" s="91">
        <v>1745</v>
      </c>
      <c r="Q500" s="257">
        <f t="shared" si="1585"/>
        <v>1745</v>
      </c>
      <c r="R500" s="559">
        <v>1571</v>
      </c>
      <c r="S500" s="257">
        <f>+R500*$X$1</f>
        <v>1571</v>
      </c>
      <c r="T500" s="559">
        <v>1462</v>
      </c>
      <c r="U500" s="257">
        <f>+T500*$X$1</f>
        <v>1462</v>
      </c>
      <c r="V500" s="559">
        <v>1419</v>
      </c>
      <c r="W500" s="257">
        <f t="shared" si="1586"/>
        <v>1419</v>
      </c>
      <c r="X500" s="122"/>
      <c r="Y500" s="122"/>
      <c r="Z500" s="122"/>
      <c r="AA500" s="125"/>
      <c r="AB500" s="178"/>
      <c r="AG500" s="212"/>
    </row>
    <row r="501" spans="1:33" ht="12.6" customHeight="1" x14ac:dyDescent="0.2">
      <c r="A501" s="17"/>
      <c r="B501" s="645" t="s">
        <v>236</v>
      </c>
      <c r="C501" s="646"/>
      <c r="D501" s="646"/>
      <c r="E501" s="646"/>
      <c r="F501" s="334">
        <f>3.11*X2</f>
        <v>4011.8999999999996</v>
      </c>
      <c r="G501" s="258">
        <f>+F501*$X$1</f>
        <v>4011.8999999999996</v>
      </c>
      <c r="H501" s="251"/>
      <c r="I501" s="251"/>
      <c r="J501" s="82">
        <f t="shared" ref="J501" si="1587">F501+220</f>
        <v>4231.8999999999996</v>
      </c>
      <c r="K501" s="258">
        <f t="shared" ref="K501" si="1588">+J501*$X$1</f>
        <v>4231.8999999999996</v>
      </c>
      <c r="L501" s="575">
        <f t="shared" ref="L501" si="1589">F501+150</f>
        <v>4161.8999999999996</v>
      </c>
      <c r="M501" s="258">
        <f t="shared" ref="M501" si="1590">+L501*$X$1</f>
        <v>4161.8999999999996</v>
      </c>
      <c r="N501" s="575">
        <f t="shared" ref="N501" si="1591">F501+110</f>
        <v>4121.8999999999996</v>
      </c>
      <c r="O501" s="258">
        <f t="shared" ref="O501" si="1592">+N501*$X$1</f>
        <v>4121.8999999999996</v>
      </c>
      <c r="P501" s="575">
        <f t="shared" ref="P501" si="1593">F501+100</f>
        <v>4111.8999999999996</v>
      </c>
      <c r="Q501" s="258">
        <f>+P501*$X$1</f>
        <v>4111.8999999999996</v>
      </c>
      <c r="R501" s="575">
        <f t="shared" ref="R501" si="1594">F501+80</f>
        <v>4091.8999999999996</v>
      </c>
      <c r="S501" s="258">
        <f t="shared" ref="S501" si="1595">+R501*$X$1</f>
        <v>4091.8999999999996</v>
      </c>
      <c r="T501" s="575">
        <f t="shared" ref="T501" si="1596">F501+65</f>
        <v>4076.8999999999996</v>
      </c>
      <c r="U501" s="258">
        <f t="shared" ref="U501" si="1597">+T501*$X$1</f>
        <v>4076.8999999999996</v>
      </c>
      <c r="V501" s="575">
        <f t="shared" ref="V501" si="1598">F501+56</f>
        <v>4067.8999999999996</v>
      </c>
      <c r="W501" s="258">
        <f>+V501*$X$1</f>
        <v>4067.8999999999996</v>
      </c>
      <c r="X501" s="680"/>
      <c r="Y501" s="680"/>
      <c r="Z501" s="680"/>
      <c r="AA501" s="681"/>
      <c r="AB501" s="178" t="s">
        <v>237</v>
      </c>
    </row>
    <row r="502" spans="1:33" ht="12.6" customHeight="1" x14ac:dyDescent="0.2">
      <c r="A502" s="17"/>
      <c r="B502" s="654" t="s">
        <v>915</v>
      </c>
      <c r="C502" s="655"/>
      <c r="D502" s="655"/>
      <c r="E502" s="655"/>
      <c r="F502" s="333">
        <f>0.79*X2</f>
        <v>1019.1</v>
      </c>
      <c r="G502" s="257">
        <f>+F502*$X$1</f>
        <v>1019.1</v>
      </c>
      <c r="H502" s="252"/>
      <c r="I502" s="252"/>
      <c r="J502" s="68">
        <f t="shared" ref="J502" si="1599">F502+220</f>
        <v>1239.0999999999999</v>
      </c>
      <c r="K502" s="257">
        <f t="shared" ref="K502" si="1600">+J502*$X$1</f>
        <v>1239.0999999999999</v>
      </c>
      <c r="L502" s="559">
        <f t="shared" ref="L502" si="1601">F502+150</f>
        <v>1169.0999999999999</v>
      </c>
      <c r="M502" s="257">
        <f t="shared" ref="M502" si="1602">+L502*$X$1</f>
        <v>1169.0999999999999</v>
      </c>
      <c r="N502" s="559">
        <f t="shared" ref="N502" si="1603">F502+110</f>
        <v>1129.0999999999999</v>
      </c>
      <c r="O502" s="257">
        <f t="shared" ref="O502" si="1604">+N502*$X$1</f>
        <v>1129.0999999999999</v>
      </c>
      <c r="P502" s="559">
        <f t="shared" ref="P502" si="1605">F502+100</f>
        <v>1119.0999999999999</v>
      </c>
      <c r="Q502" s="257">
        <f t="shared" ref="Q502" si="1606">+P502*$X$1</f>
        <v>1119.0999999999999</v>
      </c>
      <c r="R502" s="559">
        <f t="shared" ref="R502" si="1607">F502+80</f>
        <v>1099.0999999999999</v>
      </c>
      <c r="S502" s="257">
        <f t="shared" ref="S502" si="1608">+R502*$X$1</f>
        <v>1099.0999999999999</v>
      </c>
      <c r="T502" s="559">
        <f t="shared" ref="T502" si="1609">F502+65</f>
        <v>1084.0999999999999</v>
      </c>
      <c r="U502" s="257">
        <f t="shared" ref="U502" si="1610">+T502*$X$1</f>
        <v>1084.0999999999999</v>
      </c>
      <c r="V502" s="559">
        <f t="shared" ref="V502" si="1611">F502+56</f>
        <v>1075.0999999999999</v>
      </c>
      <c r="W502" s="257">
        <f t="shared" ref="W502" si="1612">+V502*$X$1</f>
        <v>1075.0999999999999</v>
      </c>
      <c r="X502" s="680"/>
      <c r="Y502" s="680"/>
      <c r="Z502" s="680"/>
      <c r="AA502" s="681"/>
      <c r="AB502" s="178" t="s">
        <v>916</v>
      </c>
    </row>
    <row r="503" spans="1:33" ht="12.6" customHeight="1" x14ac:dyDescent="0.2">
      <c r="A503" s="17"/>
      <c r="B503" s="645" t="s">
        <v>361</v>
      </c>
      <c r="C503" s="646"/>
      <c r="D503" s="646"/>
      <c r="E503" s="646"/>
      <c r="F503" s="334">
        <f>0.97*X2</f>
        <v>1251.3</v>
      </c>
      <c r="G503" s="258">
        <f t="shared" ref="G503" si="1613">+F503*$X$1</f>
        <v>1251.3</v>
      </c>
      <c r="H503" s="251"/>
      <c r="I503" s="251"/>
      <c r="J503" s="82">
        <f t="shared" ref="J503" si="1614">F503+220</f>
        <v>1471.3</v>
      </c>
      <c r="K503" s="258">
        <f t="shared" ref="K503" si="1615">+J503*$X$1</f>
        <v>1471.3</v>
      </c>
      <c r="L503" s="406">
        <f t="shared" ref="L503" si="1616">F503+150</f>
        <v>1401.3</v>
      </c>
      <c r="M503" s="258">
        <f t="shared" ref="M503" si="1617">+L503*$X$1</f>
        <v>1401.3</v>
      </c>
      <c r="N503" s="406">
        <f t="shared" ref="N503" si="1618">F503+110</f>
        <v>1361.3</v>
      </c>
      <c r="O503" s="258">
        <f t="shared" ref="O503" si="1619">+N503*$X$1</f>
        <v>1361.3</v>
      </c>
      <c r="P503" s="406">
        <f t="shared" ref="P503" si="1620">F503+100</f>
        <v>1351.3</v>
      </c>
      <c r="Q503" s="258">
        <f t="shared" ref="Q503" si="1621">+P503*$X$1</f>
        <v>1351.3</v>
      </c>
      <c r="R503" s="406">
        <f t="shared" ref="R503" si="1622">F503+80</f>
        <v>1331.3</v>
      </c>
      <c r="S503" s="258">
        <f t="shared" ref="S503" si="1623">+R503*$X$1</f>
        <v>1331.3</v>
      </c>
      <c r="T503" s="406">
        <f t="shared" ref="T503" si="1624">F503+65</f>
        <v>1316.3</v>
      </c>
      <c r="U503" s="258">
        <f t="shared" ref="U503" si="1625">+T503*$X$1</f>
        <v>1316.3</v>
      </c>
      <c r="V503" s="406">
        <f t="shared" ref="V503" si="1626">F503+56</f>
        <v>1307.3</v>
      </c>
      <c r="W503" s="258">
        <f t="shared" ref="W503" si="1627">+V503*$X$1</f>
        <v>1307.3</v>
      </c>
      <c r="X503" s="680"/>
      <c r="Y503" s="680"/>
      <c r="Z503" s="680"/>
      <c r="AA503" s="681"/>
      <c r="AB503" s="178" t="s">
        <v>390</v>
      </c>
    </row>
    <row r="504" spans="1:33" s="62" customFormat="1" ht="12.6" customHeight="1" x14ac:dyDescent="0.25">
      <c r="A504" s="88"/>
      <c r="B504" s="643" t="s">
        <v>311</v>
      </c>
      <c r="C504" s="775"/>
      <c r="D504" s="775"/>
      <c r="E504" s="775"/>
      <c r="F504" s="257">
        <v>635</v>
      </c>
      <c r="G504" s="257">
        <f t="shared" ref="G504:G509" si="1628">+F504*$X$1</f>
        <v>635</v>
      </c>
      <c r="H504" s="250"/>
      <c r="I504" s="746" t="s">
        <v>454</v>
      </c>
      <c r="J504" s="763"/>
      <c r="K504" s="763"/>
      <c r="L504" s="764"/>
      <c r="M504" s="765"/>
      <c r="N504" s="466">
        <v>1243</v>
      </c>
      <c r="O504" s="257">
        <f t="shared" ref="O504:O509" si="1629">+N504*$X$1</f>
        <v>1243</v>
      </c>
      <c r="P504" s="264">
        <v>1238</v>
      </c>
      <c r="Q504" s="257">
        <f t="shared" ref="Q504:Q509" si="1630">+P504*$X$1</f>
        <v>1238</v>
      </c>
      <c r="R504" s="466">
        <v>1143</v>
      </c>
      <c r="S504" s="257">
        <f t="shared" ref="S504:S509" si="1631">+R504*$X$1</f>
        <v>1143</v>
      </c>
      <c r="T504" s="466">
        <v>1039</v>
      </c>
      <c r="U504" s="257">
        <f t="shared" ref="U504:U509" si="1632">+T504*$X$1</f>
        <v>1039</v>
      </c>
      <c r="V504" s="466">
        <v>989</v>
      </c>
      <c r="W504" s="257">
        <f t="shared" ref="W504:W509" si="1633">+V504*$X$1</f>
        <v>989</v>
      </c>
      <c r="X504" s="136"/>
      <c r="Y504" s="136"/>
      <c r="Z504" s="136"/>
      <c r="AA504" s="137"/>
      <c r="AB504" s="370" t="s">
        <v>238</v>
      </c>
    </row>
    <row r="505" spans="1:33" s="62" customFormat="1" ht="12.6" customHeight="1" x14ac:dyDescent="0.25">
      <c r="A505" s="88"/>
      <c r="B505" s="645" t="s">
        <v>312</v>
      </c>
      <c r="C505" s="646"/>
      <c r="D505" s="646"/>
      <c r="E505" s="646"/>
      <c r="F505" s="258">
        <v>635</v>
      </c>
      <c r="G505" s="258">
        <f t="shared" si="1628"/>
        <v>635</v>
      </c>
      <c r="H505" s="254"/>
      <c r="I505" s="766"/>
      <c r="J505" s="767"/>
      <c r="K505" s="767"/>
      <c r="L505" s="768"/>
      <c r="M505" s="769"/>
      <c r="N505" s="406">
        <v>1562</v>
      </c>
      <c r="O505" s="258">
        <f t="shared" si="1629"/>
        <v>1562</v>
      </c>
      <c r="P505" s="263">
        <v>1557</v>
      </c>
      <c r="Q505" s="258">
        <f t="shared" si="1630"/>
        <v>1557</v>
      </c>
      <c r="R505" s="406">
        <v>1471</v>
      </c>
      <c r="S505" s="258">
        <f t="shared" si="1631"/>
        <v>1471</v>
      </c>
      <c r="T505" s="406">
        <v>1416</v>
      </c>
      <c r="U505" s="258">
        <f t="shared" si="1632"/>
        <v>1416</v>
      </c>
      <c r="V505" s="406">
        <v>1347</v>
      </c>
      <c r="W505" s="258">
        <f t="shared" si="1633"/>
        <v>1347</v>
      </c>
      <c r="X505" s="158"/>
      <c r="Y505" s="122"/>
      <c r="Z505" s="122"/>
      <c r="AA505" s="125"/>
      <c r="AB505" s="371"/>
    </row>
    <row r="506" spans="1:33" s="62" customFormat="1" ht="12.6" customHeight="1" x14ac:dyDescent="0.25">
      <c r="A506" s="88"/>
      <c r="B506" s="654" t="s">
        <v>324</v>
      </c>
      <c r="C506" s="655"/>
      <c r="D506" s="655"/>
      <c r="E506" s="655"/>
      <c r="F506" s="257">
        <v>635</v>
      </c>
      <c r="G506" s="257">
        <f t="shared" si="1628"/>
        <v>635</v>
      </c>
      <c r="H506" s="249"/>
      <c r="I506" s="766"/>
      <c r="J506" s="767"/>
      <c r="K506" s="767"/>
      <c r="L506" s="768"/>
      <c r="M506" s="769"/>
      <c r="N506" s="466">
        <v>1243</v>
      </c>
      <c r="O506" s="257">
        <f t="shared" ref="O506:O507" si="1634">+N506*$X$1</f>
        <v>1243</v>
      </c>
      <c r="P506" s="264">
        <v>1238</v>
      </c>
      <c r="Q506" s="257">
        <f t="shared" ref="Q506:Q507" si="1635">+P506*$X$1</f>
        <v>1238</v>
      </c>
      <c r="R506" s="466">
        <v>1143</v>
      </c>
      <c r="S506" s="257">
        <f t="shared" ref="S506:S507" si="1636">+R506*$X$1</f>
        <v>1143</v>
      </c>
      <c r="T506" s="466">
        <v>1039</v>
      </c>
      <c r="U506" s="257">
        <f t="shared" ref="U506:U507" si="1637">+T506*$X$1</f>
        <v>1039</v>
      </c>
      <c r="V506" s="466">
        <v>989</v>
      </c>
      <c r="W506" s="257">
        <f t="shared" ref="W506:W507" si="1638">+V506*$X$1</f>
        <v>989</v>
      </c>
      <c r="X506" s="122"/>
      <c r="Y506" s="122"/>
      <c r="Z506" s="122"/>
      <c r="AA506" s="125"/>
      <c r="AB506" s="370" t="s">
        <v>239</v>
      </c>
    </row>
    <row r="507" spans="1:33" s="62" customFormat="1" ht="12" customHeight="1" x14ac:dyDescent="0.25">
      <c r="A507" s="88"/>
      <c r="B507" s="645" t="s">
        <v>325</v>
      </c>
      <c r="C507" s="646"/>
      <c r="D507" s="646"/>
      <c r="E507" s="646"/>
      <c r="F507" s="258">
        <v>635</v>
      </c>
      <c r="G507" s="258">
        <f t="shared" si="1628"/>
        <v>635</v>
      </c>
      <c r="H507" s="254"/>
      <c r="I507" s="766"/>
      <c r="J507" s="767"/>
      <c r="K507" s="767"/>
      <c r="L507" s="768"/>
      <c r="M507" s="769"/>
      <c r="N507" s="406">
        <v>1562</v>
      </c>
      <c r="O507" s="258">
        <f t="shared" si="1634"/>
        <v>1562</v>
      </c>
      <c r="P507" s="263">
        <v>1557</v>
      </c>
      <c r="Q507" s="258">
        <f t="shared" si="1635"/>
        <v>1557</v>
      </c>
      <c r="R507" s="406">
        <v>1471</v>
      </c>
      <c r="S507" s="258">
        <f t="shared" si="1636"/>
        <v>1471</v>
      </c>
      <c r="T507" s="406">
        <v>1416</v>
      </c>
      <c r="U507" s="258">
        <f t="shared" si="1637"/>
        <v>1416</v>
      </c>
      <c r="V507" s="406">
        <v>1347</v>
      </c>
      <c r="W507" s="258">
        <f t="shared" si="1638"/>
        <v>1347</v>
      </c>
      <c r="X507" s="136"/>
      <c r="Y507" s="136"/>
      <c r="Z507" s="122"/>
      <c r="AA507" s="125"/>
      <c r="AB507" s="371"/>
    </row>
    <row r="508" spans="1:33" s="62" customFormat="1" ht="12.6" customHeight="1" x14ac:dyDescent="0.25">
      <c r="A508" s="88"/>
      <c r="B508" s="654" t="s">
        <v>240</v>
      </c>
      <c r="C508" s="655"/>
      <c r="D508" s="655"/>
      <c r="E508" s="655"/>
      <c r="F508" s="257">
        <v>635</v>
      </c>
      <c r="G508" s="257">
        <f t="shared" si="1628"/>
        <v>635</v>
      </c>
      <c r="H508" s="249"/>
      <c r="I508" s="770"/>
      <c r="J508" s="771"/>
      <c r="K508" s="771"/>
      <c r="L508" s="768"/>
      <c r="M508" s="769"/>
      <c r="N508" s="466">
        <v>1407</v>
      </c>
      <c r="O508" s="257">
        <f t="shared" ref="O508" si="1639">+N508*$X$1</f>
        <v>1407</v>
      </c>
      <c r="P508" s="264">
        <v>1403</v>
      </c>
      <c r="Q508" s="257">
        <f t="shared" ref="Q508" si="1640">+P508*$X$1</f>
        <v>1403</v>
      </c>
      <c r="R508" s="466">
        <v>1254</v>
      </c>
      <c r="S508" s="257">
        <f t="shared" ref="S508" si="1641">+R508*$X$1</f>
        <v>1254</v>
      </c>
      <c r="T508" s="466">
        <v>1159</v>
      </c>
      <c r="U508" s="257">
        <f t="shared" ref="U508" si="1642">+T508*$X$1</f>
        <v>1159</v>
      </c>
      <c r="V508" s="466">
        <v>1095</v>
      </c>
      <c r="W508" s="257">
        <f t="shared" ref="W508" si="1643">+V508*$X$1</f>
        <v>1095</v>
      </c>
      <c r="X508" s="122"/>
      <c r="Y508" s="122"/>
      <c r="Z508" s="122"/>
      <c r="AA508" s="125"/>
      <c r="AB508" s="370" t="s">
        <v>241</v>
      </c>
      <c r="AE508" s="220"/>
    </row>
    <row r="509" spans="1:33" s="62" customFormat="1" ht="12.6" customHeight="1" x14ac:dyDescent="0.25">
      <c r="A509" s="88"/>
      <c r="B509" s="645" t="s">
        <v>242</v>
      </c>
      <c r="C509" s="646"/>
      <c r="D509" s="646"/>
      <c r="E509" s="646"/>
      <c r="F509" s="258">
        <v>635</v>
      </c>
      <c r="G509" s="258">
        <f t="shared" si="1628"/>
        <v>635</v>
      </c>
      <c r="H509" s="254"/>
      <c r="I509" s="772"/>
      <c r="J509" s="773"/>
      <c r="K509" s="773"/>
      <c r="L509" s="773"/>
      <c r="M509" s="774"/>
      <c r="N509" s="406">
        <v>1710</v>
      </c>
      <c r="O509" s="258">
        <f t="shared" si="1629"/>
        <v>1710</v>
      </c>
      <c r="P509" s="263">
        <v>1706</v>
      </c>
      <c r="Q509" s="258">
        <f t="shared" si="1630"/>
        <v>1706</v>
      </c>
      <c r="R509" s="406">
        <v>1616</v>
      </c>
      <c r="S509" s="258">
        <f t="shared" si="1631"/>
        <v>1616</v>
      </c>
      <c r="T509" s="406">
        <v>1568</v>
      </c>
      <c r="U509" s="258">
        <f t="shared" si="1632"/>
        <v>1568</v>
      </c>
      <c r="V509" s="406">
        <v>1501</v>
      </c>
      <c r="W509" s="258">
        <f t="shared" si="1633"/>
        <v>1501</v>
      </c>
      <c r="X509" s="122"/>
      <c r="Y509" s="122"/>
      <c r="Z509" s="122"/>
      <c r="AA509" s="125"/>
      <c r="AB509" s="370" t="s">
        <v>243</v>
      </c>
    </row>
    <row r="510" spans="1:33" ht="12.6" customHeight="1" x14ac:dyDescent="0.2">
      <c r="A510" s="17"/>
      <c r="B510" s="659" t="s">
        <v>244</v>
      </c>
      <c r="C510" s="707"/>
      <c r="D510" s="707"/>
      <c r="E510" s="708"/>
      <c r="F510" s="333">
        <f>2.98*X2</f>
        <v>3844.2</v>
      </c>
      <c r="G510" s="257">
        <f t="shared" ref="G510" si="1644">+F510*$X$1</f>
        <v>3844.2</v>
      </c>
      <c r="H510" s="534">
        <f t="shared" ref="H510" si="1645">F510+600</f>
        <v>4444.2</v>
      </c>
      <c r="I510" s="257">
        <f t="shared" ref="I510" si="1646">+H510*$X$1</f>
        <v>4444.2</v>
      </c>
      <c r="J510" s="534">
        <f t="shared" ref="J510" si="1647">F510+200</f>
        <v>4044.2</v>
      </c>
      <c r="K510" s="257">
        <f t="shared" ref="K510" si="1648">+J510*$X$1</f>
        <v>4044.2</v>
      </c>
      <c r="L510" s="534">
        <f>F510+150</f>
        <v>3994.2</v>
      </c>
      <c r="M510" s="257">
        <f t="shared" ref="M510" si="1649">+L510*$X$1</f>
        <v>3994.2</v>
      </c>
      <c r="N510" s="534">
        <f>F510+110</f>
        <v>3954.2</v>
      </c>
      <c r="O510" s="257">
        <f>+N510*$X$1</f>
        <v>3954.2</v>
      </c>
      <c r="P510" s="534">
        <f>F510+90</f>
        <v>3934.2</v>
      </c>
      <c r="Q510" s="257">
        <f t="shared" ref="Q510" si="1650">+P510*$X$1</f>
        <v>3934.2</v>
      </c>
      <c r="R510" s="534">
        <f>F510+70</f>
        <v>3914.2</v>
      </c>
      <c r="S510" s="257">
        <f>+R510*$X$1</f>
        <v>3914.2</v>
      </c>
      <c r="T510" s="534">
        <f>F510+56</f>
        <v>3900.2</v>
      </c>
      <c r="U510" s="257">
        <f t="shared" ref="U510" si="1651">+T510*$X$1</f>
        <v>3900.2</v>
      </c>
      <c r="V510" s="534">
        <f>F510+49</f>
        <v>3893.2</v>
      </c>
      <c r="W510" s="257">
        <f t="shared" ref="W510" si="1652">+V510*$X$1</f>
        <v>3893.2</v>
      </c>
      <c r="X510" s="638"/>
      <c r="Y510" s="638"/>
      <c r="Z510" s="638"/>
      <c r="AA510" s="640"/>
      <c r="AB510" s="178" t="s">
        <v>245</v>
      </c>
    </row>
    <row r="511" spans="1:33" ht="12.6" customHeight="1" x14ac:dyDescent="0.2">
      <c r="A511" s="17"/>
      <c r="B511" s="656" t="s">
        <v>717</v>
      </c>
      <c r="C511" s="669"/>
      <c r="D511" s="669"/>
      <c r="E511" s="670"/>
      <c r="F511" s="293">
        <v>3240</v>
      </c>
      <c r="G511" s="258">
        <f t="shared" ref="G511" si="1653">+F511*$X$1</f>
        <v>3240</v>
      </c>
      <c r="H511" s="576"/>
      <c r="I511" s="258"/>
      <c r="J511" s="576">
        <f t="shared" ref="J511" si="1654">F511+200</f>
        <v>3440</v>
      </c>
      <c r="K511" s="258">
        <f t="shared" ref="K511" si="1655">+J511*$X$1</f>
        <v>3440</v>
      </c>
      <c r="L511" s="576">
        <f>F511+150</f>
        <v>3390</v>
      </c>
      <c r="M511" s="258">
        <f t="shared" ref="M511" si="1656">+L511*$X$1</f>
        <v>3390</v>
      </c>
      <c r="N511" s="576">
        <f>F511+110</f>
        <v>3350</v>
      </c>
      <c r="O511" s="258">
        <f t="shared" ref="O511:O520" si="1657">+N511*$X$1</f>
        <v>3350</v>
      </c>
      <c r="P511" s="576">
        <f>F511+90</f>
        <v>3330</v>
      </c>
      <c r="Q511" s="258">
        <f t="shared" ref="Q511" si="1658">+P511*$X$1</f>
        <v>3330</v>
      </c>
      <c r="R511" s="576">
        <f>F511+70</f>
        <v>3310</v>
      </c>
      <c r="S511" s="258">
        <f t="shared" ref="S511:S520" si="1659">+R511*$X$1</f>
        <v>3310</v>
      </c>
      <c r="T511" s="576">
        <f>F511+56</f>
        <v>3296</v>
      </c>
      <c r="U511" s="258">
        <f t="shared" ref="U511" si="1660">+T511*$X$1</f>
        <v>3296</v>
      </c>
      <c r="V511" s="576">
        <f>F511+49</f>
        <v>3289</v>
      </c>
      <c r="W511" s="258">
        <f t="shared" ref="W511" si="1661">+V511*$X$1</f>
        <v>3289</v>
      </c>
      <c r="X511" s="638"/>
      <c r="Y511" s="638"/>
      <c r="Z511" s="638"/>
      <c r="AA511" s="640"/>
      <c r="AB511" s="178" t="s">
        <v>716</v>
      </c>
    </row>
    <row r="512" spans="1:33" ht="12.6" customHeight="1" x14ac:dyDescent="0.2">
      <c r="A512" s="17"/>
      <c r="B512" s="659" t="s">
        <v>350</v>
      </c>
      <c r="C512" s="707"/>
      <c r="D512" s="707"/>
      <c r="E512" s="708"/>
      <c r="F512" s="333">
        <f>1.04*X2</f>
        <v>1341.6000000000001</v>
      </c>
      <c r="G512" s="257">
        <f t="shared" ref="G512:G513" si="1662">+F512*$X$1</f>
        <v>1341.6000000000001</v>
      </c>
      <c r="H512" s="559">
        <f t="shared" ref="H512:H513" si="1663">F512+600</f>
        <v>1941.6000000000001</v>
      </c>
      <c r="I512" s="257">
        <f t="shared" ref="I512:I513" si="1664">+H512*$X$1</f>
        <v>1941.6000000000001</v>
      </c>
      <c r="J512" s="559">
        <f t="shared" ref="J512:J513" si="1665">F512+200</f>
        <v>1541.6000000000001</v>
      </c>
      <c r="K512" s="257">
        <f t="shared" ref="K512:K513" si="1666">+J512*$X$1</f>
        <v>1541.6000000000001</v>
      </c>
      <c r="L512" s="559">
        <f>F512+150</f>
        <v>1491.6000000000001</v>
      </c>
      <c r="M512" s="257">
        <f t="shared" ref="M512:M513" si="1667">+L512*$X$1</f>
        <v>1491.6000000000001</v>
      </c>
      <c r="N512" s="559">
        <f>F512+110</f>
        <v>1451.6000000000001</v>
      </c>
      <c r="O512" s="257">
        <f t="shared" si="1657"/>
        <v>1451.6000000000001</v>
      </c>
      <c r="P512" s="559">
        <f>F512+90</f>
        <v>1431.6000000000001</v>
      </c>
      <c r="Q512" s="257">
        <f t="shared" ref="Q512:Q513" si="1668">+P512*$X$1</f>
        <v>1431.6000000000001</v>
      </c>
      <c r="R512" s="559">
        <f>F512+70</f>
        <v>1411.6000000000001</v>
      </c>
      <c r="S512" s="257">
        <f t="shared" si="1659"/>
        <v>1411.6000000000001</v>
      </c>
      <c r="T512" s="559">
        <f>F512+56</f>
        <v>1397.6000000000001</v>
      </c>
      <c r="U512" s="257">
        <f t="shared" ref="U512:U513" si="1669">+T512*$X$1</f>
        <v>1397.6000000000001</v>
      </c>
      <c r="V512" s="559">
        <f>F512+49</f>
        <v>1390.6000000000001</v>
      </c>
      <c r="W512" s="257">
        <f t="shared" ref="W512:W513" si="1670">+V512*$X$1</f>
        <v>1390.6000000000001</v>
      </c>
      <c r="X512" s="638"/>
      <c r="Y512" s="639"/>
      <c r="Z512" s="639"/>
      <c r="AA512" s="640"/>
      <c r="AB512" s="178" t="s">
        <v>384</v>
      </c>
    </row>
    <row r="513" spans="1:28" ht="12.6" customHeight="1" x14ac:dyDescent="0.2">
      <c r="A513" s="17"/>
      <c r="B513" s="656" t="s">
        <v>818</v>
      </c>
      <c r="C513" s="669"/>
      <c r="D513" s="669"/>
      <c r="E513" s="670"/>
      <c r="F513" s="334">
        <f>3.6*X2</f>
        <v>4644</v>
      </c>
      <c r="G513" s="258">
        <f t="shared" si="1662"/>
        <v>4644</v>
      </c>
      <c r="H513" s="576">
        <f t="shared" si="1663"/>
        <v>5244</v>
      </c>
      <c r="I513" s="258">
        <f t="shared" si="1664"/>
        <v>5244</v>
      </c>
      <c r="J513" s="576">
        <f t="shared" si="1665"/>
        <v>4844</v>
      </c>
      <c r="K513" s="258">
        <f t="shared" si="1666"/>
        <v>4844</v>
      </c>
      <c r="L513" s="576">
        <f>F513+150</f>
        <v>4794</v>
      </c>
      <c r="M513" s="258">
        <f t="shared" si="1667"/>
        <v>4794</v>
      </c>
      <c r="N513" s="576">
        <f>F513+110</f>
        <v>4754</v>
      </c>
      <c r="O513" s="258">
        <f t="shared" si="1657"/>
        <v>4754</v>
      </c>
      <c r="P513" s="576">
        <f>F513+90</f>
        <v>4734</v>
      </c>
      <c r="Q513" s="258">
        <f t="shared" si="1668"/>
        <v>4734</v>
      </c>
      <c r="R513" s="576">
        <f>F513+70</f>
        <v>4714</v>
      </c>
      <c r="S513" s="258">
        <f t="shared" si="1659"/>
        <v>4714</v>
      </c>
      <c r="T513" s="576">
        <f>F513+56</f>
        <v>4700</v>
      </c>
      <c r="U513" s="258">
        <f t="shared" si="1669"/>
        <v>4700</v>
      </c>
      <c r="V513" s="576">
        <f>F513+49</f>
        <v>4693</v>
      </c>
      <c r="W513" s="258">
        <f t="shared" si="1670"/>
        <v>4693</v>
      </c>
      <c r="X513" s="638"/>
      <c r="Y513" s="638"/>
      <c r="Z513" s="638"/>
      <c r="AA513" s="640"/>
      <c r="AB513" s="178" t="s">
        <v>744</v>
      </c>
    </row>
    <row r="514" spans="1:28" ht="12.6" customHeight="1" x14ac:dyDescent="0.2">
      <c r="A514" s="17"/>
      <c r="B514" s="643" t="s">
        <v>246</v>
      </c>
      <c r="C514" s="714"/>
      <c r="D514" s="714"/>
      <c r="E514" s="714"/>
      <c r="F514" s="273">
        <v>3820</v>
      </c>
      <c r="G514" s="257">
        <f t="shared" ref="G514:G517" si="1671">+F514*$X$1</f>
        <v>3820</v>
      </c>
      <c r="H514" s="252"/>
      <c r="I514" s="305"/>
      <c r="J514" s="559">
        <f>F514+66</f>
        <v>3886</v>
      </c>
      <c r="K514" s="257"/>
      <c r="L514" s="559">
        <f t="shared" ref="L514:L520" si="1672">F514+400</f>
        <v>4220</v>
      </c>
      <c r="M514" s="257">
        <f t="shared" ref="M514:M535" si="1673">+L514*$X$1</f>
        <v>4220</v>
      </c>
      <c r="N514" s="559">
        <f t="shared" ref="N514:N520" si="1674">F514+350</f>
        <v>4170</v>
      </c>
      <c r="O514" s="257">
        <f t="shared" si="1657"/>
        <v>4170</v>
      </c>
      <c r="P514" s="559">
        <f t="shared" ref="P514:P520" si="1675">F514+310</f>
        <v>4130</v>
      </c>
      <c r="Q514" s="257">
        <f t="shared" ref="Q514:Q520" si="1676">+P514*$X$1</f>
        <v>4130</v>
      </c>
      <c r="R514" s="559">
        <f t="shared" ref="R514:R520" si="1677">F514+280</f>
        <v>4100</v>
      </c>
      <c r="S514" s="257">
        <f t="shared" si="1659"/>
        <v>4100</v>
      </c>
      <c r="T514" s="559">
        <f t="shared" ref="T514:T520" si="1678">F514+240</f>
        <v>4060</v>
      </c>
      <c r="U514" s="257">
        <f t="shared" ref="U514:U520" si="1679">+T514*$X$1</f>
        <v>4060</v>
      </c>
      <c r="V514" s="559">
        <f t="shared" ref="V514:V520" si="1680">F514+220</f>
        <v>4040</v>
      </c>
      <c r="W514" s="257">
        <f t="shared" ref="W514:W520" si="1681">+V514*$X$1</f>
        <v>4040</v>
      </c>
      <c r="X514" s="133"/>
      <c r="Y514" s="119"/>
      <c r="Z514" s="119"/>
      <c r="AA514" s="119"/>
      <c r="AB514" s="178" t="s">
        <v>247</v>
      </c>
    </row>
    <row r="515" spans="1:28" ht="12.6" customHeight="1" x14ac:dyDescent="0.2">
      <c r="A515" s="17"/>
      <c r="B515" s="645" t="s">
        <v>248</v>
      </c>
      <c r="C515" s="646"/>
      <c r="D515" s="646"/>
      <c r="E515" s="646"/>
      <c r="F515" s="258">
        <v>5325</v>
      </c>
      <c r="G515" s="258">
        <f t="shared" si="1671"/>
        <v>5325</v>
      </c>
      <c r="H515" s="251"/>
      <c r="I515" s="306"/>
      <c r="J515" s="576">
        <f>F515+66</f>
        <v>5391</v>
      </c>
      <c r="K515" s="258"/>
      <c r="L515" s="576">
        <f t="shared" si="1672"/>
        <v>5725</v>
      </c>
      <c r="M515" s="258">
        <f t="shared" si="1673"/>
        <v>5725</v>
      </c>
      <c r="N515" s="576">
        <f t="shared" si="1674"/>
        <v>5675</v>
      </c>
      <c r="O515" s="258">
        <f t="shared" si="1657"/>
        <v>5675</v>
      </c>
      <c r="P515" s="576">
        <f t="shared" si="1675"/>
        <v>5635</v>
      </c>
      <c r="Q515" s="258">
        <f t="shared" si="1676"/>
        <v>5635</v>
      </c>
      <c r="R515" s="576">
        <f t="shared" si="1677"/>
        <v>5605</v>
      </c>
      <c r="S515" s="258">
        <f t="shared" si="1659"/>
        <v>5605</v>
      </c>
      <c r="T515" s="576">
        <f t="shared" si="1678"/>
        <v>5565</v>
      </c>
      <c r="U515" s="258">
        <f t="shared" si="1679"/>
        <v>5565</v>
      </c>
      <c r="V515" s="576">
        <f t="shared" si="1680"/>
        <v>5545</v>
      </c>
      <c r="W515" s="258">
        <f t="shared" si="1681"/>
        <v>5545</v>
      </c>
      <c r="X515" s="133"/>
      <c r="Y515" s="119"/>
      <c r="Z515" s="119"/>
      <c r="AA515" s="119"/>
      <c r="AB515" s="369"/>
    </row>
    <row r="516" spans="1:28" ht="12.6" customHeight="1" x14ac:dyDescent="0.2">
      <c r="A516" s="17"/>
      <c r="B516" s="654" t="s">
        <v>249</v>
      </c>
      <c r="C516" s="655"/>
      <c r="D516" s="655"/>
      <c r="E516" s="655"/>
      <c r="F516" s="257">
        <v>4154</v>
      </c>
      <c r="G516" s="257">
        <f t="shared" si="1671"/>
        <v>4154</v>
      </c>
      <c r="H516" s="252"/>
      <c r="I516" s="305"/>
      <c r="J516" s="559">
        <f>F516+80</f>
        <v>4234</v>
      </c>
      <c r="K516" s="257"/>
      <c r="L516" s="559">
        <f t="shared" si="1672"/>
        <v>4554</v>
      </c>
      <c r="M516" s="257">
        <f t="shared" si="1673"/>
        <v>4554</v>
      </c>
      <c r="N516" s="559">
        <f t="shared" si="1674"/>
        <v>4504</v>
      </c>
      <c r="O516" s="257">
        <f t="shared" si="1657"/>
        <v>4504</v>
      </c>
      <c r="P516" s="559">
        <f t="shared" si="1675"/>
        <v>4464</v>
      </c>
      <c r="Q516" s="257">
        <f t="shared" si="1676"/>
        <v>4464</v>
      </c>
      <c r="R516" s="559">
        <f t="shared" si="1677"/>
        <v>4434</v>
      </c>
      <c r="S516" s="257">
        <f t="shared" si="1659"/>
        <v>4434</v>
      </c>
      <c r="T516" s="559">
        <f t="shared" si="1678"/>
        <v>4394</v>
      </c>
      <c r="U516" s="257">
        <f t="shared" si="1679"/>
        <v>4394</v>
      </c>
      <c r="V516" s="559">
        <f t="shared" si="1680"/>
        <v>4374</v>
      </c>
      <c r="W516" s="257">
        <f t="shared" si="1681"/>
        <v>4374</v>
      </c>
      <c r="X516" s="133"/>
      <c r="Y516" s="119"/>
      <c r="Z516" s="119"/>
      <c r="AA516" s="119"/>
      <c r="AB516" s="178" t="s">
        <v>250</v>
      </c>
    </row>
    <row r="517" spans="1:28" ht="12.6" customHeight="1" x14ac:dyDescent="0.2">
      <c r="A517" s="17"/>
      <c r="B517" s="645" t="s">
        <v>251</v>
      </c>
      <c r="C517" s="646"/>
      <c r="D517" s="646"/>
      <c r="E517" s="646"/>
      <c r="F517" s="258">
        <v>5860</v>
      </c>
      <c r="G517" s="258">
        <f t="shared" si="1671"/>
        <v>5860</v>
      </c>
      <c r="H517" s="251"/>
      <c r="I517" s="306"/>
      <c r="J517" s="576">
        <f>F517+80</f>
        <v>5940</v>
      </c>
      <c r="K517" s="258"/>
      <c r="L517" s="576">
        <f t="shared" si="1672"/>
        <v>6260</v>
      </c>
      <c r="M517" s="258">
        <f t="shared" si="1673"/>
        <v>6260</v>
      </c>
      <c r="N517" s="576">
        <f t="shared" si="1674"/>
        <v>6210</v>
      </c>
      <c r="O517" s="258">
        <f t="shared" si="1657"/>
        <v>6210</v>
      </c>
      <c r="P517" s="576">
        <f t="shared" si="1675"/>
        <v>6170</v>
      </c>
      <c r="Q517" s="258">
        <f t="shared" si="1676"/>
        <v>6170</v>
      </c>
      <c r="R517" s="576">
        <f t="shared" si="1677"/>
        <v>6140</v>
      </c>
      <c r="S517" s="258">
        <f t="shared" si="1659"/>
        <v>6140</v>
      </c>
      <c r="T517" s="576">
        <f t="shared" si="1678"/>
        <v>6100</v>
      </c>
      <c r="U517" s="258">
        <f t="shared" si="1679"/>
        <v>6100</v>
      </c>
      <c r="V517" s="576">
        <f t="shared" si="1680"/>
        <v>6080</v>
      </c>
      <c r="W517" s="258">
        <f t="shared" si="1681"/>
        <v>6080</v>
      </c>
      <c r="X517" s="133"/>
      <c r="Y517" s="119"/>
      <c r="Z517" s="119"/>
      <c r="AA517" s="119"/>
      <c r="AB517" s="369"/>
    </row>
    <row r="518" spans="1:28" ht="12.6" customHeight="1" x14ac:dyDescent="0.2">
      <c r="A518" s="17"/>
      <c r="B518" s="654" t="s">
        <v>822</v>
      </c>
      <c r="C518" s="655"/>
      <c r="D518" s="655"/>
      <c r="E518" s="655"/>
      <c r="F518" s="257">
        <v>11100</v>
      </c>
      <c r="G518" s="257">
        <f t="shared" ref="G518" si="1682">+F518*$X$1</f>
        <v>11100</v>
      </c>
      <c r="H518" s="252"/>
      <c r="I518" s="305"/>
      <c r="J518" s="559">
        <f>F518+430</f>
        <v>11530</v>
      </c>
      <c r="K518" s="257">
        <f t="shared" ref="K518" si="1683">+J518*$X$1</f>
        <v>11530</v>
      </c>
      <c r="L518" s="559">
        <f t="shared" si="1672"/>
        <v>11500</v>
      </c>
      <c r="M518" s="257">
        <f t="shared" si="1673"/>
        <v>11500</v>
      </c>
      <c r="N518" s="559">
        <f t="shared" si="1674"/>
        <v>11450</v>
      </c>
      <c r="O518" s="257">
        <f t="shared" si="1657"/>
        <v>11450</v>
      </c>
      <c r="P518" s="559">
        <f t="shared" si="1675"/>
        <v>11410</v>
      </c>
      <c r="Q518" s="257">
        <f t="shared" si="1676"/>
        <v>11410</v>
      </c>
      <c r="R518" s="559">
        <f t="shared" si="1677"/>
        <v>11380</v>
      </c>
      <c r="S518" s="257">
        <f t="shared" si="1659"/>
        <v>11380</v>
      </c>
      <c r="T518" s="559">
        <f t="shared" si="1678"/>
        <v>11340</v>
      </c>
      <c r="U518" s="257">
        <f t="shared" si="1679"/>
        <v>11340</v>
      </c>
      <c r="V518" s="559">
        <f t="shared" si="1680"/>
        <v>11320</v>
      </c>
      <c r="W518" s="257">
        <f t="shared" si="1681"/>
        <v>11320</v>
      </c>
      <c r="X518" s="133"/>
      <c r="Y518" s="119"/>
      <c r="Z518" s="119"/>
      <c r="AA518" s="119"/>
      <c r="AB518" s="178" t="s">
        <v>823</v>
      </c>
    </row>
    <row r="519" spans="1:28" ht="12.6" customHeight="1" x14ac:dyDescent="0.2">
      <c r="A519" s="17"/>
      <c r="B519" s="645" t="s">
        <v>584</v>
      </c>
      <c r="C519" s="646"/>
      <c r="D519" s="646"/>
      <c r="E519" s="646"/>
      <c r="F519" s="258">
        <v>5430</v>
      </c>
      <c r="G519" s="258">
        <f>+F519*$X$1</f>
        <v>5430</v>
      </c>
      <c r="H519" s="251"/>
      <c r="I519" s="306"/>
      <c r="J519" s="576">
        <f>F519+66</f>
        <v>5496</v>
      </c>
      <c r="K519" s="258"/>
      <c r="L519" s="576">
        <f t="shared" si="1672"/>
        <v>5830</v>
      </c>
      <c r="M519" s="258">
        <f t="shared" si="1673"/>
        <v>5830</v>
      </c>
      <c r="N519" s="576">
        <f t="shared" si="1674"/>
        <v>5780</v>
      </c>
      <c r="O519" s="258">
        <f t="shared" si="1657"/>
        <v>5780</v>
      </c>
      <c r="P519" s="576">
        <f t="shared" si="1675"/>
        <v>5740</v>
      </c>
      <c r="Q519" s="258">
        <f t="shared" si="1676"/>
        <v>5740</v>
      </c>
      <c r="R519" s="576">
        <f t="shared" si="1677"/>
        <v>5710</v>
      </c>
      <c r="S519" s="258">
        <f t="shared" si="1659"/>
        <v>5710</v>
      </c>
      <c r="T519" s="576">
        <f t="shared" si="1678"/>
        <v>5670</v>
      </c>
      <c r="U519" s="258">
        <f t="shared" si="1679"/>
        <v>5670</v>
      </c>
      <c r="V519" s="576">
        <f t="shared" si="1680"/>
        <v>5650</v>
      </c>
      <c r="W519" s="258">
        <f t="shared" si="1681"/>
        <v>5650</v>
      </c>
      <c r="X519" s="133"/>
      <c r="Y519" s="119"/>
      <c r="Z519" s="119"/>
      <c r="AA519" s="119"/>
      <c r="AB519" s="178" t="s">
        <v>252</v>
      </c>
    </row>
    <row r="520" spans="1:28" ht="12.6" customHeight="1" x14ac:dyDescent="0.2">
      <c r="A520" s="17"/>
      <c r="B520" s="654" t="s">
        <v>585</v>
      </c>
      <c r="C520" s="655"/>
      <c r="D520" s="655"/>
      <c r="E520" s="655"/>
      <c r="F520" s="257">
        <v>5990</v>
      </c>
      <c r="G520" s="257">
        <f>+F520*$X$1</f>
        <v>5990</v>
      </c>
      <c r="H520" s="252"/>
      <c r="I520" s="305"/>
      <c r="J520" s="559">
        <f>F520+80</f>
        <v>6070</v>
      </c>
      <c r="K520" s="257"/>
      <c r="L520" s="559">
        <f t="shared" si="1672"/>
        <v>6390</v>
      </c>
      <c r="M520" s="257">
        <f t="shared" si="1673"/>
        <v>6390</v>
      </c>
      <c r="N520" s="559">
        <f t="shared" si="1674"/>
        <v>6340</v>
      </c>
      <c r="O520" s="257">
        <f t="shared" si="1657"/>
        <v>6340</v>
      </c>
      <c r="P520" s="559">
        <f t="shared" si="1675"/>
        <v>6300</v>
      </c>
      <c r="Q520" s="257">
        <f t="shared" si="1676"/>
        <v>6300</v>
      </c>
      <c r="R520" s="559">
        <f t="shared" si="1677"/>
        <v>6270</v>
      </c>
      <c r="S520" s="257">
        <f t="shared" si="1659"/>
        <v>6270</v>
      </c>
      <c r="T520" s="559">
        <f t="shared" si="1678"/>
        <v>6230</v>
      </c>
      <c r="U520" s="257">
        <f t="shared" si="1679"/>
        <v>6230</v>
      </c>
      <c r="V520" s="559">
        <f t="shared" si="1680"/>
        <v>6210</v>
      </c>
      <c r="W520" s="257">
        <f t="shared" si="1681"/>
        <v>6210</v>
      </c>
      <c r="X520" s="133"/>
      <c r="Y520" s="119"/>
      <c r="Z520" s="119"/>
      <c r="AA520" s="119"/>
      <c r="AB520" s="178" t="s">
        <v>253</v>
      </c>
    </row>
    <row r="521" spans="1:28" ht="12.6" customHeight="1" x14ac:dyDescent="0.25">
      <c r="A521" s="17"/>
      <c r="B521" s="645" t="s">
        <v>300</v>
      </c>
      <c r="C521" s="646"/>
      <c r="D521" s="646"/>
      <c r="E521" s="646"/>
      <c r="F521" s="258">
        <v>6850</v>
      </c>
      <c r="G521" s="258">
        <f>+F521*$X$1</f>
        <v>6850</v>
      </c>
      <c r="H521" s="576">
        <f t="shared" ref="H521:H525" si="1684">F521+600</f>
        <v>7450</v>
      </c>
      <c r="I521" s="258">
        <f t="shared" ref="I521:I527" si="1685">+H521*$X$1</f>
        <v>7450</v>
      </c>
      <c r="J521" s="576">
        <f t="shared" ref="J521:J526" si="1686">F521+410</f>
        <v>7260</v>
      </c>
      <c r="K521" s="258">
        <f t="shared" ref="K521" si="1687">+J521*$X$1</f>
        <v>7260</v>
      </c>
      <c r="L521" s="576">
        <f t="shared" ref="L521:L526" si="1688">F521+360</f>
        <v>7210</v>
      </c>
      <c r="M521" s="258">
        <f t="shared" si="1673"/>
        <v>7210</v>
      </c>
      <c r="N521" s="576">
        <f t="shared" ref="N521:N526" si="1689">F521+320</f>
        <v>7170</v>
      </c>
      <c r="O521" s="258">
        <f t="shared" ref="O521" si="1690">+N521*$X$1</f>
        <v>7170</v>
      </c>
      <c r="P521" s="576">
        <f t="shared" ref="P521:P526" si="1691">F521+290</f>
        <v>7140</v>
      </c>
      <c r="Q521" s="258">
        <f t="shared" ref="Q521" si="1692">+P521*$X$1</f>
        <v>7140</v>
      </c>
      <c r="R521" s="576">
        <f t="shared" ref="R521:R526" si="1693">F521+270</f>
        <v>7120</v>
      </c>
      <c r="S521" s="258">
        <f t="shared" ref="S521" si="1694">+R521*$X$1</f>
        <v>7120</v>
      </c>
      <c r="T521" s="576">
        <f t="shared" ref="T521:T526" si="1695">F521+230</f>
        <v>7080</v>
      </c>
      <c r="U521" s="258">
        <f t="shared" ref="U521" si="1696">+T521*$X$1</f>
        <v>7080</v>
      </c>
      <c r="V521" s="576">
        <f t="shared" ref="V521:V526" si="1697">F521+210</f>
        <v>7060</v>
      </c>
      <c r="W521" s="258">
        <f t="shared" ref="W521" si="1698">+V521*$X$1</f>
        <v>7060</v>
      </c>
      <c r="X521" s="956"/>
      <c r="Y521" s="957"/>
      <c r="Z521" s="957"/>
      <c r="AA521" s="957"/>
      <c r="AB521" s="178" t="s">
        <v>254</v>
      </c>
    </row>
    <row r="522" spans="1:28" ht="12.6" customHeight="1" x14ac:dyDescent="0.25">
      <c r="A522" s="17"/>
      <c r="B522" s="999" t="s">
        <v>462</v>
      </c>
      <c r="C522" s="707"/>
      <c r="D522" s="707"/>
      <c r="E522" s="708"/>
      <c r="F522" s="257">
        <v>3826</v>
      </c>
      <c r="G522" s="257">
        <f t="shared" ref="G522" si="1699">+F522*$X$1</f>
        <v>3826</v>
      </c>
      <c r="H522" s="559">
        <f t="shared" si="1684"/>
        <v>4426</v>
      </c>
      <c r="I522" s="257">
        <f t="shared" ref="I522:I525" si="1700">+H522*$X$1</f>
        <v>4426</v>
      </c>
      <c r="J522" s="559">
        <f t="shared" si="1686"/>
        <v>4236</v>
      </c>
      <c r="K522" s="257">
        <f t="shared" ref="K522:K533" si="1701">+J522*$X$1</f>
        <v>4236</v>
      </c>
      <c r="L522" s="559">
        <f t="shared" si="1688"/>
        <v>4186</v>
      </c>
      <c r="M522" s="257">
        <f t="shared" si="1673"/>
        <v>4186</v>
      </c>
      <c r="N522" s="559">
        <f t="shared" si="1689"/>
        <v>4146</v>
      </c>
      <c r="O522" s="257">
        <f t="shared" ref="O522:O526" si="1702">+N522*$X$1</f>
        <v>4146</v>
      </c>
      <c r="P522" s="559">
        <f t="shared" si="1691"/>
        <v>4116</v>
      </c>
      <c r="Q522" s="257">
        <f t="shared" ref="Q522:Q526" si="1703">+P522*$X$1</f>
        <v>4116</v>
      </c>
      <c r="R522" s="559">
        <f t="shared" si="1693"/>
        <v>4096</v>
      </c>
      <c r="S522" s="257">
        <f t="shared" ref="S522:S526" si="1704">+R522*$X$1</f>
        <v>4096</v>
      </c>
      <c r="T522" s="559">
        <f t="shared" si="1695"/>
        <v>4056</v>
      </c>
      <c r="U522" s="257">
        <f t="shared" ref="U522:U526" si="1705">+T522*$X$1</f>
        <v>4056</v>
      </c>
      <c r="V522" s="559">
        <f t="shared" si="1697"/>
        <v>4036</v>
      </c>
      <c r="W522" s="257">
        <f t="shared" ref="W522:W526" si="1706">+V522*$X$1</f>
        <v>4036</v>
      </c>
      <c r="X522" s="956"/>
      <c r="Y522" s="957"/>
      <c r="Z522" s="957"/>
      <c r="AA522" s="957"/>
      <c r="AB522" s="178" t="s">
        <v>397</v>
      </c>
    </row>
    <row r="523" spans="1:28" ht="12.6" customHeight="1" x14ac:dyDescent="0.2">
      <c r="A523" s="17"/>
      <c r="B523" s="645" t="s">
        <v>347</v>
      </c>
      <c r="C523" s="646"/>
      <c r="D523" s="646"/>
      <c r="E523" s="646"/>
      <c r="F523" s="258">
        <v>3980</v>
      </c>
      <c r="G523" s="258">
        <f>+F523*$X$1</f>
        <v>3980</v>
      </c>
      <c r="H523" s="576">
        <f t="shared" si="1684"/>
        <v>4580</v>
      </c>
      <c r="I523" s="258">
        <f t="shared" si="1700"/>
        <v>4580</v>
      </c>
      <c r="J523" s="576">
        <f t="shared" si="1686"/>
        <v>4390</v>
      </c>
      <c r="K523" s="258">
        <f t="shared" si="1701"/>
        <v>4390</v>
      </c>
      <c r="L523" s="576">
        <f t="shared" si="1688"/>
        <v>4340</v>
      </c>
      <c r="M523" s="258">
        <f t="shared" si="1673"/>
        <v>4340</v>
      </c>
      <c r="N523" s="576">
        <f t="shared" si="1689"/>
        <v>4300</v>
      </c>
      <c r="O523" s="258">
        <f t="shared" si="1702"/>
        <v>4300</v>
      </c>
      <c r="P523" s="576">
        <f t="shared" si="1691"/>
        <v>4270</v>
      </c>
      <c r="Q523" s="258">
        <f t="shared" si="1703"/>
        <v>4270</v>
      </c>
      <c r="R523" s="576">
        <f t="shared" si="1693"/>
        <v>4250</v>
      </c>
      <c r="S523" s="258">
        <f t="shared" si="1704"/>
        <v>4250</v>
      </c>
      <c r="T523" s="576">
        <f t="shared" si="1695"/>
        <v>4210</v>
      </c>
      <c r="U523" s="258">
        <f t="shared" si="1705"/>
        <v>4210</v>
      </c>
      <c r="V523" s="576">
        <f t="shared" si="1697"/>
        <v>4190</v>
      </c>
      <c r="W523" s="258">
        <f t="shared" si="1706"/>
        <v>4190</v>
      </c>
      <c r="X523" s="959"/>
      <c r="Y523" s="960"/>
      <c r="Z523" s="960"/>
      <c r="AA523" s="961"/>
      <c r="AB523" s="178" t="s">
        <v>255</v>
      </c>
    </row>
    <row r="524" spans="1:28" ht="12.6" customHeight="1" x14ac:dyDescent="0.25">
      <c r="A524" s="17"/>
      <c r="B524" s="761" t="s">
        <v>761</v>
      </c>
      <c r="C524" s="762"/>
      <c r="D524" s="762"/>
      <c r="E524" s="762"/>
      <c r="F524" s="257">
        <v>3980</v>
      </c>
      <c r="G524" s="257">
        <f t="shared" ref="G524:G526" si="1707">+F524*$X$1</f>
        <v>3980</v>
      </c>
      <c r="H524" s="559">
        <f t="shared" si="1684"/>
        <v>4580</v>
      </c>
      <c r="I524" s="257">
        <f t="shared" si="1700"/>
        <v>4580</v>
      </c>
      <c r="J524" s="559">
        <f t="shared" si="1686"/>
        <v>4390</v>
      </c>
      <c r="K524" s="257">
        <f t="shared" si="1701"/>
        <v>4390</v>
      </c>
      <c r="L524" s="559">
        <f t="shared" si="1688"/>
        <v>4340</v>
      </c>
      <c r="M524" s="257">
        <f t="shared" si="1673"/>
        <v>4340</v>
      </c>
      <c r="N524" s="559">
        <f t="shared" si="1689"/>
        <v>4300</v>
      </c>
      <c r="O524" s="257">
        <f t="shared" si="1702"/>
        <v>4300</v>
      </c>
      <c r="P524" s="559">
        <f t="shared" si="1691"/>
        <v>4270</v>
      </c>
      <c r="Q524" s="257">
        <f t="shared" si="1703"/>
        <v>4270</v>
      </c>
      <c r="R524" s="559">
        <f t="shared" si="1693"/>
        <v>4250</v>
      </c>
      <c r="S524" s="257">
        <f t="shared" si="1704"/>
        <v>4250</v>
      </c>
      <c r="T524" s="559">
        <f t="shared" si="1695"/>
        <v>4210</v>
      </c>
      <c r="U524" s="257">
        <f t="shared" si="1705"/>
        <v>4210</v>
      </c>
      <c r="V524" s="559">
        <f t="shared" si="1697"/>
        <v>4190</v>
      </c>
      <c r="W524" s="257">
        <f t="shared" si="1706"/>
        <v>4190</v>
      </c>
      <c r="X524" s="956"/>
      <c r="Y524" s="957"/>
      <c r="Z524" s="957"/>
      <c r="AA524" s="957"/>
      <c r="AB524" s="178" t="s">
        <v>256</v>
      </c>
    </row>
    <row r="525" spans="1:28" ht="12.6" customHeight="1" x14ac:dyDescent="0.25">
      <c r="A525" s="17"/>
      <c r="B525" s="1194" t="s">
        <v>493</v>
      </c>
      <c r="C525" s="669"/>
      <c r="D525" s="669"/>
      <c r="E525" s="670"/>
      <c r="F525" s="260">
        <v>3826</v>
      </c>
      <c r="G525" s="258">
        <f>+F525*$X$1</f>
        <v>3826</v>
      </c>
      <c r="H525" s="576">
        <f t="shared" si="1684"/>
        <v>4426</v>
      </c>
      <c r="I525" s="258">
        <f t="shared" si="1700"/>
        <v>4426</v>
      </c>
      <c r="J525" s="576">
        <f t="shared" si="1686"/>
        <v>4236</v>
      </c>
      <c r="K525" s="258">
        <f t="shared" si="1701"/>
        <v>4236</v>
      </c>
      <c r="L525" s="576">
        <f t="shared" si="1688"/>
        <v>4186</v>
      </c>
      <c r="M525" s="258">
        <f t="shared" si="1673"/>
        <v>4186</v>
      </c>
      <c r="N525" s="576">
        <f t="shared" si="1689"/>
        <v>4146</v>
      </c>
      <c r="O525" s="258">
        <f t="shared" si="1702"/>
        <v>4146</v>
      </c>
      <c r="P525" s="576">
        <f t="shared" si="1691"/>
        <v>4116</v>
      </c>
      <c r="Q525" s="258">
        <f t="shared" si="1703"/>
        <v>4116</v>
      </c>
      <c r="R525" s="576">
        <f t="shared" si="1693"/>
        <v>4096</v>
      </c>
      <c r="S525" s="258">
        <f t="shared" si="1704"/>
        <v>4096</v>
      </c>
      <c r="T525" s="576">
        <f t="shared" si="1695"/>
        <v>4056</v>
      </c>
      <c r="U525" s="258">
        <f t="shared" si="1705"/>
        <v>4056</v>
      </c>
      <c r="V525" s="576">
        <f t="shared" si="1697"/>
        <v>4036</v>
      </c>
      <c r="W525" s="258">
        <f t="shared" si="1706"/>
        <v>4036</v>
      </c>
      <c r="X525" s="956"/>
      <c r="Y525" s="957"/>
      <c r="Z525" s="957"/>
      <c r="AA525" s="957"/>
      <c r="AB525" s="27"/>
    </row>
    <row r="526" spans="1:28" ht="12.6" customHeight="1" x14ac:dyDescent="0.25">
      <c r="A526" s="17"/>
      <c r="B526" s="654" t="s">
        <v>299</v>
      </c>
      <c r="C526" s="655"/>
      <c r="D526" s="655"/>
      <c r="E526" s="655"/>
      <c r="F526" s="257">
        <v>6390</v>
      </c>
      <c r="G526" s="257">
        <f t="shared" si="1707"/>
        <v>6390</v>
      </c>
      <c r="H526" s="559"/>
      <c r="I526" s="257"/>
      <c r="J526" s="559">
        <f t="shared" si="1686"/>
        <v>6800</v>
      </c>
      <c r="K526" s="257">
        <f t="shared" si="1701"/>
        <v>6800</v>
      </c>
      <c r="L526" s="559">
        <f t="shared" si="1688"/>
        <v>6750</v>
      </c>
      <c r="M526" s="257">
        <f t="shared" si="1673"/>
        <v>6750</v>
      </c>
      <c r="N526" s="559">
        <f t="shared" si="1689"/>
        <v>6710</v>
      </c>
      <c r="O526" s="257">
        <f t="shared" si="1702"/>
        <v>6710</v>
      </c>
      <c r="P526" s="559">
        <f t="shared" si="1691"/>
        <v>6680</v>
      </c>
      <c r="Q526" s="257">
        <f t="shared" si="1703"/>
        <v>6680</v>
      </c>
      <c r="R526" s="559">
        <f t="shared" si="1693"/>
        <v>6660</v>
      </c>
      <c r="S526" s="257">
        <f t="shared" si="1704"/>
        <v>6660</v>
      </c>
      <c r="T526" s="559">
        <f t="shared" si="1695"/>
        <v>6620</v>
      </c>
      <c r="U526" s="257">
        <f t="shared" si="1705"/>
        <v>6620</v>
      </c>
      <c r="V526" s="559">
        <f t="shared" si="1697"/>
        <v>6600</v>
      </c>
      <c r="W526" s="257">
        <f t="shared" si="1706"/>
        <v>6600</v>
      </c>
      <c r="X526" s="956"/>
      <c r="Y526" s="957"/>
      <c r="Z526" s="957"/>
      <c r="AA526" s="957"/>
      <c r="AB526" s="178" t="s">
        <v>257</v>
      </c>
    </row>
    <row r="527" spans="1:28" ht="12.6" customHeight="1" x14ac:dyDescent="0.2">
      <c r="A527" s="17"/>
      <c r="B527" s="645" t="s">
        <v>698</v>
      </c>
      <c r="C527" s="962"/>
      <c r="D527" s="962"/>
      <c r="E527" s="962"/>
      <c r="F527" s="258">
        <v>12023</v>
      </c>
      <c r="G527" s="258">
        <f>+F527*$X$1</f>
        <v>12023</v>
      </c>
      <c r="H527" s="576">
        <f>F527+700</f>
        <v>12723</v>
      </c>
      <c r="I527" s="258">
        <f t="shared" si="1685"/>
        <v>12723</v>
      </c>
      <c r="J527" s="576">
        <f t="shared" ref="J527:J533" si="1708">F527+430</f>
        <v>12453</v>
      </c>
      <c r="K527" s="258">
        <f t="shared" si="1701"/>
        <v>12453</v>
      </c>
      <c r="L527" s="576">
        <f t="shared" ref="L527:L533" si="1709">F527+400</f>
        <v>12423</v>
      </c>
      <c r="M527" s="258">
        <f t="shared" si="1673"/>
        <v>12423</v>
      </c>
      <c r="N527" s="576">
        <f t="shared" ref="N527:N533" si="1710">F527+350</f>
        <v>12373</v>
      </c>
      <c r="O527" s="258">
        <f t="shared" ref="O527:O533" si="1711">+N527*$X$1</f>
        <v>12373</v>
      </c>
      <c r="P527" s="576">
        <f t="shared" ref="P527:P533" si="1712">F527+310</f>
        <v>12333</v>
      </c>
      <c r="Q527" s="258">
        <f t="shared" ref="Q527:Q533" si="1713">+P527*$X$1</f>
        <v>12333</v>
      </c>
      <c r="R527" s="576">
        <f t="shared" ref="R527:R533" si="1714">F527+280</f>
        <v>12303</v>
      </c>
      <c r="S527" s="258">
        <f t="shared" ref="S527:S533" si="1715">+R527*$X$1</f>
        <v>12303</v>
      </c>
      <c r="T527" s="576">
        <f t="shared" ref="T527:T533" si="1716">F527+240</f>
        <v>12263</v>
      </c>
      <c r="U527" s="258">
        <f t="shared" ref="U527:U533" si="1717">+T527*$X$1</f>
        <v>12263</v>
      </c>
      <c r="V527" s="576">
        <f t="shared" ref="V527:V533" si="1718">F527+220</f>
        <v>12243</v>
      </c>
      <c r="W527" s="258">
        <f t="shared" ref="W527:W533" si="1719">+V527*$X$1</f>
        <v>12243</v>
      </c>
      <c r="X527" s="134"/>
      <c r="Y527" s="122"/>
      <c r="Z527" s="122"/>
      <c r="AA527" s="125"/>
      <c r="AB527" s="178" t="s">
        <v>258</v>
      </c>
    </row>
    <row r="528" spans="1:28" ht="12.6" customHeight="1" x14ac:dyDescent="0.2">
      <c r="A528" s="17"/>
      <c r="B528" s="654" t="s">
        <v>699</v>
      </c>
      <c r="C528" s="963"/>
      <c r="D528" s="963"/>
      <c r="E528" s="963"/>
      <c r="F528" s="257">
        <v>12076</v>
      </c>
      <c r="G528" s="257">
        <f t="shared" ref="G528" si="1720">+F528*$X$1</f>
        <v>12076</v>
      </c>
      <c r="H528" s="559">
        <f>F528+700</f>
        <v>12776</v>
      </c>
      <c r="I528" s="257">
        <f>+H528*$X$1</f>
        <v>12776</v>
      </c>
      <c r="J528" s="559">
        <f t="shared" si="1708"/>
        <v>12506</v>
      </c>
      <c r="K528" s="257">
        <f t="shared" si="1701"/>
        <v>12506</v>
      </c>
      <c r="L528" s="559">
        <f t="shared" si="1709"/>
        <v>12476</v>
      </c>
      <c r="M528" s="257">
        <f t="shared" si="1673"/>
        <v>12476</v>
      </c>
      <c r="N528" s="559">
        <f t="shared" si="1710"/>
        <v>12426</v>
      </c>
      <c r="O528" s="257">
        <f t="shared" si="1711"/>
        <v>12426</v>
      </c>
      <c r="P528" s="559">
        <f t="shared" si="1712"/>
        <v>12386</v>
      </c>
      <c r="Q528" s="257">
        <f t="shared" si="1713"/>
        <v>12386</v>
      </c>
      <c r="R528" s="559">
        <f t="shared" si="1714"/>
        <v>12356</v>
      </c>
      <c r="S528" s="257">
        <f t="shared" si="1715"/>
        <v>12356</v>
      </c>
      <c r="T528" s="559">
        <f t="shared" si="1716"/>
        <v>12316</v>
      </c>
      <c r="U528" s="257">
        <f t="shared" si="1717"/>
        <v>12316</v>
      </c>
      <c r="V528" s="559">
        <f t="shared" si="1718"/>
        <v>12296</v>
      </c>
      <c r="W528" s="257">
        <f t="shared" si="1719"/>
        <v>12296</v>
      </c>
      <c r="X528" s="134"/>
      <c r="Y528" s="122"/>
      <c r="Z528" s="122"/>
      <c r="AA528" s="125"/>
      <c r="AB528" s="178" t="s">
        <v>259</v>
      </c>
    </row>
    <row r="529" spans="1:34" ht="12.6" customHeight="1" x14ac:dyDescent="0.2">
      <c r="A529" s="17"/>
      <c r="B529" s="645" t="s">
        <v>842</v>
      </c>
      <c r="C529" s="962"/>
      <c r="D529" s="962"/>
      <c r="E529" s="962"/>
      <c r="F529" s="334">
        <f>9.22*X2</f>
        <v>11893.800000000001</v>
      </c>
      <c r="G529" s="258">
        <f t="shared" ref="G529" si="1721">+F529*$X$1</f>
        <v>11893.800000000001</v>
      </c>
      <c r="H529" s="576">
        <f>F529+700</f>
        <v>12593.800000000001</v>
      </c>
      <c r="I529" s="258">
        <f>+H529*$X$1</f>
        <v>12593.800000000001</v>
      </c>
      <c r="J529" s="576">
        <f t="shared" si="1708"/>
        <v>12323.800000000001</v>
      </c>
      <c r="K529" s="258">
        <f t="shared" si="1701"/>
        <v>12323.800000000001</v>
      </c>
      <c r="L529" s="576">
        <f t="shared" si="1709"/>
        <v>12293.800000000001</v>
      </c>
      <c r="M529" s="258">
        <f t="shared" si="1673"/>
        <v>12293.800000000001</v>
      </c>
      <c r="N529" s="576">
        <f t="shared" si="1710"/>
        <v>12243.800000000001</v>
      </c>
      <c r="O529" s="258">
        <f t="shared" si="1711"/>
        <v>12243.800000000001</v>
      </c>
      <c r="P529" s="576">
        <f t="shared" si="1712"/>
        <v>12203.800000000001</v>
      </c>
      <c r="Q529" s="258">
        <f t="shared" si="1713"/>
        <v>12203.800000000001</v>
      </c>
      <c r="R529" s="576">
        <f t="shared" si="1714"/>
        <v>12173.800000000001</v>
      </c>
      <c r="S529" s="258">
        <f t="shared" si="1715"/>
        <v>12173.800000000001</v>
      </c>
      <c r="T529" s="576">
        <f t="shared" si="1716"/>
        <v>12133.800000000001</v>
      </c>
      <c r="U529" s="258">
        <f t="shared" si="1717"/>
        <v>12133.800000000001</v>
      </c>
      <c r="V529" s="576">
        <f t="shared" si="1718"/>
        <v>12113.800000000001</v>
      </c>
      <c r="W529" s="258">
        <f t="shared" si="1719"/>
        <v>12113.800000000001</v>
      </c>
      <c r="X529" s="134"/>
      <c r="Y529" s="122"/>
      <c r="Z529" s="122"/>
      <c r="AA529" s="125"/>
      <c r="AB529" s="178" t="s">
        <v>843</v>
      </c>
    </row>
    <row r="530" spans="1:34" ht="12.6" customHeight="1" x14ac:dyDescent="0.2">
      <c r="A530" s="17"/>
      <c r="B530" s="654" t="s">
        <v>844</v>
      </c>
      <c r="C530" s="963"/>
      <c r="D530" s="963"/>
      <c r="E530" s="963"/>
      <c r="F530" s="333">
        <f>9.4*X2</f>
        <v>12126</v>
      </c>
      <c r="G530" s="257">
        <f t="shared" ref="G530" si="1722">+F530*$X$1</f>
        <v>12126</v>
      </c>
      <c r="H530" s="559">
        <f>F530+700</f>
        <v>12826</v>
      </c>
      <c r="I530" s="257">
        <f t="shared" ref="I530" si="1723">+H530*$X$1</f>
        <v>12826</v>
      </c>
      <c r="J530" s="559">
        <f t="shared" si="1708"/>
        <v>12556</v>
      </c>
      <c r="K530" s="257">
        <f t="shared" si="1701"/>
        <v>12556</v>
      </c>
      <c r="L530" s="559">
        <f t="shared" si="1709"/>
        <v>12526</v>
      </c>
      <c r="M530" s="257">
        <f t="shared" si="1673"/>
        <v>12526</v>
      </c>
      <c r="N530" s="559">
        <f t="shared" si="1710"/>
        <v>12476</v>
      </c>
      <c r="O530" s="257">
        <f t="shared" si="1711"/>
        <v>12476</v>
      </c>
      <c r="P530" s="559">
        <f t="shared" si="1712"/>
        <v>12436</v>
      </c>
      <c r="Q530" s="257">
        <f t="shared" si="1713"/>
        <v>12436</v>
      </c>
      <c r="R530" s="559">
        <f t="shared" si="1714"/>
        <v>12406</v>
      </c>
      <c r="S530" s="257">
        <f t="shared" si="1715"/>
        <v>12406</v>
      </c>
      <c r="T530" s="559">
        <f t="shared" si="1716"/>
        <v>12366</v>
      </c>
      <c r="U530" s="257">
        <f t="shared" si="1717"/>
        <v>12366</v>
      </c>
      <c r="V530" s="559">
        <f t="shared" si="1718"/>
        <v>12346</v>
      </c>
      <c r="W530" s="257">
        <f t="shared" si="1719"/>
        <v>12346</v>
      </c>
      <c r="X530" s="134"/>
      <c r="Y530" s="122"/>
      <c r="Z530" s="122"/>
      <c r="AA530" s="125"/>
      <c r="AB530" s="178" t="s">
        <v>845</v>
      </c>
    </row>
    <row r="531" spans="1:34" ht="12.6" customHeight="1" x14ac:dyDescent="0.2">
      <c r="A531" s="17"/>
      <c r="B531" s="645" t="s">
        <v>260</v>
      </c>
      <c r="C531" s="646"/>
      <c r="D531" s="646"/>
      <c r="E531" s="646"/>
      <c r="F531" s="258">
        <v>8316</v>
      </c>
      <c r="G531" s="258">
        <f>+F531*$X$1</f>
        <v>8316</v>
      </c>
      <c r="H531" s="576"/>
      <c r="I531" s="258"/>
      <c r="J531" s="576">
        <f t="shared" si="1708"/>
        <v>8746</v>
      </c>
      <c r="K531" s="258">
        <f t="shared" si="1701"/>
        <v>8746</v>
      </c>
      <c r="L531" s="576">
        <f t="shared" si="1709"/>
        <v>8716</v>
      </c>
      <c r="M531" s="258">
        <f t="shared" si="1673"/>
        <v>8716</v>
      </c>
      <c r="N531" s="576">
        <f t="shared" si="1710"/>
        <v>8666</v>
      </c>
      <c r="O531" s="258">
        <f t="shared" si="1711"/>
        <v>8666</v>
      </c>
      <c r="P531" s="576">
        <f t="shared" si="1712"/>
        <v>8626</v>
      </c>
      <c r="Q531" s="258">
        <f t="shared" si="1713"/>
        <v>8626</v>
      </c>
      <c r="R531" s="576">
        <f t="shared" si="1714"/>
        <v>8596</v>
      </c>
      <c r="S531" s="258">
        <f t="shared" si="1715"/>
        <v>8596</v>
      </c>
      <c r="T531" s="576">
        <f t="shared" si="1716"/>
        <v>8556</v>
      </c>
      <c r="U531" s="258">
        <f t="shared" si="1717"/>
        <v>8556</v>
      </c>
      <c r="V531" s="576">
        <f t="shared" si="1718"/>
        <v>8536</v>
      </c>
      <c r="W531" s="258">
        <f t="shared" si="1719"/>
        <v>8536</v>
      </c>
      <c r="X531" s="134"/>
      <c r="Y531" s="122"/>
      <c r="Z531" s="122"/>
      <c r="AA531" s="125"/>
      <c r="AB531" s="178" t="s">
        <v>261</v>
      </c>
    </row>
    <row r="532" spans="1:34" ht="12.6" customHeight="1" x14ac:dyDescent="0.2">
      <c r="A532" s="17"/>
      <c r="B532" s="654" t="s">
        <v>262</v>
      </c>
      <c r="C532" s="655"/>
      <c r="D532" s="655"/>
      <c r="E532" s="655"/>
      <c r="F532" s="257">
        <v>9240</v>
      </c>
      <c r="G532" s="257">
        <f>+F532*$X$1</f>
        <v>9240</v>
      </c>
      <c r="H532" s="559"/>
      <c r="I532" s="257"/>
      <c r="J532" s="559">
        <f t="shared" si="1708"/>
        <v>9670</v>
      </c>
      <c r="K532" s="257">
        <f t="shared" si="1701"/>
        <v>9670</v>
      </c>
      <c r="L532" s="559">
        <f t="shared" si="1709"/>
        <v>9640</v>
      </c>
      <c r="M532" s="257">
        <f t="shared" si="1673"/>
        <v>9640</v>
      </c>
      <c r="N532" s="559">
        <f t="shared" si="1710"/>
        <v>9590</v>
      </c>
      <c r="O532" s="257">
        <f t="shared" si="1711"/>
        <v>9590</v>
      </c>
      <c r="P532" s="559">
        <f t="shared" si="1712"/>
        <v>9550</v>
      </c>
      <c r="Q532" s="257">
        <f t="shared" si="1713"/>
        <v>9550</v>
      </c>
      <c r="R532" s="559">
        <f t="shared" si="1714"/>
        <v>9520</v>
      </c>
      <c r="S532" s="257">
        <f t="shared" si="1715"/>
        <v>9520</v>
      </c>
      <c r="T532" s="559">
        <f t="shared" si="1716"/>
        <v>9480</v>
      </c>
      <c r="U532" s="257">
        <f t="shared" si="1717"/>
        <v>9480</v>
      </c>
      <c r="V532" s="559">
        <f t="shared" si="1718"/>
        <v>9460</v>
      </c>
      <c r="W532" s="257">
        <f t="shared" si="1719"/>
        <v>9460</v>
      </c>
      <c r="X532" s="134"/>
      <c r="Y532" s="122"/>
      <c r="Z532" s="122"/>
      <c r="AA532" s="125"/>
      <c r="AB532" s="178" t="s">
        <v>263</v>
      </c>
    </row>
    <row r="533" spans="1:34" ht="12.6" customHeight="1" x14ac:dyDescent="0.2">
      <c r="A533" s="17"/>
      <c r="B533" s="645" t="s">
        <v>847</v>
      </c>
      <c r="C533" s="962"/>
      <c r="D533" s="962"/>
      <c r="E533" s="962"/>
      <c r="F533" s="258">
        <v>10500</v>
      </c>
      <c r="G533" s="258">
        <f t="shared" ref="G533:G535" si="1724">+F533*$X$1</f>
        <v>10500</v>
      </c>
      <c r="H533" s="576"/>
      <c r="I533" s="258"/>
      <c r="J533" s="576">
        <f t="shared" si="1708"/>
        <v>10930</v>
      </c>
      <c r="K533" s="258">
        <f t="shared" si="1701"/>
        <v>10930</v>
      </c>
      <c r="L533" s="576">
        <f t="shared" si="1709"/>
        <v>10900</v>
      </c>
      <c r="M533" s="258">
        <f t="shared" si="1673"/>
        <v>10900</v>
      </c>
      <c r="N533" s="576">
        <f t="shared" si="1710"/>
        <v>10850</v>
      </c>
      <c r="O533" s="258">
        <f t="shared" si="1711"/>
        <v>10850</v>
      </c>
      <c r="P533" s="576">
        <f t="shared" si="1712"/>
        <v>10810</v>
      </c>
      <c r="Q533" s="258">
        <f t="shared" si="1713"/>
        <v>10810</v>
      </c>
      <c r="R533" s="576">
        <f t="shared" si="1714"/>
        <v>10780</v>
      </c>
      <c r="S533" s="258">
        <f t="shared" si="1715"/>
        <v>10780</v>
      </c>
      <c r="T533" s="576">
        <f t="shared" si="1716"/>
        <v>10740</v>
      </c>
      <c r="U533" s="258">
        <f t="shared" si="1717"/>
        <v>10740</v>
      </c>
      <c r="V533" s="576">
        <f t="shared" si="1718"/>
        <v>10720</v>
      </c>
      <c r="W533" s="258">
        <f t="shared" si="1719"/>
        <v>10720</v>
      </c>
      <c r="X533" s="134"/>
      <c r="Y533" s="122"/>
      <c r="Z533" s="122"/>
      <c r="AA533" s="125"/>
      <c r="AB533" s="178" t="s">
        <v>846</v>
      </c>
    </row>
    <row r="534" spans="1:34" ht="12.6" customHeight="1" x14ac:dyDescent="0.2">
      <c r="A534" s="17"/>
      <c r="B534" s="654" t="s">
        <v>918</v>
      </c>
      <c r="C534" s="655"/>
      <c r="D534" s="655"/>
      <c r="E534" s="655"/>
      <c r="F534" s="333">
        <f>4.65*X2</f>
        <v>5998.5000000000009</v>
      </c>
      <c r="G534" s="257">
        <f t="shared" si="1724"/>
        <v>5998.5000000000009</v>
      </c>
      <c r="H534" s="559">
        <f t="shared" ref="H534:H538" si="1725">F534+600</f>
        <v>6598.5000000000009</v>
      </c>
      <c r="I534" s="257">
        <f t="shared" ref="I534:I535" si="1726">+H534*$X$1</f>
        <v>6598.5000000000009</v>
      </c>
      <c r="J534" s="559">
        <f>F534+410</f>
        <v>6408.5000000000009</v>
      </c>
      <c r="K534" s="257">
        <f t="shared" ref="K534:K535" si="1727">+J534*$X$1</f>
        <v>6408.5000000000009</v>
      </c>
      <c r="L534" s="559">
        <f>F534+360</f>
        <v>6358.5000000000009</v>
      </c>
      <c r="M534" s="257">
        <f t="shared" si="1673"/>
        <v>6358.5000000000009</v>
      </c>
      <c r="N534" s="559">
        <f>F534+320</f>
        <v>6318.5000000000009</v>
      </c>
      <c r="O534" s="257">
        <f t="shared" ref="O534:O535" si="1728">+N534*$X$1</f>
        <v>6318.5000000000009</v>
      </c>
      <c r="P534" s="559">
        <f>F534+290</f>
        <v>6288.5000000000009</v>
      </c>
      <c r="Q534" s="257">
        <f t="shared" ref="Q534:Q535" si="1729">+P534*$X$1</f>
        <v>6288.5000000000009</v>
      </c>
      <c r="R534" s="559">
        <f>F534+270</f>
        <v>6268.5000000000009</v>
      </c>
      <c r="S534" s="257">
        <f t="shared" ref="S534:S535" si="1730">+R534*$X$1</f>
        <v>6268.5000000000009</v>
      </c>
      <c r="T534" s="559">
        <f>F534+230</f>
        <v>6228.5000000000009</v>
      </c>
      <c r="U534" s="257">
        <f t="shared" ref="U534:U535" si="1731">+T534*$X$1</f>
        <v>6228.5000000000009</v>
      </c>
      <c r="V534" s="559">
        <f>F534+210</f>
        <v>6208.5000000000009</v>
      </c>
      <c r="W534" s="257">
        <f t="shared" ref="W534:W535" si="1732">+V534*$X$1</f>
        <v>6208.5000000000009</v>
      </c>
      <c r="X534" s="959"/>
      <c r="Y534" s="960"/>
      <c r="Z534" s="960"/>
      <c r="AA534" s="961"/>
      <c r="AB534" s="178" t="s">
        <v>888</v>
      </c>
    </row>
    <row r="535" spans="1:34" ht="12.6" customHeight="1" x14ac:dyDescent="0.2">
      <c r="A535" s="17"/>
      <c r="B535" s="671" t="s">
        <v>889</v>
      </c>
      <c r="C535" s="672"/>
      <c r="D535" s="672"/>
      <c r="E535" s="672"/>
      <c r="F535" s="334">
        <f>3.61*X2</f>
        <v>4656.8999999999996</v>
      </c>
      <c r="G535" s="258">
        <f t="shared" si="1724"/>
        <v>4656.8999999999996</v>
      </c>
      <c r="H535" s="576">
        <f t="shared" si="1725"/>
        <v>5256.9</v>
      </c>
      <c r="I535" s="258">
        <f t="shared" si="1726"/>
        <v>5256.9</v>
      </c>
      <c r="J535" s="576">
        <f>F535+410</f>
        <v>5066.8999999999996</v>
      </c>
      <c r="K535" s="258">
        <f t="shared" si="1727"/>
        <v>5066.8999999999996</v>
      </c>
      <c r="L535" s="576">
        <f>F535+360</f>
        <v>5016.8999999999996</v>
      </c>
      <c r="M535" s="258">
        <f t="shared" si="1673"/>
        <v>5016.8999999999996</v>
      </c>
      <c r="N535" s="576">
        <f>F535+320</f>
        <v>4976.8999999999996</v>
      </c>
      <c r="O535" s="258">
        <f t="shared" si="1728"/>
        <v>4976.8999999999996</v>
      </c>
      <c r="P535" s="576">
        <f>F535+290</f>
        <v>4946.8999999999996</v>
      </c>
      <c r="Q535" s="258">
        <f t="shared" si="1729"/>
        <v>4946.8999999999996</v>
      </c>
      <c r="R535" s="576">
        <f>F535+270</f>
        <v>4926.8999999999996</v>
      </c>
      <c r="S535" s="258">
        <f t="shared" si="1730"/>
        <v>4926.8999999999996</v>
      </c>
      <c r="T535" s="576">
        <f>F535+230</f>
        <v>4886.8999999999996</v>
      </c>
      <c r="U535" s="258">
        <f t="shared" si="1731"/>
        <v>4886.8999999999996</v>
      </c>
      <c r="V535" s="576">
        <f>F535+210</f>
        <v>4866.8999999999996</v>
      </c>
      <c r="W535" s="258">
        <f t="shared" si="1732"/>
        <v>4866.8999999999996</v>
      </c>
      <c r="X535" s="959"/>
      <c r="Y535" s="960"/>
      <c r="Z535" s="960"/>
      <c r="AA535" s="961"/>
      <c r="AB535" s="178" t="s">
        <v>890</v>
      </c>
    </row>
    <row r="536" spans="1:34" ht="12.6" customHeight="1" x14ac:dyDescent="0.2">
      <c r="A536" s="17"/>
      <c r="B536" s="654" t="s">
        <v>522</v>
      </c>
      <c r="C536" s="655"/>
      <c r="D536" s="655"/>
      <c r="E536" s="655"/>
      <c r="F536" s="333">
        <f>3.82*X2</f>
        <v>4927.8</v>
      </c>
      <c r="G536" s="257">
        <f t="shared" ref="G536" si="1733">+F536*$X$1</f>
        <v>4927.8</v>
      </c>
      <c r="H536" s="559">
        <f t="shared" si="1725"/>
        <v>5527.8</v>
      </c>
      <c r="I536" s="257">
        <f t="shared" ref="I536:I538" si="1734">+H536*$X$1</f>
        <v>5527.8</v>
      </c>
      <c r="J536" s="559">
        <f>F536+350</f>
        <v>5277.8</v>
      </c>
      <c r="K536" s="257">
        <f t="shared" ref="K536:K539" si="1735">+J536*$X$1</f>
        <v>5277.8</v>
      </c>
      <c r="L536" s="559">
        <f>F536+300</f>
        <v>5227.8</v>
      </c>
      <c r="M536" s="257">
        <f t="shared" ref="M536" si="1736">+L536*$X$1</f>
        <v>5227.8</v>
      </c>
      <c r="N536" s="559">
        <f>F536+270</f>
        <v>5197.8</v>
      </c>
      <c r="O536" s="257">
        <f>+N536*$X$1</f>
        <v>5197.8</v>
      </c>
      <c r="P536" s="559">
        <f>F536+240</f>
        <v>5167.8</v>
      </c>
      <c r="Q536" s="257">
        <f t="shared" ref="Q536:Q539" si="1737">+P536*$X$1</f>
        <v>5167.8</v>
      </c>
      <c r="R536" s="559">
        <f>F536+220</f>
        <v>5147.8</v>
      </c>
      <c r="S536" s="257">
        <f t="shared" ref="S536:S539" si="1738">+R536*$X$1</f>
        <v>5147.8</v>
      </c>
      <c r="T536" s="559">
        <f>F536+190</f>
        <v>5117.8</v>
      </c>
      <c r="U536" s="257">
        <f t="shared" ref="U536:U539" si="1739">+T536*$X$1</f>
        <v>5117.8</v>
      </c>
      <c r="V536" s="559">
        <f>F536+150</f>
        <v>5077.8</v>
      </c>
      <c r="W536" s="257">
        <f t="shared" ref="W536:W539" si="1740">+V536*$X$1</f>
        <v>5077.8</v>
      </c>
      <c r="X536" s="959"/>
      <c r="Y536" s="960"/>
      <c r="Z536" s="960"/>
      <c r="AA536" s="961"/>
      <c r="AB536" s="178" t="s">
        <v>264</v>
      </c>
    </row>
    <row r="537" spans="1:34" ht="12.6" customHeight="1" x14ac:dyDescent="0.2">
      <c r="A537" s="17"/>
      <c r="B537" s="645" t="s">
        <v>591</v>
      </c>
      <c r="C537" s="646"/>
      <c r="D537" s="646"/>
      <c r="E537" s="646"/>
      <c r="F537" s="334">
        <f>3.82*X2</f>
        <v>4927.8</v>
      </c>
      <c r="G537" s="258">
        <f t="shared" ref="G537" si="1741">+F537*$X$1</f>
        <v>4927.8</v>
      </c>
      <c r="H537" s="576">
        <f t="shared" si="1725"/>
        <v>5527.8</v>
      </c>
      <c r="I537" s="258">
        <f t="shared" si="1734"/>
        <v>5527.8</v>
      </c>
      <c r="J537" s="576">
        <f>F537+410</f>
        <v>5337.8</v>
      </c>
      <c r="K537" s="258">
        <f t="shared" si="1735"/>
        <v>5337.8</v>
      </c>
      <c r="L537" s="576">
        <f>F537+360</f>
        <v>5287.8</v>
      </c>
      <c r="M537" s="258">
        <f>+L537*$X$1</f>
        <v>5287.8</v>
      </c>
      <c r="N537" s="576">
        <f>F537+320</f>
        <v>5247.8</v>
      </c>
      <c r="O537" s="258">
        <f t="shared" ref="O537:O539" si="1742">+N537*$X$1</f>
        <v>5247.8</v>
      </c>
      <c r="P537" s="576">
        <f>F537+290</f>
        <v>5217.8</v>
      </c>
      <c r="Q537" s="258">
        <f t="shared" si="1737"/>
        <v>5217.8</v>
      </c>
      <c r="R537" s="576">
        <f>F537+270</f>
        <v>5197.8</v>
      </c>
      <c r="S537" s="258">
        <f t="shared" si="1738"/>
        <v>5197.8</v>
      </c>
      <c r="T537" s="576">
        <f>F537+230</f>
        <v>5157.8</v>
      </c>
      <c r="U537" s="258">
        <f t="shared" si="1739"/>
        <v>5157.8</v>
      </c>
      <c r="V537" s="576">
        <f>F537+210</f>
        <v>5137.8</v>
      </c>
      <c r="W537" s="258">
        <f t="shared" si="1740"/>
        <v>5137.8</v>
      </c>
      <c r="X537" s="959"/>
      <c r="Y537" s="960"/>
      <c r="Z537" s="960"/>
      <c r="AA537" s="961"/>
      <c r="AB537" s="178" t="s">
        <v>592</v>
      </c>
    </row>
    <row r="538" spans="1:34" ht="12.6" customHeight="1" x14ac:dyDescent="0.2">
      <c r="A538" s="17"/>
      <c r="B538" s="654" t="s">
        <v>359</v>
      </c>
      <c r="C538" s="804"/>
      <c r="D538" s="804"/>
      <c r="E538" s="804"/>
      <c r="F538" s="333">
        <f>3.116*X2</f>
        <v>4019.6400000000003</v>
      </c>
      <c r="G538" s="257">
        <f t="shared" ref="G538" si="1743">+F538*$X$1</f>
        <v>4019.6400000000003</v>
      </c>
      <c r="H538" s="559">
        <f t="shared" si="1725"/>
        <v>4619.6400000000003</v>
      </c>
      <c r="I538" s="257">
        <f t="shared" si="1734"/>
        <v>4619.6400000000003</v>
      </c>
      <c r="J538" s="559">
        <f>F538+410</f>
        <v>4429.6400000000003</v>
      </c>
      <c r="K538" s="257">
        <f t="shared" si="1735"/>
        <v>4429.6400000000003</v>
      </c>
      <c r="L538" s="559">
        <f>F538+360</f>
        <v>4379.6400000000003</v>
      </c>
      <c r="M538" s="257">
        <f>+L538*$X$1</f>
        <v>4379.6400000000003</v>
      </c>
      <c r="N538" s="559">
        <f>F538+320</f>
        <v>4339.6400000000003</v>
      </c>
      <c r="O538" s="257">
        <f t="shared" si="1742"/>
        <v>4339.6400000000003</v>
      </c>
      <c r="P538" s="559">
        <f>F538+290</f>
        <v>4309.6400000000003</v>
      </c>
      <c r="Q538" s="257">
        <f t="shared" si="1737"/>
        <v>4309.6400000000003</v>
      </c>
      <c r="R538" s="559">
        <f>F538+270</f>
        <v>4289.6400000000003</v>
      </c>
      <c r="S538" s="257">
        <f t="shared" si="1738"/>
        <v>4289.6400000000003</v>
      </c>
      <c r="T538" s="559">
        <f>F538+230</f>
        <v>4249.6400000000003</v>
      </c>
      <c r="U538" s="257">
        <f t="shared" si="1739"/>
        <v>4249.6400000000003</v>
      </c>
      <c r="V538" s="559">
        <f>F538+210</f>
        <v>4229.6400000000003</v>
      </c>
      <c r="W538" s="257">
        <f t="shared" si="1740"/>
        <v>4229.6400000000003</v>
      </c>
      <c r="X538" s="959"/>
      <c r="Y538" s="960"/>
      <c r="Z538" s="960"/>
      <c r="AA538" s="961"/>
      <c r="AB538" s="178" t="s">
        <v>421</v>
      </c>
    </row>
    <row r="539" spans="1:34" ht="12.6" customHeight="1" x14ac:dyDescent="0.2">
      <c r="A539" s="17"/>
      <c r="B539" s="645" t="s">
        <v>629</v>
      </c>
      <c r="C539" s="709"/>
      <c r="D539" s="709"/>
      <c r="E539" s="709"/>
      <c r="F539" s="334">
        <f>4.9*X2</f>
        <v>6321.0000000000009</v>
      </c>
      <c r="G539" s="258">
        <f t="shared" ref="G539" si="1744">+F539*$X$1</f>
        <v>6321.0000000000009</v>
      </c>
      <c r="H539" s="576"/>
      <c r="I539" s="258"/>
      <c r="J539" s="576">
        <f>F539+410</f>
        <v>6731.0000000000009</v>
      </c>
      <c r="K539" s="258">
        <f t="shared" si="1735"/>
        <v>6731.0000000000009</v>
      </c>
      <c r="L539" s="576">
        <f>F539+360</f>
        <v>6681.0000000000009</v>
      </c>
      <c r="M539" s="258">
        <f>+L539*$X$1</f>
        <v>6681.0000000000009</v>
      </c>
      <c r="N539" s="576">
        <f>F539+320</f>
        <v>6641.0000000000009</v>
      </c>
      <c r="O539" s="258">
        <f t="shared" si="1742"/>
        <v>6641.0000000000009</v>
      </c>
      <c r="P539" s="576">
        <f>F539+290</f>
        <v>6611.0000000000009</v>
      </c>
      <c r="Q539" s="258">
        <f t="shared" si="1737"/>
        <v>6611.0000000000009</v>
      </c>
      <c r="R539" s="576">
        <f>F539+270</f>
        <v>6591.0000000000009</v>
      </c>
      <c r="S539" s="258">
        <f t="shared" si="1738"/>
        <v>6591.0000000000009</v>
      </c>
      <c r="T539" s="576">
        <f>F539+230</f>
        <v>6551.0000000000009</v>
      </c>
      <c r="U539" s="258">
        <f t="shared" si="1739"/>
        <v>6551.0000000000009</v>
      </c>
      <c r="V539" s="576">
        <f>F539+210</f>
        <v>6531.0000000000009</v>
      </c>
      <c r="W539" s="258">
        <f t="shared" si="1740"/>
        <v>6531.0000000000009</v>
      </c>
      <c r="X539" s="959"/>
      <c r="Y539" s="960"/>
      <c r="Z539" s="960"/>
      <c r="AA539" s="961"/>
      <c r="AB539" s="178" t="s">
        <v>630</v>
      </c>
    </row>
    <row r="540" spans="1:34" ht="14.25" customHeight="1" x14ac:dyDescent="0.2">
      <c r="A540" s="94"/>
      <c r="B540" s="213"/>
      <c r="C540" s="59"/>
      <c r="D540" s="59"/>
      <c r="E540" s="59"/>
      <c r="F540" s="117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214"/>
      <c r="Y540" s="215"/>
      <c r="Z540" s="215"/>
      <c r="AA540" s="214"/>
      <c r="AB540" s="36"/>
      <c r="AC540" s="62"/>
    </row>
    <row r="541" spans="1:34" ht="15.75" customHeight="1" x14ac:dyDescent="0.2">
      <c r="B541" s="814" t="s">
        <v>452</v>
      </c>
      <c r="C541" s="815"/>
      <c r="D541" s="815"/>
      <c r="E541" s="815"/>
      <c r="F541" s="815"/>
      <c r="G541" s="815"/>
      <c r="H541" s="815"/>
      <c r="I541" s="815"/>
      <c r="J541" s="815"/>
      <c r="K541" s="815"/>
      <c r="L541" s="815"/>
      <c r="M541" s="815"/>
      <c r="N541" s="815"/>
      <c r="O541" s="815"/>
      <c r="P541" s="815"/>
      <c r="Q541" s="815"/>
      <c r="R541" s="815"/>
      <c r="S541" s="815"/>
      <c r="T541" s="815"/>
      <c r="U541" s="815"/>
      <c r="V541" s="815"/>
      <c r="W541" s="815"/>
      <c r="AB541" s="4"/>
      <c r="AF541" s="694"/>
      <c r="AG541" s="695"/>
      <c r="AH541" s="695"/>
    </row>
    <row r="542" spans="1:34" ht="12" customHeight="1" x14ac:dyDescent="0.2">
      <c r="B542" s="808" t="s">
        <v>11</v>
      </c>
      <c r="C542" s="808" t="s">
        <v>12</v>
      </c>
      <c r="D542" s="809"/>
      <c r="E542" s="809"/>
      <c r="F542" s="729" t="s">
        <v>265</v>
      </c>
      <c r="G542" s="729" t="s">
        <v>13</v>
      </c>
      <c r="H542" s="700" t="s">
        <v>960</v>
      </c>
      <c r="I542" s="700"/>
      <c r="J542" s="701"/>
      <c r="K542" s="701"/>
      <c r="L542" s="701"/>
      <c r="M542" s="701"/>
      <c r="N542" s="701"/>
      <c r="O542" s="701"/>
      <c r="P542" s="701"/>
      <c r="Q542" s="701"/>
      <c r="R542" s="701"/>
      <c r="S542" s="701"/>
      <c r="T542" s="701"/>
      <c r="U542" s="701"/>
      <c r="V542" s="701"/>
      <c r="W542" s="701"/>
      <c r="X542" s="647" t="s">
        <v>14</v>
      </c>
      <c r="Y542" s="648"/>
      <c r="Z542" s="648"/>
      <c r="AA542" s="649"/>
      <c r="AB542" s="692" t="s">
        <v>15</v>
      </c>
      <c r="AF542" s="694" t="s">
        <v>3</v>
      </c>
      <c r="AG542" s="695"/>
      <c r="AH542" s="695"/>
    </row>
    <row r="543" spans="1:34" ht="12" customHeight="1" x14ac:dyDescent="0.2">
      <c r="B543" s="809"/>
      <c r="C543" s="809"/>
      <c r="D543" s="809"/>
      <c r="E543" s="809"/>
      <c r="F543" s="730"/>
      <c r="G543" s="730"/>
      <c r="H543" s="414"/>
      <c r="I543" s="413" t="s">
        <v>517</v>
      </c>
      <c r="J543" s="414"/>
      <c r="K543" s="413" t="s">
        <v>266</v>
      </c>
      <c r="L543" s="414"/>
      <c r="M543" s="413" t="s">
        <v>267</v>
      </c>
      <c r="N543" s="414"/>
      <c r="O543" s="413" t="s">
        <v>519</v>
      </c>
      <c r="P543" s="414"/>
      <c r="Q543" s="413" t="s">
        <v>17</v>
      </c>
      <c r="R543" s="414"/>
      <c r="S543" s="413" t="s">
        <v>18</v>
      </c>
      <c r="T543" s="414"/>
      <c r="U543" s="413" t="s">
        <v>19</v>
      </c>
      <c r="V543" s="414"/>
      <c r="W543" s="413" t="s">
        <v>520</v>
      </c>
      <c r="X543" s="650"/>
      <c r="Y543" s="651"/>
      <c r="Z543" s="651"/>
      <c r="AA543" s="652"/>
      <c r="AB543" s="693"/>
    </row>
    <row r="544" spans="1:34" ht="12" customHeight="1" x14ac:dyDescent="0.2">
      <c r="A544" s="4"/>
      <c r="B544" s="813" t="s">
        <v>691</v>
      </c>
      <c r="C544" s="714"/>
      <c r="D544" s="714"/>
      <c r="E544" s="714"/>
      <c r="F544" s="273">
        <f>8*X2</f>
        <v>10320</v>
      </c>
      <c r="G544" s="273">
        <f t="shared" ref="G544" si="1745">+F544*$X$1</f>
        <v>10320</v>
      </c>
      <c r="H544" s="93">
        <f>F544+6000</f>
        <v>16320</v>
      </c>
      <c r="I544" s="273">
        <f t="shared" ref="I544" si="1746">+H544*$X$1</f>
        <v>16320</v>
      </c>
      <c r="J544" s="93">
        <f>F544+2000</f>
        <v>12320</v>
      </c>
      <c r="K544" s="273">
        <f t="shared" ref="K544" si="1747">+J544*$X$1</f>
        <v>12320</v>
      </c>
      <c r="L544" s="93">
        <f>F544+1700</f>
        <v>12020</v>
      </c>
      <c r="M544" s="273">
        <f t="shared" ref="M544" si="1748">+L544*$X$1</f>
        <v>12020</v>
      </c>
      <c r="N544" s="93">
        <f>F544+1550</f>
        <v>11870</v>
      </c>
      <c r="O544" s="273">
        <f t="shared" ref="O544" si="1749">+N544*$X$1</f>
        <v>11870</v>
      </c>
      <c r="P544" s="93">
        <f>F544+1350</f>
        <v>11670</v>
      </c>
      <c r="Q544" s="273">
        <f t="shared" ref="Q544" si="1750">+P544*$X$1</f>
        <v>11670</v>
      </c>
      <c r="R544" s="93">
        <f>F544+1200</f>
        <v>11520</v>
      </c>
      <c r="S544" s="273">
        <f t="shared" ref="S544" si="1751">+R544*$X$1</f>
        <v>11520</v>
      </c>
      <c r="T544" s="93">
        <f>F544+1050</f>
        <v>11370</v>
      </c>
      <c r="U544" s="273">
        <f t="shared" ref="U544" si="1752">+T544*$X$1</f>
        <v>11370</v>
      </c>
      <c r="V544" s="93">
        <f>F544+900</f>
        <v>11220</v>
      </c>
      <c r="W544" s="273">
        <f t="shared" ref="W544" si="1753">+V544*$X$1</f>
        <v>11220</v>
      </c>
      <c r="X544" s="127"/>
      <c r="Y544" s="122"/>
      <c r="Z544" s="128"/>
      <c r="AA544" s="129"/>
      <c r="AB544" s="367" t="s">
        <v>695</v>
      </c>
    </row>
    <row r="545" spans="1:34" ht="12" customHeight="1" x14ac:dyDescent="0.2">
      <c r="A545" s="4"/>
      <c r="B545" s="816" t="s">
        <v>690</v>
      </c>
      <c r="C545" s="797"/>
      <c r="D545" s="797"/>
      <c r="E545" s="797"/>
      <c r="F545" s="283">
        <f>8*X2</f>
        <v>10320</v>
      </c>
      <c r="G545" s="283">
        <f t="shared" ref="G545" si="1754">+F545*$X$1</f>
        <v>10320</v>
      </c>
      <c r="H545" s="92">
        <f>F545+5000</f>
        <v>15320</v>
      </c>
      <c r="I545" s="283">
        <f t="shared" ref="I545" si="1755">+H545*$X$1</f>
        <v>15320</v>
      </c>
      <c r="J545" s="92">
        <f>F545+1200</f>
        <v>11520</v>
      </c>
      <c r="K545" s="283">
        <f t="shared" ref="K545" si="1756">+J545*$X$1</f>
        <v>11520</v>
      </c>
      <c r="L545" s="92">
        <f>F545+1000</f>
        <v>11320</v>
      </c>
      <c r="M545" s="283">
        <f t="shared" ref="M545" si="1757">+L545*$X$1</f>
        <v>11320</v>
      </c>
      <c r="N545" s="92">
        <f>F545+850</f>
        <v>11170</v>
      </c>
      <c r="O545" s="283">
        <f t="shared" ref="O545" si="1758">+N545*$X$1</f>
        <v>11170</v>
      </c>
      <c r="P545" s="92">
        <f>F545+740</f>
        <v>11060</v>
      </c>
      <c r="Q545" s="283">
        <f t="shared" ref="Q545" si="1759">+P545*$X$1</f>
        <v>11060</v>
      </c>
      <c r="R545" s="92">
        <f>F545+650</f>
        <v>10970</v>
      </c>
      <c r="S545" s="283">
        <f t="shared" ref="S545" si="1760">+R545*$X$1</f>
        <v>10970</v>
      </c>
      <c r="T545" s="92">
        <f>F545+560</f>
        <v>10880</v>
      </c>
      <c r="U545" s="283">
        <f t="shared" ref="U545" si="1761">+T545*$X$1</f>
        <v>10880</v>
      </c>
      <c r="V545" s="92">
        <f>F545+450</f>
        <v>10770</v>
      </c>
      <c r="W545" s="283">
        <f t="shared" ref="W545" si="1762">+V545*$X$1</f>
        <v>10770</v>
      </c>
      <c r="X545" s="127"/>
      <c r="Y545" s="122"/>
      <c r="Z545" s="128"/>
      <c r="AA545" s="129"/>
      <c r="AB545" s="353">
        <v>873</v>
      </c>
    </row>
    <row r="546" spans="1:34" ht="12" customHeight="1" x14ac:dyDescent="0.2">
      <c r="A546" s="4"/>
      <c r="B546" s="813" t="s">
        <v>645</v>
      </c>
      <c r="C546" s="714"/>
      <c r="D546" s="714"/>
      <c r="E546" s="714"/>
      <c r="F546" s="273">
        <f>16.4*X2</f>
        <v>21155.999999999996</v>
      </c>
      <c r="G546" s="273">
        <f t="shared" ref="G546" si="1763">+F546*$X$1</f>
        <v>21155.999999999996</v>
      </c>
      <c r="H546" s="93">
        <f>F546+5000</f>
        <v>26155.999999999996</v>
      </c>
      <c r="I546" s="273">
        <f t="shared" ref="I546:I547" si="1764">+H546*$X$1</f>
        <v>26155.999999999996</v>
      </c>
      <c r="J546" s="93">
        <f>F546+1200</f>
        <v>22355.999999999996</v>
      </c>
      <c r="K546" s="273">
        <f t="shared" ref="K546:K547" si="1765">+J546*$X$1</f>
        <v>22355.999999999996</v>
      </c>
      <c r="L546" s="93">
        <f>F546+1000</f>
        <v>22155.999999999996</v>
      </c>
      <c r="M546" s="273">
        <f t="shared" ref="M546:M547" si="1766">+L546*$X$1</f>
        <v>22155.999999999996</v>
      </c>
      <c r="N546" s="93">
        <f>F546+850</f>
        <v>22005.999999999996</v>
      </c>
      <c r="O546" s="273">
        <f t="shared" ref="O546:O547" si="1767">+N546*$X$1</f>
        <v>22005.999999999996</v>
      </c>
      <c r="P546" s="93">
        <f>F546+740</f>
        <v>21895.999999999996</v>
      </c>
      <c r="Q546" s="273">
        <f t="shared" ref="Q546:Q547" si="1768">+P546*$X$1</f>
        <v>21895.999999999996</v>
      </c>
      <c r="R546" s="93">
        <f>F546+650</f>
        <v>21805.999999999996</v>
      </c>
      <c r="S546" s="273">
        <f t="shared" ref="S546:S547" si="1769">+R546*$X$1</f>
        <v>21805.999999999996</v>
      </c>
      <c r="T546" s="93">
        <f>F546+560</f>
        <v>21715.999999999996</v>
      </c>
      <c r="U546" s="273">
        <f t="shared" ref="U546:U547" si="1770">+T546*$X$1</f>
        <v>21715.999999999996</v>
      </c>
      <c r="V546" s="93">
        <f>F546+450</f>
        <v>21605.999999999996</v>
      </c>
      <c r="W546" s="273">
        <f t="shared" ref="W546:W547" si="1771">+V546*$X$1</f>
        <v>21605.999999999996</v>
      </c>
      <c r="X546" s="127"/>
      <c r="Y546" s="122"/>
      <c r="Z546" s="128"/>
      <c r="AA546" s="129"/>
      <c r="AB546" s="353">
        <v>874</v>
      </c>
    </row>
    <row r="547" spans="1:34" ht="12.6" customHeight="1" x14ac:dyDescent="0.2">
      <c r="A547" s="4"/>
      <c r="B547" s="816" t="s">
        <v>613</v>
      </c>
      <c r="C547" s="797"/>
      <c r="D547" s="797"/>
      <c r="E547" s="797"/>
      <c r="F547" s="283">
        <f>9.8*X2</f>
        <v>12642.000000000002</v>
      </c>
      <c r="G547" s="283">
        <f t="shared" ref="G547:G548" si="1772">+F547*$X$1</f>
        <v>12642.000000000002</v>
      </c>
      <c r="H547" s="92">
        <f>F547+6000</f>
        <v>18642</v>
      </c>
      <c r="I547" s="283">
        <f t="shared" si="1764"/>
        <v>18642</v>
      </c>
      <c r="J547" s="92">
        <f>F547+2000</f>
        <v>14642.000000000002</v>
      </c>
      <c r="K547" s="283">
        <f t="shared" si="1765"/>
        <v>14642.000000000002</v>
      </c>
      <c r="L547" s="92">
        <f>F547+1700</f>
        <v>14342.000000000002</v>
      </c>
      <c r="M547" s="283">
        <f t="shared" si="1766"/>
        <v>14342.000000000002</v>
      </c>
      <c r="N547" s="92">
        <f>F547+1550</f>
        <v>14192.000000000002</v>
      </c>
      <c r="O547" s="283">
        <f t="shared" si="1767"/>
        <v>14192.000000000002</v>
      </c>
      <c r="P547" s="92">
        <f>F547+1350</f>
        <v>13992.000000000002</v>
      </c>
      <c r="Q547" s="283">
        <f t="shared" si="1768"/>
        <v>13992.000000000002</v>
      </c>
      <c r="R547" s="92">
        <f>F547+1200</f>
        <v>13842.000000000002</v>
      </c>
      <c r="S547" s="283">
        <f t="shared" si="1769"/>
        <v>13842.000000000002</v>
      </c>
      <c r="T547" s="92">
        <f>F547+1050</f>
        <v>13692.000000000002</v>
      </c>
      <c r="U547" s="283">
        <f t="shared" si="1770"/>
        <v>13692.000000000002</v>
      </c>
      <c r="V547" s="92">
        <f>F547+900</f>
        <v>13542.000000000002</v>
      </c>
      <c r="W547" s="283">
        <f t="shared" si="1771"/>
        <v>13542.000000000002</v>
      </c>
      <c r="X547" s="127"/>
      <c r="Y547" s="122"/>
      <c r="Z547" s="128"/>
      <c r="AA547" s="129"/>
      <c r="AB547" s="353" t="s">
        <v>623</v>
      </c>
    </row>
    <row r="548" spans="1:34" ht="12" customHeight="1" x14ac:dyDescent="0.2">
      <c r="A548" s="4"/>
      <c r="B548" s="802" t="s">
        <v>614</v>
      </c>
      <c r="C548" s="655"/>
      <c r="D548" s="655"/>
      <c r="E548" s="655"/>
      <c r="F548" s="273">
        <f>9.8*X2</f>
        <v>12642.000000000002</v>
      </c>
      <c r="G548" s="273">
        <f t="shared" si="1772"/>
        <v>12642.000000000002</v>
      </c>
      <c r="H548" s="93">
        <f>F548+5000</f>
        <v>17642</v>
      </c>
      <c r="I548" s="273">
        <f t="shared" ref="I548:I550" si="1773">+H548*$X$1</f>
        <v>17642</v>
      </c>
      <c r="J548" s="93">
        <f>F548+1200</f>
        <v>13842.000000000002</v>
      </c>
      <c r="K548" s="273">
        <f t="shared" ref="K548:K550" si="1774">+J548*$X$1</f>
        <v>13842.000000000002</v>
      </c>
      <c r="L548" s="93">
        <f>F548+1000</f>
        <v>13642.000000000002</v>
      </c>
      <c r="M548" s="273">
        <f t="shared" ref="M548:M550" si="1775">+L548*$X$1</f>
        <v>13642.000000000002</v>
      </c>
      <c r="N548" s="93">
        <f>F548+850</f>
        <v>13492.000000000002</v>
      </c>
      <c r="O548" s="273">
        <f t="shared" ref="O548:O550" si="1776">+N548*$X$1</f>
        <v>13492.000000000002</v>
      </c>
      <c r="P548" s="93">
        <f>F548+740</f>
        <v>13382.000000000002</v>
      </c>
      <c r="Q548" s="273">
        <f t="shared" ref="Q548:Q550" si="1777">+P548*$X$1</f>
        <v>13382.000000000002</v>
      </c>
      <c r="R548" s="93">
        <f>F548+650</f>
        <v>13292.000000000002</v>
      </c>
      <c r="S548" s="273">
        <f t="shared" ref="S548:S550" si="1778">+R548*$X$1</f>
        <v>13292.000000000002</v>
      </c>
      <c r="T548" s="93">
        <f>F548+560</f>
        <v>13202.000000000002</v>
      </c>
      <c r="U548" s="273">
        <f t="shared" ref="U548:U550" si="1779">+T548*$X$1</f>
        <v>13202.000000000002</v>
      </c>
      <c r="V548" s="93">
        <f>F548+450</f>
        <v>13092.000000000002</v>
      </c>
      <c r="W548" s="273">
        <f t="shared" ref="W548:W550" si="1780">+V548*$X$1</f>
        <v>13092.000000000002</v>
      </c>
      <c r="X548" s="127"/>
      <c r="Y548" s="122"/>
      <c r="Z548" s="128"/>
      <c r="AA548" s="129"/>
      <c r="AB548" s="353">
        <v>875</v>
      </c>
    </row>
    <row r="549" spans="1:34" ht="12.6" customHeight="1" x14ac:dyDescent="0.2">
      <c r="A549" s="4"/>
      <c r="B549" s="816" t="s">
        <v>692</v>
      </c>
      <c r="C549" s="797"/>
      <c r="D549" s="797"/>
      <c r="E549" s="797"/>
      <c r="F549" s="283">
        <f>18.1*X2</f>
        <v>23349.000000000004</v>
      </c>
      <c r="G549" s="283">
        <f t="shared" ref="G549" si="1781">+F549*$X$1</f>
        <v>23349.000000000004</v>
      </c>
      <c r="H549" s="92">
        <f>F549+5000</f>
        <v>28349.000000000004</v>
      </c>
      <c r="I549" s="283">
        <f t="shared" si="1773"/>
        <v>28349.000000000004</v>
      </c>
      <c r="J549" s="92">
        <f>F549+1200</f>
        <v>24549.000000000004</v>
      </c>
      <c r="K549" s="283">
        <f t="shared" si="1774"/>
        <v>24549.000000000004</v>
      </c>
      <c r="L549" s="92">
        <f>F549+1000</f>
        <v>24349.000000000004</v>
      </c>
      <c r="M549" s="283">
        <f t="shared" si="1775"/>
        <v>24349.000000000004</v>
      </c>
      <c r="N549" s="92">
        <f>F549+850</f>
        <v>24199.000000000004</v>
      </c>
      <c r="O549" s="283">
        <f t="shared" si="1776"/>
        <v>24199.000000000004</v>
      </c>
      <c r="P549" s="92">
        <f>F549+740</f>
        <v>24089.000000000004</v>
      </c>
      <c r="Q549" s="283">
        <f t="shared" si="1777"/>
        <v>24089.000000000004</v>
      </c>
      <c r="R549" s="92">
        <f>F549+650</f>
        <v>23999.000000000004</v>
      </c>
      <c r="S549" s="283">
        <f t="shared" si="1778"/>
        <v>23999.000000000004</v>
      </c>
      <c r="T549" s="92">
        <f>F549+560</f>
        <v>23909.000000000004</v>
      </c>
      <c r="U549" s="283">
        <f t="shared" si="1779"/>
        <v>23909.000000000004</v>
      </c>
      <c r="V549" s="92">
        <f>F549+450</f>
        <v>23799.000000000004</v>
      </c>
      <c r="W549" s="283">
        <f t="shared" si="1780"/>
        <v>23799.000000000004</v>
      </c>
      <c r="X549" s="127"/>
      <c r="Y549" s="122"/>
      <c r="Z549" s="128"/>
      <c r="AA549" s="129"/>
      <c r="AB549" s="353">
        <v>876</v>
      </c>
    </row>
    <row r="550" spans="1:34" ht="12.6" customHeight="1" x14ac:dyDescent="0.2">
      <c r="A550" s="4"/>
      <c r="B550" s="813" t="s">
        <v>646</v>
      </c>
      <c r="C550" s="714"/>
      <c r="D550" s="714"/>
      <c r="E550" s="714"/>
      <c r="F550" s="273">
        <f>15.37*X2</f>
        <v>19827.3</v>
      </c>
      <c r="G550" s="273">
        <f t="shared" ref="G550" si="1782">+F550*$X$1</f>
        <v>19827.3</v>
      </c>
      <c r="H550" s="93">
        <f>F550+6000</f>
        <v>25827.3</v>
      </c>
      <c r="I550" s="273">
        <f t="shared" si="1773"/>
        <v>25827.3</v>
      </c>
      <c r="J550" s="93">
        <f>F550+2000</f>
        <v>21827.3</v>
      </c>
      <c r="K550" s="273">
        <f t="shared" si="1774"/>
        <v>21827.3</v>
      </c>
      <c r="L550" s="93">
        <f>F550+1700</f>
        <v>21527.3</v>
      </c>
      <c r="M550" s="273">
        <f t="shared" si="1775"/>
        <v>21527.3</v>
      </c>
      <c r="N550" s="93">
        <f>F550+1550</f>
        <v>21377.3</v>
      </c>
      <c r="O550" s="273">
        <f t="shared" si="1776"/>
        <v>21377.3</v>
      </c>
      <c r="P550" s="93">
        <f>F550+1350</f>
        <v>21177.3</v>
      </c>
      <c r="Q550" s="273">
        <f t="shared" si="1777"/>
        <v>21177.3</v>
      </c>
      <c r="R550" s="93">
        <f>F550+1200</f>
        <v>21027.3</v>
      </c>
      <c r="S550" s="273">
        <f t="shared" si="1778"/>
        <v>21027.3</v>
      </c>
      <c r="T550" s="93">
        <f>F550+1050</f>
        <v>20877.3</v>
      </c>
      <c r="U550" s="273">
        <f t="shared" si="1779"/>
        <v>20877.3</v>
      </c>
      <c r="V550" s="93">
        <f>F550+900</f>
        <v>20727.3</v>
      </c>
      <c r="W550" s="273">
        <f t="shared" si="1780"/>
        <v>20727.3</v>
      </c>
      <c r="X550" s="127"/>
      <c r="Y550" s="122"/>
      <c r="Z550" s="128"/>
      <c r="AA550" s="129"/>
      <c r="AB550" s="353" t="s">
        <v>578</v>
      </c>
    </row>
    <row r="551" spans="1:34" ht="12.6" customHeight="1" x14ac:dyDescent="0.2">
      <c r="A551" s="4"/>
      <c r="B551" s="816" t="s">
        <v>647</v>
      </c>
      <c r="C551" s="797"/>
      <c r="D551" s="797"/>
      <c r="E551" s="797"/>
      <c r="F551" s="283">
        <f>15.37*X2</f>
        <v>19827.3</v>
      </c>
      <c r="G551" s="283">
        <f t="shared" ref="G551" si="1783">+F551*$X$1</f>
        <v>19827.3</v>
      </c>
      <c r="H551" s="92">
        <f>F551+5000</f>
        <v>24827.3</v>
      </c>
      <c r="I551" s="283">
        <f t="shared" ref="I551:I552" si="1784">+H551*$X$1</f>
        <v>24827.3</v>
      </c>
      <c r="J551" s="92">
        <f>F551+1200</f>
        <v>21027.3</v>
      </c>
      <c r="K551" s="283">
        <f t="shared" ref="K551:K552" si="1785">+J551*$X$1</f>
        <v>21027.3</v>
      </c>
      <c r="L551" s="92">
        <f>F551+1000</f>
        <v>20827.3</v>
      </c>
      <c r="M551" s="283">
        <f t="shared" ref="M551:M552" si="1786">+L551*$X$1</f>
        <v>20827.3</v>
      </c>
      <c r="N551" s="92">
        <f>F551+850</f>
        <v>20677.3</v>
      </c>
      <c r="O551" s="283">
        <f t="shared" ref="O551:O552" si="1787">+N551*$X$1</f>
        <v>20677.3</v>
      </c>
      <c r="P551" s="92">
        <f>F551+740</f>
        <v>20567.3</v>
      </c>
      <c r="Q551" s="283">
        <f t="shared" ref="Q551:Q552" si="1788">+P551*$X$1</f>
        <v>20567.3</v>
      </c>
      <c r="R551" s="92">
        <f>F551+650</f>
        <v>20477.3</v>
      </c>
      <c r="S551" s="283">
        <f t="shared" ref="S551:S552" si="1789">+R551*$X$1</f>
        <v>20477.3</v>
      </c>
      <c r="T551" s="92">
        <f>F551+560</f>
        <v>20387.3</v>
      </c>
      <c r="U551" s="283">
        <f t="shared" ref="U551:U552" si="1790">+T551*$X$1</f>
        <v>20387.3</v>
      </c>
      <c r="V551" s="92">
        <f>F551+450</f>
        <v>20277.3</v>
      </c>
      <c r="W551" s="283">
        <f t="shared" ref="W551:W552" si="1791">+V551*$X$1</f>
        <v>20277.3</v>
      </c>
      <c r="X551" s="127"/>
      <c r="Y551" s="122"/>
      <c r="Z551" s="128"/>
      <c r="AA551" s="129"/>
      <c r="AB551" s="353">
        <v>878</v>
      </c>
    </row>
    <row r="552" spans="1:34" ht="12.6" customHeight="1" x14ac:dyDescent="0.2">
      <c r="A552" s="4"/>
      <c r="B552" s="813" t="s">
        <v>615</v>
      </c>
      <c r="C552" s="714"/>
      <c r="D552" s="714"/>
      <c r="E552" s="714"/>
      <c r="F552" s="273">
        <f>22.75*X2</f>
        <v>29347.5</v>
      </c>
      <c r="G552" s="273">
        <f t="shared" ref="G552" si="1792">+F552*$X$1</f>
        <v>29347.5</v>
      </c>
      <c r="H552" s="93">
        <f>F552+6000</f>
        <v>35347.5</v>
      </c>
      <c r="I552" s="273">
        <f t="shared" si="1784"/>
        <v>35347.5</v>
      </c>
      <c r="J552" s="93">
        <f>F552+2000</f>
        <v>31347.5</v>
      </c>
      <c r="K552" s="273">
        <f t="shared" si="1785"/>
        <v>31347.5</v>
      </c>
      <c r="L552" s="93">
        <f>F552+1700</f>
        <v>31047.5</v>
      </c>
      <c r="M552" s="273">
        <f t="shared" si="1786"/>
        <v>31047.5</v>
      </c>
      <c r="N552" s="93">
        <f>F552+1550</f>
        <v>30897.5</v>
      </c>
      <c r="O552" s="273">
        <f t="shared" si="1787"/>
        <v>30897.5</v>
      </c>
      <c r="P552" s="93">
        <f>F552+1350</f>
        <v>30697.5</v>
      </c>
      <c r="Q552" s="273">
        <f t="shared" si="1788"/>
        <v>30697.5</v>
      </c>
      <c r="R552" s="93">
        <f>F552+1200</f>
        <v>30547.5</v>
      </c>
      <c r="S552" s="273">
        <f t="shared" si="1789"/>
        <v>30547.5</v>
      </c>
      <c r="T552" s="93">
        <f>F552+1050</f>
        <v>30397.5</v>
      </c>
      <c r="U552" s="273">
        <f t="shared" si="1790"/>
        <v>30397.5</v>
      </c>
      <c r="V552" s="93">
        <f>F552+900</f>
        <v>30247.5</v>
      </c>
      <c r="W552" s="273">
        <f t="shared" si="1791"/>
        <v>30247.5</v>
      </c>
      <c r="X552" s="127"/>
      <c r="Y552" s="122"/>
      <c r="Z552" s="128"/>
      <c r="AA552" s="129"/>
      <c r="AB552" s="353" t="s">
        <v>547</v>
      </c>
    </row>
    <row r="553" spans="1:34" ht="12.6" customHeight="1" x14ac:dyDescent="0.2">
      <c r="A553" s="4"/>
      <c r="B553" s="803" t="s">
        <v>616</v>
      </c>
      <c r="C553" s="709"/>
      <c r="D553" s="709"/>
      <c r="E553" s="709"/>
      <c r="F553" s="283">
        <f>22.75*X2</f>
        <v>29347.5</v>
      </c>
      <c r="G553" s="283">
        <f t="shared" ref="G553:G554" si="1793">+F553*$X$1</f>
        <v>29347.5</v>
      </c>
      <c r="H553" s="92">
        <f>F553+5000</f>
        <v>34347.5</v>
      </c>
      <c r="I553" s="283">
        <f t="shared" ref="I553:I554" si="1794">+H553*$X$1</f>
        <v>34347.5</v>
      </c>
      <c r="J553" s="92">
        <f>F553+1200</f>
        <v>30547.5</v>
      </c>
      <c r="K553" s="283">
        <f t="shared" ref="K553:K554" si="1795">+J553*$X$1</f>
        <v>30547.5</v>
      </c>
      <c r="L553" s="92">
        <f>F553+1000</f>
        <v>30347.5</v>
      </c>
      <c r="M553" s="283">
        <f t="shared" ref="M553:M554" si="1796">+L553*$X$1</f>
        <v>30347.5</v>
      </c>
      <c r="N553" s="92">
        <f>F553+850</f>
        <v>30197.5</v>
      </c>
      <c r="O553" s="283">
        <f t="shared" ref="O553:O554" si="1797">+N553*$X$1</f>
        <v>30197.5</v>
      </c>
      <c r="P553" s="92">
        <f>F553+740</f>
        <v>30087.5</v>
      </c>
      <c r="Q553" s="283">
        <f t="shared" ref="Q553:Q554" si="1798">+P553*$X$1</f>
        <v>30087.5</v>
      </c>
      <c r="R553" s="92">
        <f>F553+650</f>
        <v>29997.5</v>
      </c>
      <c r="S553" s="283">
        <f t="shared" ref="S553:S554" si="1799">+R553*$X$1</f>
        <v>29997.5</v>
      </c>
      <c r="T553" s="92">
        <f>F553+560</f>
        <v>29907.5</v>
      </c>
      <c r="U553" s="283">
        <f t="shared" ref="U553:U554" si="1800">+T553*$X$1</f>
        <v>29907.5</v>
      </c>
      <c r="V553" s="92">
        <f>F553+450</f>
        <v>29797.5</v>
      </c>
      <c r="W553" s="283">
        <f t="shared" ref="W553:W554" si="1801">+V553*$X$1</f>
        <v>29797.5</v>
      </c>
      <c r="X553" s="127"/>
      <c r="Y553" s="122"/>
      <c r="Z553" s="128"/>
      <c r="AA553" s="129"/>
      <c r="AB553" s="353">
        <v>880</v>
      </c>
    </row>
    <row r="554" spans="1:34" ht="12.6" customHeight="1" x14ac:dyDescent="0.2">
      <c r="A554" s="4"/>
      <c r="B554" s="813" t="s">
        <v>617</v>
      </c>
      <c r="C554" s="714"/>
      <c r="D554" s="714"/>
      <c r="E554" s="714"/>
      <c r="F554" s="273">
        <f>31.386*X2</f>
        <v>40487.94</v>
      </c>
      <c r="G554" s="273">
        <f t="shared" si="1793"/>
        <v>40487.94</v>
      </c>
      <c r="H554" s="93">
        <f>F554+6000</f>
        <v>46487.94</v>
      </c>
      <c r="I554" s="273">
        <f t="shared" si="1794"/>
        <v>46487.94</v>
      </c>
      <c r="J554" s="93">
        <f>F554+2000</f>
        <v>42487.94</v>
      </c>
      <c r="K554" s="273">
        <f t="shared" si="1795"/>
        <v>42487.94</v>
      </c>
      <c r="L554" s="93">
        <f>F554+1700</f>
        <v>42187.94</v>
      </c>
      <c r="M554" s="273">
        <f t="shared" si="1796"/>
        <v>42187.94</v>
      </c>
      <c r="N554" s="93">
        <f>F554+1550</f>
        <v>42037.94</v>
      </c>
      <c r="O554" s="273">
        <f t="shared" si="1797"/>
        <v>42037.94</v>
      </c>
      <c r="P554" s="93">
        <f>F554+1350</f>
        <v>41837.94</v>
      </c>
      <c r="Q554" s="273">
        <f t="shared" si="1798"/>
        <v>41837.94</v>
      </c>
      <c r="R554" s="93">
        <f>F554+1200</f>
        <v>41687.94</v>
      </c>
      <c r="S554" s="273">
        <f t="shared" si="1799"/>
        <v>41687.94</v>
      </c>
      <c r="T554" s="93">
        <f>F554+1050</f>
        <v>41537.94</v>
      </c>
      <c r="U554" s="273">
        <f t="shared" si="1800"/>
        <v>41537.94</v>
      </c>
      <c r="V554" s="93">
        <f>F554+900</f>
        <v>41387.94</v>
      </c>
      <c r="W554" s="273">
        <f t="shared" si="1801"/>
        <v>41387.94</v>
      </c>
      <c r="X554" s="127"/>
      <c r="Y554" s="122"/>
      <c r="Z554" s="128"/>
      <c r="AA554" s="129"/>
      <c r="AB554" s="353" t="s">
        <v>548</v>
      </c>
    </row>
    <row r="555" spans="1:34" ht="12.6" customHeight="1" x14ac:dyDescent="0.2">
      <c r="A555" s="4"/>
      <c r="B555" s="803" t="s">
        <v>618</v>
      </c>
      <c r="C555" s="646"/>
      <c r="D555" s="646"/>
      <c r="E555" s="646"/>
      <c r="F555" s="283">
        <f>31.386*X2</f>
        <v>40487.94</v>
      </c>
      <c r="G555" s="283">
        <f t="shared" ref="G555" si="1802">+F555*$X$1</f>
        <v>40487.94</v>
      </c>
      <c r="H555" s="92">
        <f>F555+5000</f>
        <v>45487.94</v>
      </c>
      <c r="I555" s="283">
        <f t="shared" ref="I555" si="1803">+H555*$X$1</f>
        <v>45487.94</v>
      </c>
      <c r="J555" s="92">
        <f>F555+1200</f>
        <v>41687.94</v>
      </c>
      <c r="K555" s="283">
        <f t="shared" ref="K555" si="1804">+J555*$X$1</f>
        <v>41687.94</v>
      </c>
      <c r="L555" s="92">
        <f>F555+1000</f>
        <v>41487.94</v>
      </c>
      <c r="M555" s="283">
        <f t="shared" ref="M555" si="1805">+L555*$X$1</f>
        <v>41487.94</v>
      </c>
      <c r="N555" s="92">
        <f>F555+850</f>
        <v>41337.94</v>
      </c>
      <c r="O555" s="283">
        <f t="shared" ref="O555" si="1806">+N555*$X$1</f>
        <v>41337.94</v>
      </c>
      <c r="P555" s="92">
        <f>F555+740</f>
        <v>41227.94</v>
      </c>
      <c r="Q555" s="283">
        <f t="shared" ref="Q555" si="1807">+P555*$X$1</f>
        <v>41227.94</v>
      </c>
      <c r="R555" s="92">
        <f>F555+650</f>
        <v>41137.94</v>
      </c>
      <c r="S555" s="283">
        <f t="shared" ref="S555" si="1808">+R555*$X$1</f>
        <v>41137.94</v>
      </c>
      <c r="T555" s="92">
        <f>F555+560</f>
        <v>41047.94</v>
      </c>
      <c r="U555" s="283">
        <f t="shared" ref="U555" si="1809">+T555*$X$1</f>
        <v>41047.94</v>
      </c>
      <c r="V555" s="92">
        <f>F555+450</f>
        <v>40937.94</v>
      </c>
      <c r="W555" s="283">
        <f t="shared" ref="W555" si="1810">+V555*$X$1</f>
        <v>40937.94</v>
      </c>
      <c r="X555" s="127"/>
      <c r="Y555" s="122"/>
      <c r="Z555" s="128"/>
      <c r="AA555" s="129"/>
      <c r="AB555" s="353">
        <v>881</v>
      </c>
    </row>
    <row r="556" spans="1:34" ht="12.6" customHeight="1" x14ac:dyDescent="0.2">
      <c r="A556" s="4"/>
      <c r="B556" s="98"/>
      <c r="C556" s="585"/>
      <c r="D556" s="585"/>
      <c r="E556" s="585"/>
      <c r="F556" s="376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4"/>
    </row>
    <row r="557" spans="1:34" ht="12.6" customHeight="1" x14ac:dyDescent="0.2">
      <c r="A557" s="4"/>
      <c r="B557" s="98"/>
      <c r="C557" s="585"/>
      <c r="D557" s="585"/>
      <c r="E557" s="585"/>
      <c r="F557" s="376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4"/>
    </row>
    <row r="558" spans="1:34" ht="12.6" customHeight="1" x14ac:dyDescent="0.2">
      <c r="A558" s="4"/>
      <c r="B558" s="98"/>
      <c r="C558" s="585"/>
      <c r="D558" s="585"/>
      <c r="E558" s="585"/>
      <c r="F558" s="376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4"/>
    </row>
    <row r="559" spans="1:34" ht="12" customHeight="1" x14ac:dyDescent="0.2">
      <c r="B559" s="808" t="s">
        <v>11</v>
      </c>
      <c r="C559" s="808" t="s">
        <v>12</v>
      </c>
      <c r="D559" s="809"/>
      <c r="E559" s="809"/>
      <c r="F559" s="729" t="s">
        <v>265</v>
      </c>
      <c r="G559" s="729" t="s">
        <v>13</v>
      </c>
      <c r="H559" s="700" t="s">
        <v>960</v>
      </c>
      <c r="I559" s="700"/>
      <c r="J559" s="701"/>
      <c r="K559" s="701"/>
      <c r="L559" s="701"/>
      <c r="M559" s="701"/>
      <c r="N559" s="701"/>
      <c r="O559" s="701"/>
      <c r="P559" s="701"/>
      <c r="Q559" s="701"/>
      <c r="R559" s="701"/>
      <c r="S559" s="701"/>
      <c r="T559" s="701"/>
      <c r="U559" s="701"/>
      <c r="V559" s="701"/>
      <c r="W559" s="701"/>
      <c r="X559" s="647" t="s">
        <v>14</v>
      </c>
      <c r="Y559" s="648"/>
      <c r="Z559" s="648"/>
      <c r="AA559" s="649"/>
      <c r="AB559" s="692" t="s">
        <v>15</v>
      </c>
      <c r="AF559" s="694" t="s">
        <v>3</v>
      </c>
      <c r="AG559" s="695"/>
      <c r="AH559" s="695"/>
    </row>
    <row r="560" spans="1:34" ht="12" customHeight="1" x14ac:dyDescent="0.2">
      <c r="B560" s="809"/>
      <c r="C560" s="809"/>
      <c r="D560" s="809"/>
      <c r="E560" s="809"/>
      <c r="F560" s="730"/>
      <c r="G560" s="730"/>
      <c r="H560" s="414"/>
      <c r="I560" s="413" t="s">
        <v>517</v>
      </c>
      <c r="J560" s="414"/>
      <c r="K560" s="413" t="s">
        <v>266</v>
      </c>
      <c r="L560" s="414"/>
      <c r="M560" s="413" t="s">
        <v>267</v>
      </c>
      <c r="N560" s="414"/>
      <c r="O560" s="413" t="s">
        <v>519</v>
      </c>
      <c r="P560" s="414"/>
      <c r="Q560" s="413" t="s">
        <v>17</v>
      </c>
      <c r="R560" s="414"/>
      <c r="S560" s="413" t="s">
        <v>18</v>
      </c>
      <c r="T560" s="414"/>
      <c r="U560" s="413" t="s">
        <v>19</v>
      </c>
      <c r="V560" s="414"/>
      <c r="W560" s="413" t="s">
        <v>520</v>
      </c>
      <c r="X560" s="650"/>
      <c r="Y560" s="651"/>
      <c r="Z560" s="651"/>
      <c r="AA560" s="652"/>
      <c r="AB560" s="693"/>
    </row>
    <row r="561" spans="1:28" ht="12.6" customHeight="1" x14ac:dyDescent="0.2">
      <c r="A561" s="4"/>
      <c r="B561" s="813" t="s">
        <v>619</v>
      </c>
      <c r="C561" s="714"/>
      <c r="D561" s="714"/>
      <c r="E561" s="714"/>
      <c r="F561" s="273">
        <f>19.4*X2</f>
        <v>25025.999999999996</v>
      </c>
      <c r="G561" s="273">
        <f>+F561*$X$1</f>
        <v>25025.999999999996</v>
      </c>
      <c r="H561" s="93">
        <f>F561+5000</f>
        <v>30025.999999999996</v>
      </c>
      <c r="I561" s="273">
        <f>+H561*$X$1</f>
        <v>30025.999999999996</v>
      </c>
      <c r="J561" s="93">
        <f>F561+1200</f>
        <v>26225.999999999996</v>
      </c>
      <c r="K561" s="273">
        <f>+J561*$X$1</f>
        <v>26225.999999999996</v>
      </c>
      <c r="L561" s="93">
        <f>F561+1000</f>
        <v>26025.999999999996</v>
      </c>
      <c r="M561" s="273">
        <f>+L561*$X$1</f>
        <v>26025.999999999996</v>
      </c>
      <c r="N561" s="93">
        <f>F561+850</f>
        <v>25875.999999999996</v>
      </c>
      <c r="O561" s="273">
        <f>+N561*$X$1</f>
        <v>25875.999999999996</v>
      </c>
      <c r="P561" s="93">
        <f>F561+740</f>
        <v>25765.999999999996</v>
      </c>
      <c r="Q561" s="273">
        <f>+P561*$X$1</f>
        <v>25765.999999999996</v>
      </c>
      <c r="R561" s="93">
        <f>F561+650</f>
        <v>25675.999999999996</v>
      </c>
      <c r="S561" s="273">
        <f>+R561*$X$1</f>
        <v>25675.999999999996</v>
      </c>
      <c r="T561" s="93">
        <f>F561+560</f>
        <v>25585.999999999996</v>
      </c>
      <c r="U561" s="273">
        <f>+T561*$X$1</f>
        <v>25585.999999999996</v>
      </c>
      <c r="V561" s="93">
        <f>F561+450</f>
        <v>25475.999999999996</v>
      </c>
      <c r="W561" s="273">
        <f>+V561*$X$1</f>
        <v>25475.999999999996</v>
      </c>
      <c r="X561" s="127"/>
      <c r="Y561" s="122"/>
      <c r="Z561" s="128"/>
      <c r="AA561" s="129"/>
      <c r="AB561" s="353">
        <v>882</v>
      </c>
    </row>
    <row r="562" spans="1:28" ht="12.6" customHeight="1" x14ac:dyDescent="0.2">
      <c r="A562" s="4"/>
      <c r="B562" s="816" t="s">
        <v>420</v>
      </c>
      <c r="C562" s="797"/>
      <c r="D562" s="797"/>
      <c r="E562" s="797"/>
      <c r="F562" s="283">
        <f>24*X2</f>
        <v>30960</v>
      </c>
      <c r="G562" s="283">
        <f t="shared" ref="G562" si="1811">+F562*$X$1</f>
        <v>30960</v>
      </c>
      <c r="H562" s="92">
        <f>F562+5000</f>
        <v>35960</v>
      </c>
      <c r="I562" s="283">
        <f>+H562*$X$1</f>
        <v>35960</v>
      </c>
      <c r="J562" s="92">
        <f>F562+1200</f>
        <v>32160</v>
      </c>
      <c r="K562" s="283">
        <f>+J562*$X$1</f>
        <v>32160</v>
      </c>
      <c r="L562" s="92">
        <f>F562+1000</f>
        <v>31960</v>
      </c>
      <c r="M562" s="283">
        <f>+L562*$X$1</f>
        <v>31960</v>
      </c>
      <c r="N562" s="92">
        <f>F562+850</f>
        <v>31810</v>
      </c>
      <c r="O562" s="283">
        <f>+N562*$X$1</f>
        <v>31810</v>
      </c>
      <c r="P562" s="92">
        <f>F562+740</f>
        <v>31700</v>
      </c>
      <c r="Q562" s="283">
        <f>+P562*$X$1</f>
        <v>31700</v>
      </c>
      <c r="R562" s="92">
        <f>F562+650</f>
        <v>31610</v>
      </c>
      <c r="S562" s="283">
        <f>+R562*$X$1</f>
        <v>31610</v>
      </c>
      <c r="T562" s="92">
        <f>F562+560</f>
        <v>31520</v>
      </c>
      <c r="U562" s="283">
        <f>+T562*$X$1</f>
        <v>31520</v>
      </c>
      <c r="V562" s="92">
        <f>F562+450</f>
        <v>31410</v>
      </c>
      <c r="W562" s="283">
        <f>+V562*$X$1</f>
        <v>31410</v>
      </c>
      <c r="X562" s="127"/>
      <c r="Y562" s="122"/>
      <c r="Z562" s="128"/>
      <c r="AA562" s="129"/>
      <c r="AB562" s="353">
        <v>883</v>
      </c>
    </row>
    <row r="563" spans="1:28" ht="12.6" customHeight="1" x14ac:dyDescent="0.2">
      <c r="A563" s="4"/>
      <c r="B563" s="802" t="s">
        <v>921</v>
      </c>
      <c r="C563" s="804"/>
      <c r="D563" s="804"/>
      <c r="E563" s="804"/>
      <c r="F563" s="257">
        <f>36.4*X2</f>
        <v>46956</v>
      </c>
      <c r="G563" s="257">
        <f>+F563*$X$1</f>
        <v>46956</v>
      </c>
      <c r="H563" s="93">
        <f>F563+5000</f>
        <v>51956</v>
      </c>
      <c r="I563" s="273">
        <f>+H563*$X$1</f>
        <v>51956</v>
      </c>
      <c r="J563" s="93">
        <f>F563+1200</f>
        <v>48156</v>
      </c>
      <c r="K563" s="273">
        <f>+J563*$X$1</f>
        <v>48156</v>
      </c>
      <c r="L563" s="93">
        <f>F563+1000</f>
        <v>47956</v>
      </c>
      <c r="M563" s="273">
        <f>+L563*$X$1</f>
        <v>47956</v>
      </c>
      <c r="N563" s="93">
        <f>F563+850</f>
        <v>47806</v>
      </c>
      <c r="O563" s="273">
        <f>+N563*$X$1</f>
        <v>47806</v>
      </c>
      <c r="P563" s="93">
        <f>F563+740</f>
        <v>47696</v>
      </c>
      <c r="Q563" s="273">
        <f>+P563*$X$1</f>
        <v>47696</v>
      </c>
      <c r="R563" s="93">
        <f>F563+650</f>
        <v>47606</v>
      </c>
      <c r="S563" s="273">
        <f>+R563*$X$1</f>
        <v>47606</v>
      </c>
      <c r="T563" s="93">
        <f>F563+560</f>
        <v>47516</v>
      </c>
      <c r="U563" s="273">
        <f>+T563*$X$1</f>
        <v>47516</v>
      </c>
      <c r="V563" s="93">
        <f>F563+450</f>
        <v>47406</v>
      </c>
      <c r="W563" s="273">
        <f>+V563*$X$1</f>
        <v>47406</v>
      </c>
      <c r="X563" s="127"/>
      <c r="Y563" s="122"/>
      <c r="Z563" s="128"/>
      <c r="AA563" s="129"/>
      <c r="AB563" s="353">
        <v>884</v>
      </c>
    </row>
    <row r="564" spans="1:28" ht="12.6" customHeight="1" x14ac:dyDescent="0.2">
      <c r="A564" s="4"/>
      <c r="B564" s="810" t="s">
        <v>702</v>
      </c>
      <c r="C564" s="669"/>
      <c r="D564" s="669"/>
      <c r="E564" s="670"/>
      <c r="F564" s="283">
        <f>16.15*X2</f>
        <v>20833.499999999996</v>
      </c>
      <c r="G564" s="283">
        <f>+F564*$X$1</f>
        <v>20833.499999999996</v>
      </c>
      <c r="H564" s="92">
        <f>F564+6000</f>
        <v>26833.499999999996</v>
      </c>
      <c r="I564" s="283">
        <f>+H564*$X$1</f>
        <v>26833.499999999996</v>
      </c>
      <c r="J564" s="92">
        <f>F564+2000</f>
        <v>22833.499999999996</v>
      </c>
      <c r="K564" s="283">
        <f>+J564*$X$1</f>
        <v>22833.499999999996</v>
      </c>
      <c r="L564" s="92">
        <f>F564+1700</f>
        <v>22533.499999999996</v>
      </c>
      <c r="M564" s="283">
        <f>+L564*$X$1</f>
        <v>22533.499999999996</v>
      </c>
      <c r="N564" s="92">
        <f>F564+1550</f>
        <v>22383.499999999996</v>
      </c>
      <c r="O564" s="283">
        <f>+N564*$X$1</f>
        <v>22383.499999999996</v>
      </c>
      <c r="P564" s="92">
        <f>F564+1350</f>
        <v>22183.499999999996</v>
      </c>
      <c r="Q564" s="283">
        <f>+P564*$X$1</f>
        <v>22183.499999999996</v>
      </c>
      <c r="R564" s="92">
        <f>F564+1200</f>
        <v>22033.499999999996</v>
      </c>
      <c r="S564" s="283">
        <f>+R564*$X$1</f>
        <v>22033.499999999996</v>
      </c>
      <c r="T564" s="92">
        <f>F564+1050</f>
        <v>21883.499999999996</v>
      </c>
      <c r="U564" s="283">
        <f>+T564*$X$1</f>
        <v>21883.499999999996</v>
      </c>
      <c r="V564" s="92">
        <f>F564+900</f>
        <v>21733.499999999996</v>
      </c>
      <c r="W564" s="283">
        <f>+V564*$X$1</f>
        <v>21733.499999999996</v>
      </c>
      <c r="X564" s="127"/>
      <c r="Y564" s="122"/>
      <c r="Z564" s="128"/>
      <c r="AA564" s="129"/>
      <c r="AB564" s="353" t="s">
        <v>701</v>
      </c>
    </row>
    <row r="565" spans="1:28" ht="12.6" customHeight="1" x14ac:dyDescent="0.2">
      <c r="A565" s="4"/>
      <c r="B565" s="958" t="s">
        <v>703</v>
      </c>
      <c r="C565" s="759"/>
      <c r="D565" s="759"/>
      <c r="E565" s="760"/>
      <c r="F565" s="273">
        <f>16.15*X2</f>
        <v>20833.499999999996</v>
      </c>
      <c r="G565" s="273">
        <f>+F565*$X$1</f>
        <v>20833.499999999996</v>
      </c>
      <c r="H565" s="93">
        <f>F565+5000</f>
        <v>25833.499999999996</v>
      </c>
      <c r="I565" s="273">
        <f t="shared" ref="I565:I566" si="1812">+H565*$X$1</f>
        <v>25833.499999999996</v>
      </c>
      <c r="J565" s="93">
        <f>F565+1200</f>
        <v>22033.499999999996</v>
      </c>
      <c r="K565" s="273">
        <f t="shared" ref="K565:K566" si="1813">+J565*$X$1</f>
        <v>22033.499999999996</v>
      </c>
      <c r="L565" s="93">
        <f>F565+1000</f>
        <v>21833.499999999996</v>
      </c>
      <c r="M565" s="273">
        <f t="shared" ref="M565:M566" si="1814">+L565*$X$1</f>
        <v>21833.499999999996</v>
      </c>
      <c r="N565" s="93">
        <f>F565+850</f>
        <v>21683.499999999996</v>
      </c>
      <c r="O565" s="273">
        <f t="shared" ref="O565:O566" si="1815">+N565*$X$1</f>
        <v>21683.499999999996</v>
      </c>
      <c r="P565" s="93">
        <f>F565+740</f>
        <v>21573.499999999996</v>
      </c>
      <c r="Q565" s="273">
        <f t="shared" ref="Q565:Q566" si="1816">+P565*$X$1</f>
        <v>21573.499999999996</v>
      </c>
      <c r="R565" s="93">
        <f>F565+650</f>
        <v>21483.499999999996</v>
      </c>
      <c r="S565" s="273">
        <f t="shared" ref="S565:S566" si="1817">+R565*$X$1</f>
        <v>21483.499999999996</v>
      </c>
      <c r="T565" s="93">
        <f>F565+560</f>
        <v>21393.499999999996</v>
      </c>
      <c r="U565" s="273">
        <f t="shared" ref="U565:U566" si="1818">+T565*$X$1</f>
        <v>21393.499999999996</v>
      </c>
      <c r="V565" s="93">
        <f>F565+450</f>
        <v>21283.499999999996</v>
      </c>
      <c r="W565" s="273">
        <f t="shared" ref="W565:W566" si="1819">+V565*$X$1</f>
        <v>21283.499999999996</v>
      </c>
      <c r="X565" s="127"/>
      <c r="Y565" s="122"/>
      <c r="Z565" s="128"/>
      <c r="AA565" s="129"/>
      <c r="AB565" s="353">
        <v>886</v>
      </c>
    </row>
    <row r="566" spans="1:28" ht="12.6" customHeight="1" x14ac:dyDescent="0.2">
      <c r="A566" s="4"/>
      <c r="B566" s="816" t="s">
        <v>649</v>
      </c>
      <c r="C566" s="797"/>
      <c r="D566" s="797"/>
      <c r="E566" s="797"/>
      <c r="F566" s="258">
        <f>22.33*X2</f>
        <v>28805.699999999997</v>
      </c>
      <c r="G566" s="258">
        <f t="shared" ref="G566" si="1820">+F566*$X$1</f>
        <v>28805.699999999997</v>
      </c>
      <c r="H566" s="92">
        <f>F566+6000</f>
        <v>34805.699999999997</v>
      </c>
      <c r="I566" s="283">
        <f t="shared" si="1812"/>
        <v>34805.699999999997</v>
      </c>
      <c r="J566" s="92">
        <f>F566+2000</f>
        <v>30805.699999999997</v>
      </c>
      <c r="K566" s="283">
        <f t="shared" si="1813"/>
        <v>30805.699999999997</v>
      </c>
      <c r="L566" s="92">
        <f>F566+1700</f>
        <v>30505.699999999997</v>
      </c>
      <c r="M566" s="283">
        <f t="shared" si="1814"/>
        <v>30505.699999999997</v>
      </c>
      <c r="N566" s="92">
        <f>F566+1550</f>
        <v>30355.699999999997</v>
      </c>
      <c r="O566" s="283">
        <f t="shared" si="1815"/>
        <v>30355.699999999997</v>
      </c>
      <c r="P566" s="92">
        <f>F566+1350</f>
        <v>30155.699999999997</v>
      </c>
      <c r="Q566" s="283">
        <f t="shared" si="1816"/>
        <v>30155.699999999997</v>
      </c>
      <c r="R566" s="92">
        <f>F566+1200</f>
        <v>30005.699999999997</v>
      </c>
      <c r="S566" s="283">
        <f t="shared" si="1817"/>
        <v>30005.699999999997</v>
      </c>
      <c r="T566" s="92">
        <f>F566+1050</f>
        <v>29855.699999999997</v>
      </c>
      <c r="U566" s="283">
        <f t="shared" si="1818"/>
        <v>29855.699999999997</v>
      </c>
      <c r="V566" s="92">
        <f>F566+900</f>
        <v>29705.699999999997</v>
      </c>
      <c r="W566" s="283">
        <f t="shared" si="1819"/>
        <v>29705.699999999997</v>
      </c>
      <c r="X566" s="127"/>
      <c r="Y566" s="122"/>
      <c r="Z566" s="128"/>
      <c r="AA566" s="129"/>
      <c r="AB566" s="353" t="s">
        <v>633</v>
      </c>
    </row>
    <row r="567" spans="1:28" ht="12.6" customHeight="1" x14ac:dyDescent="0.2">
      <c r="A567" s="4"/>
      <c r="B567" s="813" t="s">
        <v>648</v>
      </c>
      <c r="C567" s="714"/>
      <c r="D567" s="714"/>
      <c r="E567" s="714"/>
      <c r="F567" s="257">
        <f>22.33*X2</f>
        <v>28805.699999999997</v>
      </c>
      <c r="G567" s="257">
        <f t="shared" ref="G567" si="1821">+F567*$X$1</f>
        <v>28805.699999999997</v>
      </c>
      <c r="H567" s="93">
        <f>F567+5000</f>
        <v>33805.699999999997</v>
      </c>
      <c r="I567" s="273">
        <f t="shared" ref="I567" si="1822">+H567*$X$1</f>
        <v>33805.699999999997</v>
      </c>
      <c r="J567" s="93">
        <f>F567+1200</f>
        <v>30005.699999999997</v>
      </c>
      <c r="K567" s="273">
        <f t="shared" ref="K567" si="1823">+J567*$X$1</f>
        <v>30005.699999999997</v>
      </c>
      <c r="L567" s="93">
        <f>F567+1000</f>
        <v>29805.699999999997</v>
      </c>
      <c r="M567" s="273">
        <f t="shared" ref="M567" si="1824">+L567*$X$1</f>
        <v>29805.699999999997</v>
      </c>
      <c r="N567" s="93">
        <f>F567+850</f>
        <v>29655.699999999997</v>
      </c>
      <c r="O567" s="273">
        <f t="shared" ref="O567" si="1825">+N567*$X$1</f>
        <v>29655.699999999997</v>
      </c>
      <c r="P567" s="93">
        <f>F567+740</f>
        <v>29545.699999999997</v>
      </c>
      <c r="Q567" s="273">
        <f t="shared" ref="Q567" si="1826">+P567*$X$1</f>
        <v>29545.699999999997</v>
      </c>
      <c r="R567" s="93">
        <f>F567+650</f>
        <v>29455.699999999997</v>
      </c>
      <c r="S567" s="273">
        <f t="shared" ref="S567" si="1827">+R567*$X$1</f>
        <v>29455.699999999997</v>
      </c>
      <c r="T567" s="93">
        <f>F567+560</f>
        <v>29365.699999999997</v>
      </c>
      <c r="U567" s="273">
        <f t="shared" ref="U567" si="1828">+T567*$X$1</f>
        <v>29365.699999999997</v>
      </c>
      <c r="V567" s="93">
        <f>F567+450</f>
        <v>29255.699999999997</v>
      </c>
      <c r="W567" s="273">
        <f t="shared" ref="W567" si="1829">+V567*$X$1</f>
        <v>29255.699999999997</v>
      </c>
      <c r="X567" s="127"/>
      <c r="Y567" s="122"/>
      <c r="Z567" s="128"/>
      <c r="AA567" s="129"/>
      <c r="AB567" s="353">
        <v>887</v>
      </c>
    </row>
    <row r="568" spans="1:28" ht="12.6" customHeight="1" x14ac:dyDescent="0.2">
      <c r="A568" s="4"/>
      <c r="B568" s="803" t="s">
        <v>577</v>
      </c>
      <c r="C568" s="646"/>
      <c r="D568" s="646"/>
      <c r="E568" s="646"/>
      <c r="F568" s="258">
        <f>14.7*X2</f>
        <v>18963</v>
      </c>
      <c r="G568" s="258">
        <f t="shared" ref="G568" si="1830">+F568*$X$1</f>
        <v>18963</v>
      </c>
      <c r="H568" s="92">
        <f>F568+5000</f>
        <v>23963</v>
      </c>
      <c r="I568" s="283">
        <f>+H568*$X$1</f>
        <v>23963</v>
      </c>
      <c r="J568" s="92">
        <f>F568+1200</f>
        <v>20163</v>
      </c>
      <c r="K568" s="283">
        <f>+J568*$X$1</f>
        <v>20163</v>
      </c>
      <c r="L568" s="92">
        <f>F568+1000</f>
        <v>19963</v>
      </c>
      <c r="M568" s="283">
        <f>+L568*$X$1</f>
        <v>19963</v>
      </c>
      <c r="N568" s="92">
        <f>F568+850</f>
        <v>19813</v>
      </c>
      <c r="O568" s="283">
        <f>+N568*$X$1</f>
        <v>19813</v>
      </c>
      <c r="P568" s="92">
        <f>F568+740</f>
        <v>19703</v>
      </c>
      <c r="Q568" s="283">
        <f>+P568*$X$1</f>
        <v>19703</v>
      </c>
      <c r="R568" s="92">
        <f>F568+650</f>
        <v>19613</v>
      </c>
      <c r="S568" s="283">
        <f>+R568*$X$1</f>
        <v>19613</v>
      </c>
      <c r="T568" s="92">
        <f>F568+560</f>
        <v>19523</v>
      </c>
      <c r="U568" s="283">
        <f>+T568*$X$1</f>
        <v>19523</v>
      </c>
      <c r="V568" s="92">
        <f>F568+450</f>
        <v>19413</v>
      </c>
      <c r="W568" s="283">
        <f>+V568*$X$1</f>
        <v>19413</v>
      </c>
      <c r="X568" s="127"/>
      <c r="Y568" s="122"/>
      <c r="Z568" s="128"/>
      <c r="AA568" s="129"/>
      <c r="AB568" s="353">
        <v>888</v>
      </c>
    </row>
    <row r="569" spans="1:28" ht="12.6" customHeight="1" x14ac:dyDescent="0.2">
      <c r="A569" s="4"/>
      <c r="B569" s="802" t="s">
        <v>611</v>
      </c>
      <c r="C569" s="655"/>
      <c r="D569" s="655"/>
      <c r="E569" s="655"/>
      <c r="F569" s="257">
        <f>15.8*X2</f>
        <v>20382</v>
      </c>
      <c r="G569" s="257">
        <f t="shared" ref="G569:G572" si="1831">+F569*$X$1</f>
        <v>20382</v>
      </c>
      <c r="H569" s="93">
        <f>F569+6000</f>
        <v>26382</v>
      </c>
      <c r="I569" s="273">
        <f>+H569*$X$1</f>
        <v>26382</v>
      </c>
      <c r="J569" s="93">
        <f>F569+2000</f>
        <v>22382</v>
      </c>
      <c r="K569" s="273">
        <f>+J569*$X$1</f>
        <v>22382</v>
      </c>
      <c r="L569" s="93">
        <f>F569+1700</f>
        <v>22082</v>
      </c>
      <c r="M569" s="273">
        <f>+L569*$X$1</f>
        <v>22082</v>
      </c>
      <c r="N569" s="93">
        <f>F569+1550</f>
        <v>21932</v>
      </c>
      <c r="O569" s="273">
        <f>+N569*$X$1</f>
        <v>21932</v>
      </c>
      <c r="P569" s="93">
        <f>F569+1350</f>
        <v>21732</v>
      </c>
      <c r="Q569" s="273">
        <f>+P569*$X$1</f>
        <v>21732</v>
      </c>
      <c r="R569" s="93">
        <f>F569+1200</f>
        <v>21582</v>
      </c>
      <c r="S569" s="273">
        <f>+R569*$X$1</f>
        <v>21582</v>
      </c>
      <c r="T569" s="93">
        <f>F569+1050</f>
        <v>21432</v>
      </c>
      <c r="U569" s="273">
        <f>+T569*$X$1</f>
        <v>21432</v>
      </c>
      <c r="V569" s="93">
        <f>F569+900</f>
        <v>21282</v>
      </c>
      <c r="W569" s="273">
        <f>+V569*$X$1</f>
        <v>21282</v>
      </c>
      <c r="X569" s="127"/>
      <c r="Y569" s="122"/>
      <c r="Z569" s="128"/>
      <c r="AA569" s="129"/>
      <c r="AB569" s="353">
        <v>896</v>
      </c>
    </row>
    <row r="570" spans="1:28" ht="12.6" customHeight="1" x14ac:dyDescent="0.2">
      <c r="A570" s="4"/>
      <c r="B570" s="803" t="s">
        <v>926</v>
      </c>
      <c r="C570" s="646"/>
      <c r="D570" s="646"/>
      <c r="E570" s="646"/>
      <c r="F570" s="258">
        <f>15.8*X2</f>
        <v>20382</v>
      </c>
      <c r="G570" s="258">
        <f t="shared" si="1831"/>
        <v>20382</v>
      </c>
      <c r="H570" s="92">
        <f>F570+5000</f>
        <v>25382</v>
      </c>
      <c r="I570" s="283">
        <f t="shared" ref="I570:I572" si="1832">+H570*$X$1</f>
        <v>25382</v>
      </c>
      <c r="J570" s="92">
        <f>F570+1200</f>
        <v>21582</v>
      </c>
      <c r="K570" s="283">
        <f t="shared" ref="K570:K572" si="1833">+J570*$X$1</f>
        <v>21582</v>
      </c>
      <c r="L570" s="92">
        <f>F570+1000</f>
        <v>21382</v>
      </c>
      <c r="M570" s="283">
        <f t="shared" ref="M570:M572" si="1834">+L570*$X$1</f>
        <v>21382</v>
      </c>
      <c r="N570" s="92">
        <f>F570+850</f>
        <v>21232</v>
      </c>
      <c r="O570" s="283">
        <f t="shared" ref="O570:O572" si="1835">+N570*$X$1</f>
        <v>21232</v>
      </c>
      <c r="P570" s="92">
        <f>F570+740</f>
        <v>21122</v>
      </c>
      <c r="Q570" s="283">
        <f t="shared" ref="Q570:Q572" si="1836">+P570*$X$1</f>
        <v>21122</v>
      </c>
      <c r="R570" s="92">
        <f>F570+650</f>
        <v>21032</v>
      </c>
      <c r="S570" s="283">
        <f t="shared" ref="S570:S572" si="1837">+R570*$X$1</f>
        <v>21032</v>
      </c>
      <c r="T570" s="92">
        <f>F570+560</f>
        <v>20942</v>
      </c>
      <c r="U570" s="283">
        <f t="shared" ref="U570:U572" si="1838">+T570*$X$1</f>
        <v>20942</v>
      </c>
      <c r="V570" s="92">
        <f>F570+450</f>
        <v>20832</v>
      </c>
      <c r="W570" s="283">
        <f t="shared" ref="W570:W572" si="1839">+V570*$X$1</f>
        <v>20832</v>
      </c>
      <c r="X570" s="127"/>
      <c r="Y570" s="122"/>
      <c r="Z570" s="128"/>
      <c r="AA570" s="129"/>
      <c r="AB570" s="353">
        <v>896</v>
      </c>
    </row>
    <row r="571" spans="1:28" ht="12.6" customHeight="1" x14ac:dyDescent="0.2">
      <c r="A571" s="4"/>
      <c r="B571" s="802" t="s">
        <v>831</v>
      </c>
      <c r="C571" s="804"/>
      <c r="D571" s="804"/>
      <c r="E571" s="804"/>
      <c r="F571" s="257">
        <v>20475</v>
      </c>
      <c r="G571" s="257">
        <f t="shared" ref="G571" si="1840">+F571*$X$1</f>
        <v>20475</v>
      </c>
      <c r="H571" s="93">
        <f>F571+6000</f>
        <v>26475</v>
      </c>
      <c r="I571" s="273">
        <f t="shared" si="1832"/>
        <v>26475</v>
      </c>
      <c r="J571" s="93">
        <f>F571+2000</f>
        <v>22475</v>
      </c>
      <c r="K571" s="273">
        <f t="shared" si="1833"/>
        <v>22475</v>
      </c>
      <c r="L571" s="93">
        <f>F571+1700</f>
        <v>22175</v>
      </c>
      <c r="M571" s="273">
        <f t="shared" si="1834"/>
        <v>22175</v>
      </c>
      <c r="N571" s="93">
        <f>F571+1550</f>
        <v>22025</v>
      </c>
      <c r="O571" s="273">
        <f t="shared" si="1835"/>
        <v>22025</v>
      </c>
      <c r="P571" s="93">
        <f>F571+1350</f>
        <v>21825</v>
      </c>
      <c r="Q571" s="273">
        <f t="shared" si="1836"/>
        <v>21825</v>
      </c>
      <c r="R571" s="93">
        <f>F571+1200</f>
        <v>21675</v>
      </c>
      <c r="S571" s="273">
        <f t="shared" si="1837"/>
        <v>21675</v>
      </c>
      <c r="T571" s="93">
        <f>F571+1050</f>
        <v>21525</v>
      </c>
      <c r="U571" s="273">
        <f t="shared" si="1838"/>
        <v>21525</v>
      </c>
      <c r="V571" s="93">
        <f>F571+900</f>
        <v>21375</v>
      </c>
      <c r="W571" s="273">
        <f t="shared" si="1839"/>
        <v>21375</v>
      </c>
      <c r="X571" s="127"/>
      <c r="Y571" s="122"/>
      <c r="Z571" s="128"/>
      <c r="AA571" s="129"/>
      <c r="AB571" s="353"/>
    </row>
    <row r="572" spans="1:28" ht="12.6" customHeight="1" x14ac:dyDescent="0.2">
      <c r="A572" s="4"/>
      <c r="B572" s="803" t="s">
        <v>579</v>
      </c>
      <c r="C572" s="709"/>
      <c r="D572" s="709"/>
      <c r="E572" s="709"/>
      <c r="F572" s="258">
        <f>19*X2</f>
        <v>24510</v>
      </c>
      <c r="G572" s="258">
        <f t="shared" si="1831"/>
        <v>24510</v>
      </c>
      <c r="H572" s="92">
        <f>F572+6000</f>
        <v>30510</v>
      </c>
      <c r="I572" s="283">
        <f t="shared" si="1832"/>
        <v>30510</v>
      </c>
      <c r="J572" s="92">
        <f>F572+2000</f>
        <v>26510</v>
      </c>
      <c r="K572" s="283">
        <f t="shared" si="1833"/>
        <v>26510</v>
      </c>
      <c r="L572" s="92">
        <f>F572+1700</f>
        <v>26210</v>
      </c>
      <c r="M572" s="283">
        <f t="shared" si="1834"/>
        <v>26210</v>
      </c>
      <c r="N572" s="92">
        <f>F572+1550</f>
        <v>26060</v>
      </c>
      <c r="O572" s="283">
        <f t="shared" si="1835"/>
        <v>26060</v>
      </c>
      <c r="P572" s="92">
        <f>F572+1350</f>
        <v>25860</v>
      </c>
      <c r="Q572" s="283">
        <f t="shared" si="1836"/>
        <v>25860</v>
      </c>
      <c r="R572" s="92">
        <f>F572+1200</f>
        <v>25710</v>
      </c>
      <c r="S572" s="283">
        <f t="shared" si="1837"/>
        <v>25710</v>
      </c>
      <c r="T572" s="92">
        <f>F572+1050</f>
        <v>25560</v>
      </c>
      <c r="U572" s="283">
        <f t="shared" si="1838"/>
        <v>25560</v>
      </c>
      <c r="V572" s="92">
        <f>F572+900</f>
        <v>25410</v>
      </c>
      <c r="W572" s="283">
        <f t="shared" si="1839"/>
        <v>25410</v>
      </c>
      <c r="X572" s="127"/>
      <c r="Y572" s="122"/>
      <c r="Z572" s="128"/>
      <c r="AA572" s="129"/>
      <c r="AB572" s="353">
        <v>899</v>
      </c>
    </row>
    <row r="573" spans="1:28" ht="12.6" customHeight="1" x14ac:dyDescent="0.2">
      <c r="A573" s="4"/>
      <c r="B573" s="802" t="s">
        <v>587</v>
      </c>
      <c r="C573" s="804"/>
      <c r="D573" s="804"/>
      <c r="E573" s="804"/>
      <c r="F573" s="257">
        <f>19*X2</f>
        <v>24510</v>
      </c>
      <c r="G573" s="257">
        <f>+F573*$X$1</f>
        <v>24510</v>
      </c>
      <c r="H573" s="93">
        <f>F573+5000</f>
        <v>29510</v>
      </c>
      <c r="I573" s="273">
        <f t="shared" ref="I573:I574" si="1841">+H573*$X$1</f>
        <v>29510</v>
      </c>
      <c r="J573" s="93">
        <f>F573+1200</f>
        <v>25710</v>
      </c>
      <c r="K573" s="273">
        <f t="shared" ref="K573:K576" si="1842">+J573*$X$1</f>
        <v>25710</v>
      </c>
      <c r="L573" s="93">
        <f>F573+1000</f>
        <v>25510</v>
      </c>
      <c r="M573" s="273">
        <f t="shared" ref="M573:M576" si="1843">+L573*$X$1</f>
        <v>25510</v>
      </c>
      <c r="N573" s="93">
        <f>F573+850</f>
        <v>25360</v>
      </c>
      <c r="O573" s="273">
        <f t="shared" ref="O573:O576" si="1844">+N573*$X$1</f>
        <v>25360</v>
      </c>
      <c r="P573" s="93">
        <f>F573+740</f>
        <v>25250</v>
      </c>
      <c r="Q573" s="273">
        <f t="shared" ref="Q573:Q574" si="1845">+P573*$X$1</f>
        <v>25250</v>
      </c>
      <c r="R573" s="93">
        <f>F573+650</f>
        <v>25160</v>
      </c>
      <c r="S573" s="273">
        <f t="shared" ref="S573:S574" si="1846">+R573*$X$1</f>
        <v>25160</v>
      </c>
      <c r="T573" s="93">
        <f>F573+560</f>
        <v>25070</v>
      </c>
      <c r="U573" s="273">
        <f t="shared" ref="U573:U574" si="1847">+T573*$X$1</f>
        <v>25070</v>
      </c>
      <c r="V573" s="93">
        <f>F573+450</f>
        <v>24960</v>
      </c>
      <c r="W573" s="273">
        <f t="shared" ref="W573:W574" si="1848">+V573*$X$1</f>
        <v>24960</v>
      </c>
      <c r="X573" s="127"/>
      <c r="Y573" s="122"/>
      <c r="Z573" s="128"/>
      <c r="AA573" s="129"/>
      <c r="AB573" s="353" t="s">
        <v>588</v>
      </c>
    </row>
    <row r="574" spans="1:28" ht="12.6" customHeight="1" x14ac:dyDescent="0.2">
      <c r="A574" s="4"/>
      <c r="B574" s="803" t="s">
        <v>451</v>
      </c>
      <c r="C574" s="679"/>
      <c r="D574" s="679"/>
      <c r="E574" s="679"/>
      <c r="F574" s="258">
        <f>20*X2</f>
        <v>25800</v>
      </c>
      <c r="G574" s="258">
        <f t="shared" ref="G574" si="1849">+F574*$X$1</f>
        <v>25800</v>
      </c>
      <c r="H574" s="92">
        <f>F574+6000</f>
        <v>31800</v>
      </c>
      <c r="I574" s="283">
        <f t="shared" si="1841"/>
        <v>31800</v>
      </c>
      <c r="J574" s="92">
        <f>F574+2000</f>
        <v>27800</v>
      </c>
      <c r="K574" s="283">
        <f t="shared" si="1842"/>
        <v>27800</v>
      </c>
      <c r="L574" s="92">
        <f>F574+1700</f>
        <v>27500</v>
      </c>
      <c r="M574" s="283">
        <f t="shared" si="1843"/>
        <v>27500</v>
      </c>
      <c r="N574" s="92">
        <f>F574+1550</f>
        <v>27350</v>
      </c>
      <c r="O574" s="283">
        <f t="shared" si="1844"/>
        <v>27350</v>
      </c>
      <c r="P574" s="92">
        <f>F574+1350</f>
        <v>27150</v>
      </c>
      <c r="Q574" s="283">
        <f t="shared" si="1845"/>
        <v>27150</v>
      </c>
      <c r="R574" s="92">
        <f>F574+1200</f>
        <v>27000</v>
      </c>
      <c r="S574" s="283">
        <f t="shared" si="1846"/>
        <v>27000</v>
      </c>
      <c r="T574" s="92">
        <f>F574+1050</f>
        <v>26850</v>
      </c>
      <c r="U574" s="283">
        <f t="shared" si="1847"/>
        <v>26850</v>
      </c>
      <c r="V574" s="92">
        <f>F574+900</f>
        <v>26700</v>
      </c>
      <c r="W574" s="283">
        <f t="shared" si="1848"/>
        <v>26700</v>
      </c>
      <c r="X574" s="127"/>
      <c r="Y574" s="122"/>
      <c r="Z574" s="128"/>
      <c r="AA574" s="129"/>
      <c r="AB574" s="353">
        <v>900</v>
      </c>
    </row>
    <row r="575" spans="1:28" ht="12.6" customHeight="1" x14ac:dyDescent="0.2">
      <c r="A575" s="4"/>
      <c r="B575" s="802" t="s">
        <v>383</v>
      </c>
      <c r="C575" s="798"/>
      <c r="D575" s="798"/>
      <c r="E575" s="798"/>
      <c r="F575" s="257">
        <v>19290</v>
      </c>
      <c r="G575" s="257">
        <f>+F575*$X$1</f>
        <v>19290</v>
      </c>
      <c r="H575" s="93">
        <f>F575+5000</f>
        <v>24290</v>
      </c>
      <c r="I575" s="273">
        <f t="shared" ref="I575:I576" si="1850">+H575*$X$1</f>
        <v>24290</v>
      </c>
      <c r="J575" s="93">
        <f>F575+1200</f>
        <v>20490</v>
      </c>
      <c r="K575" s="273">
        <f t="shared" si="1842"/>
        <v>20490</v>
      </c>
      <c r="L575" s="93">
        <f>F575+1000</f>
        <v>20290</v>
      </c>
      <c r="M575" s="273">
        <f t="shared" si="1843"/>
        <v>20290</v>
      </c>
      <c r="N575" s="93">
        <f>F575+850</f>
        <v>20140</v>
      </c>
      <c r="O575" s="273">
        <f t="shared" si="1844"/>
        <v>20140</v>
      </c>
      <c r="P575" s="93">
        <f>F575+740</f>
        <v>20030</v>
      </c>
      <c r="Q575" s="273">
        <f t="shared" ref="Q575:Q576" si="1851">+P575*$X$1</f>
        <v>20030</v>
      </c>
      <c r="R575" s="93">
        <f>F575+650</f>
        <v>19940</v>
      </c>
      <c r="S575" s="273">
        <f t="shared" ref="S575:S576" si="1852">+R575*$X$1</f>
        <v>19940</v>
      </c>
      <c r="T575" s="93">
        <f>F575+560</f>
        <v>19850</v>
      </c>
      <c r="U575" s="273">
        <f t="shared" ref="U575:U576" si="1853">+T575*$X$1</f>
        <v>19850</v>
      </c>
      <c r="V575" s="93">
        <f>F575+450</f>
        <v>19740</v>
      </c>
      <c r="W575" s="273">
        <f t="shared" ref="W575:W576" si="1854">+V575*$X$1</f>
        <v>19740</v>
      </c>
      <c r="X575" s="127"/>
      <c r="Y575" s="122"/>
      <c r="Z575" s="128"/>
      <c r="AA575" s="129"/>
      <c r="AB575" s="353">
        <v>905</v>
      </c>
    </row>
    <row r="576" spans="1:28" ht="12.6" customHeight="1" x14ac:dyDescent="0.2">
      <c r="A576" s="4"/>
      <c r="B576" s="803" t="s">
        <v>621</v>
      </c>
      <c r="C576" s="679"/>
      <c r="D576" s="679"/>
      <c r="E576" s="679"/>
      <c r="F576" s="258">
        <f>21.3*X2</f>
        <v>27477</v>
      </c>
      <c r="G576" s="258">
        <f>+F576*$X$1</f>
        <v>27477</v>
      </c>
      <c r="H576" s="92">
        <f>F576+6000</f>
        <v>33477</v>
      </c>
      <c r="I576" s="283">
        <f t="shared" si="1850"/>
        <v>33477</v>
      </c>
      <c r="J576" s="92">
        <f>F576+2000</f>
        <v>29477</v>
      </c>
      <c r="K576" s="283">
        <f t="shared" si="1842"/>
        <v>29477</v>
      </c>
      <c r="L576" s="92">
        <f>F576+1700</f>
        <v>29177</v>
      </c>
      <c r="M576" s="283">
        <f t="shared" si="1843"/>
        <v>29177</v>
      </c>
      <c r="N576" s="92">
        <f>F576+1550</f>
        <v>29027</v>
      </c>
      <c r="O576" s="283">
        <f t="shared" si="1844"/>
        <v>29027</v>
      </c>
      <c r="P576" s="92">
        <f>F576+1350</f>
        <v>28827</v>
      </c>
      <c r="Q576" s="283">
        <f t="shared" si="1851"/>
        <v>28827</v>
      </c>
      <c r="R576" s="92">
        <f>F576+1200</f>
        <v>28677</v>
      </c>
      <c r="S576" s="283">
        <f t="shared" si="1852"/>
        <v>28677</v>
      </c>
      <c r="T576" s="92">
        <f>F576+1050</f>
        <v>28527</v>
      </c>
      <c r="U576" s="283">
        <f t="shared" si="1853"/>
        <v>28527</v>
      </c>
      <c r="V576" s="92">
        <f>F576+900</f>
        <v>28377</v>
      </c>
      <c r="W576" s="283">
        <f t="shared" si="1854"/>
        <v>28377</v>
      </c>
      <c r="X576" s="127"/>
      <c r="Y576" s="122"/>
      <c r="Z576" s="128"/>
      <c r="AA576" s="129"/>
      <c r="AB576" s="353">
        <v>906</v>
      </c>
    </row>
    <row r="577" spans="1:34" ht="12.6" customHeight="1" x14ac:dyDescent="0.2">
      <c r="A577" s="4"/>
      <c r="B577" s="802" t="s">
        <v>622</v>
      </c>
      <c r="C577" s="798"/>
      <c r="D577" s="798"/>
      <c r="E577" s="798"/>
      <c r="F577" s="257">
        <f>21.3*X2</f>
        <v>27477</v>
      </c>
      <c r="G577" s="257">
        <f>+F577*$X$1</f>
        <v>27477</v>
      </c>
      <c r="H577" s="93">
        <f>F577+5000</f>
        <v>32477</v>
      </c>
      <c r="I577" s="273">
        <f t="shared" ref="I577:I578" si="1855">+H577*$X$1</f>
        <v>32477</v>
      </c>
      <c r="J577" s="93">
        <f>F577+1200</f>
        <v>28677</v>
      </c>
      <c r="K577" s="273">
        <f t="shared" ref="K577:K578" si="1856">+J577*$X$1</f>
        <v>28677</v>
      </c>
      <c r="L577" s="93">
        <f>F577+1000</f>
        <v>28477</v>
      </c>
      <c r="M577" s="273">
        <f t="shared" ref="M577:M578" si="1857">+L577*$X$1</f>
        <v>28477</v>
      </c>
      <c r="N577" s="93">
        <f>F577+850</f>
        <v>28327</v>
      </c>
      <c r="O577" s="273">
        <f t="shared" ref="O577:O578" si="1858">+N577*$X$1</f>
        <v>28327</v>
      </c>
      <c r="P577" s="93">
        <f>F577+740</f>
        <v>28217</v>
      </c>
      <c r="Q577" s="273">
        <f t="shared" ref="Q577:Q578" si="1859">+P577*$X$1</f>
        <v>28217</v>
      </c>
      <c r="R577" s="93">
        <f>F577+650</f>
        <v>28127</v>
      </c>
      <c r="S577" s="273">
        <f t="shared" ref="S577:S578" si="1860">+R577*$X$1</f>
        <v>28127</v>
      </c>
      <c r="T577" s="93">
        <f>F577+560</f>
        <v>28037</v>
      </c>
      <c r="U577" s="273">
        <f t="shared" ref="U577:U578" si="1861">+T577*$X$1</f>
        <v>28037</v>
      </c>
      <c r="V577" s="93">
        <f>F577+450</f>
        <v>27927</v>
      </c>
      <c r="W577" s="273">
        <f t="shared" ref="W577:W578" si="1862">+V577*$X$1</f>
        <v>27927</v>
      </c>
      <c r="X577" s="127"/>
      <c r="Y577" s="122"/>
      <c r="Z577" s="128"/>
      <c r="AA577" s="129"/>
      <c r="AB577" s="353">
        <v>906</v>
      </c>
    </row>
    <row r="578" spans="1:34" ht="12.6" customHeight="1" x14ac:dyDescent="0.2">
      <c r="A578" s="4"/>
      <c r="B578" s="803" t="s">
        <v>576</v>
      </c>
      <c r="C578" s="646"/>
      <c r="D578" s="646"/>
      <c r="E578" s="646"/>
      <c r="F578" s="285">
        <f>21.1*X2</f>
        <v>27219.000000000004</v>
      </c>
      <c r="G578" s="258">
        <f t="shared" ref="G578" si="1863">+F578*$X$1</f>
        <v>27219.000000000004</v>
      </c>
      <c r="H578" s="92">
        <f>F578+6000</f>
        <v>33219</v>
      </c>
      <c r="I578" s="283">
        <f t="shared" si="1855"/>
        <v>33219</v>
      </c>
      <c r="J578" s="92">
        <f>F578+2000</f>
        <v>29219.000000000004</v>
      </c>
      <c r="K578" s="283">
        <f t="shared" si="1856"/>
        <v>29219.000000000004</v>
      </c>
      <c r="L578" s="92">
        <f>F578+1700</f>
        <v>28919.000000000004</v>
      </c>
      <c r="M578" s="283">
        <f t="shared" si="1857"/>
        <v>28919.000000000004</v>
      </c>
      <c r="N578" s="92">
        <f>F578+1550</f>
        <v>28769.000000000004</v>
      </c>
      <c r="O578" s="283">
        <f t="shared" si="1858"/>
        <v>28769.000000000004</v>
      </c>
      <c r="P578" s="92">
        <f>F578+1350</f>
        <v>28569.000000000004</v>
      </c>
      <c r="Q578" s="283">
        <f t="shared" si="1859"/>
        <v>28569.000000000004</v>
      </c>
      <c r="R578" s="92">
        <f>F578+1200</f>
        <v>28419.000000000004</v>
      </c>
      <c r="S578" s="283">
        <f t="shared" si="1860"/>
        <v>28419.000000000004</v>
      </c>
      <c r="T578" s="92">
        <f>F578+1050</f>
        <v>28269.000000000004</v>
      </c>
      <c r="U578" s="283">
        <f t="shared" si="1861"/>
        <v>28269.000000000004</v>
      </c>
      <c r="V578" s="92">
        <f>F578+900</f>
        <v>28119.000000000004</v>
      </c>
      <c r="W578" s="283">
        <f t="shared" si="1862"/>
        <v>28119.000000000004</v>
      </c>
      <c r="X578" s="127"/>
      <c r="Y578" s="122"/>
      <c r="Z578" s="128"/>
      <c r="AA578" s="129"/>
      <c r="AB578" s="353" t="s">
        <v>589</v>
      </c>
    </row>
    <row r="579" spans="1:34" ht="12.6" customHeight="1" x14ac:dyDescent="0.2">
      <c r="A579" s="4"/>
      <c r="B579" s="802" t="s">
        <v>620</v>
      </c>
      <c r="C579" s="655"/>
      <c r="D579" s="655"/>
      <c r="E579" s="655"/>
      <c r="F579" s="335">
        <f>21.1*X2</f>
        <v>27219.000000000004</v>
      </c>
      <c r="G579" s="257">
        <f t="shared" ref="G579" si="1864">+F579*$X$1</f>
        <v>27219.000000000004</v>
      </c>
      <c r="H579" s="93">
        <f>F579+5000</f>
        <v>32219.000000000004</v>
      </c>
      <c r="I579" s="273">
        <f t="shared" ref="I579" si="1865">+H579*$X$1</f>
        <v>32219.000000000004</v>
      </c>
      <c r="J579" s="93">
        <f>F579+1200</f>
        <v>28419.000000000004</v>
      </c>
      <c r="K579" s="273">
        <f t="shared" ref="K579" si="1866">+J579*$X$1</f>
        <v>28419.000000000004</v>
      </c>
      <c r="L579" s="93">
        <f>F579+1000</f>
        <v>28219.000000000004</v>
      </c>
      <c r="M579" s="273">
        <f t="shared" ref="M579" si="1867">+L579*$X$1</f>
        <v>28219.000000000004</v>
      </c>
      <c r="N579" s="93">
        <f>F579+850</f>
        <v>28069.000000000004</v>
      </c>
      <c r="O579" s="273">
        <f t="shared" ref="O579" si="1868">+N579*$X$1</f>
        <v>28069.000000000004</v>
      </c>
      <c r="P579" s="93"/>
      <c r="Q579" s="273"/>
      <c r="R579" s="93"/>
      <c r="S579" s="273"/>
      <c r="T579" s="93"/>
      <c r="U579" s="273"/>
      <c r="V579" s="93"/>
      <c r="W579" s="273"/>
      <c r="X579" s="127"/>
      <c r="Y579" s="122"/>
      <c r="Z579" s="128"/>
      <c r="AA579" s="129"/>
      <c r="AB579" s="353">
        <v>907</v>
      </c>
    </row>
    <row r="580" spans="1:34" ht="12.6" customHeight="1" x14ac:dyDescent="0.2">
      <c r="A580" s="4"/>
      <c r="B580" s="964" t="s">
        <v>551</v>
      </c>
      <c r="C580" s="965"/>
      <c r="D580" s="965"/>
      <c r="E580" s="965"/>
      <c r="F580" s="966"/>
      <c r="G580" s="967"/>
      <c r="H580" s="572">
        <v>1900</v>
      </c>
      <c r="I580" s="258">
        <f t="shared" ref="I580" si="1869">+H580*$X$1</f>
        <v>1900</v>
      </c>
      <c r="J580" s="572">
        <v>1000</v>
      </c>
      <c r="K580" s="258">
        <f t="shared" ref="K580" si="1870">+J580*$X$1</f>
        <v>1000</v>
      </c>
      <c r="L580" s="572">
        <v>800</v>
      </c>
      <c r="M580" s="258">
        <f t="shared" ref="M580" si="1871">+L580*$X$1</f>
        <v>800</v>
      </c>
      <c r="N580" s="572">
        <v>700</v>
      </c>
      <c r="O580" s="258">
        <f t="shared" ref="O580" si="1872">+N580*$X$1</f>
        <v>700</v>
      </c>
      <c r="P580" s="572">
        <v>650</v>
      </c>
      <c r="Q580" s="258">
        <f t="shared" ref="Q580" si="1873">+P580*$X$1</f>
        <v>650</v>
      </c>
      <c r="R580" s="572">
        <v>550</v>
      </c>
      <c r="S580" s="258">
        <f t="shared" ref="S580" si="1874">+R580*$X$1</f>
        <v>550</v>
      </c>
      <c r="T580" s="572">
        <v>500</v>
      </c>
      <c r="U580" s="258">
        <f t="shared" ref="U580" si="1875">+T580*$X$1</f>
        <v>500</v>
      </c>
      <c r="V580" s="572">
        <v>460</v>
      </c>
      <c r="W580" s="258">
        <f t="shared" ref="W580" si="1876">+V580*$X$1</f>
        <v>460</v>
      </c>
      <c r="X580" s="127"/>
      <c r="Y580" s="122"/>
      <c r="Z580" s="128"/>
      <c r="AA580" s="129"/>
      <c r="AB580" s="30"/>
    </row>
    <row r="581" spans="1:34" ht="12.6" customHeight="1" x14ac:dyDescent="0.2">
      <c r="A581" s="4"/>
      <c r="B581" s="968" t="s">
        <v>552</v>
      </c>
      <c r="C581" s="969"/>
      <c r="D581" s="969"/>
      <c r="E581" s="969"/>
      <c r="F581" s="966"/>
      <c r="G581" s="967"/>
      <c r="H581" s="559">
        <v>900</v>
      </c>
      <c r="I581" s="257">
        <f t="shared" ref="I581" si="1877">+H581*$X$1</f>
        <v>900</v>
      </c>
      <c r="J581" s="559">
        <v>750</v>
      </c>
      <c r="K581" s="257">
        <f t="shared" ref="K581" si="1878">+J581*$X$1</f>
        <v>750</v>
      </c>
      <c r="L581" s="559">
        <v>600</v>
      </c>
      <c r="M581" s="257">
        <f t="shared" ref="M581" si="1879">+L581*$X$1</f>
        <v>600</v>
      </c>
      <c r="N581" s="559">
        <v>550</v>
      </c>
      <c r="O581" s="257">
        <f t="shared" ref="O581" si="1880">+N581*$X$1</f>
        <v>550</v>
      </c>
      <c r="P581" s="559">
        <v>500</v>
      </c>
      <c r="Q581" s="257">
        <f t="shared" ref="Q581" si="1881">+P581*$X$1</f>
        <v>500</v>
      </c>
      <c r="R581" s="559">
        <v>450</v>
      </c>
      <c r="S581" s="257">
        <f t="shared" ref="S581" si="1882">+R581*$X$1</f>
        <v>450</v>
      </c>
      <c r="T581" s="559">
        <v>400</v>
      </c>
      <c r="U581" s="257">
        <f t="shared" ref="U581" si="1883">+T581*$X$1</f>
        <v>400</v>
      </c>
      <c r="V581" s="559">
        <v>370</v>
      </c>
      <c r="W581" s="257">
        <f t="shared" ref="W581" si="1884">+V581*$X$1</f>
        <v>370</v>
      </c>
      <c r="X581" s="127"/>
      <c r="Y581" s="122"/>
      <c r="Z581" s="128"/>
      <c r="AA581" s="129"/>
      <c r="AB581" s="30"/>
    </row>
    <row r="582" spans="1:34" ht="12.6" customHeight="1" x14ac:dyDescent="0.2">
      <c r="A582" s="88"/>
      <c r="B582" s="73"/>
      <c r="C582" s="74"/>
      <c r="D582" s="74"/>
      <c r="E582" s="74"/>
      <c r="F582" s="74"/>
      <c r="G582" s="74"/>
      <c r="H582" s="74"/>
      <c r="I582" s="298"/>
      <c r="J582" s="106"/>
      <c r="K582" s="298"/>
      <c r="L582" s="106"/>
      <c r="M582" s="298"/>
      <c r="N582" s="106"/>
      <c r="O582" s="298"/>
      <c r="P582" s="106"/>
      <c r="Q582" s="298"/>
      <c r="R582" s="106"/>
      <c r="S582" s="298"/>
      <c r="T582" s="106"/>
      <c r="U582" s="298"/>
      <c r="V582" s="106"/>
      <c r="W582" s="298"/>
      <c r="AB582" s="75"/>
    </row>
    <row r="583" spans="1:34" ht="15" customHeight="1" x14ac:dyDescent="0.2">
      <c r="B583" s="814" t="s">
        <v>530</v>
      </c>
      <c r="C583" s="815"/>
      <c r="D583" s="815"/>
      <c r="E583" s="815"/>
      <c r="F583" s="815"/>
      <c r="G583" s="815"/>
      <c r="H583" s="815"/>
      <c r="I583" s="815"/>
      <c r="J583" s="815"/>
      <c r="K583" s="815"/>
      <c r="L583" s="815"/>
      <c r="M583" s="815"/>
      <c r="N583" s="815"/>
      <c r="O583" s="815"/>
      <c r="P583" s="815"/>
      <c r="Q583" s="815"/>
      <c r="R583" s="815"/>
      <c r="S583" s="815"/>
      <c r="T583" s="815"/>
      <c r="U583" s="815"/>
      <c r="V583" s="815"/>
      <c r="W583" s="815"/>
      <c r="AB583" s="4"/>
      <c r="AF583" s="694"/>
      <c r="AG583" s="695"/>
      <c r="AH583" s="695"/>
    </row>
    <row r="584" spans="1:34" ht="14.25" customHeight="1" x14ac:dyDescent="0.2">
      <c r="B584" s="1169" t="s">
        <v>11</v>
      </c>
      <c r="C584" s="1171" t="s">
        <v>12</v>
      </c>
      <c r="D584" s="1172"/>
      <c r="E584" s="1172"/>
      <c r="F584" s="1174" t="s">
        <v>265</v>
      </c>
      <c r="G584" s="1174" t="s">
        <v>13</v>
      </c>
      <c r="H584" s="1176" t="s">
        <v>750</v>
      </c>
      <c r="I584" s="1176"/>
      <c r="J584" s="1177"/>
      <c r="K584" s="1177"/>
      <c r="L584" s="1177"/>
      <c r="M584" s="1177"/>
      <c r="N584" s="1177"/>
      <c r="O584" s="1177"/>
      <c r="P584" s="1177"/>
      <c r="Q584" s="1177"/>
      <c r="R584" s="1177"/>
      <c r="S584" s="1177"/>
      <c r="T584" s="1177"/>
      <c r="U584" s="1177"/>
      <c r="V584" s="1177"/>
      <c r="W584" s="1178"/>
      <c r="X584" s="647" t="s">
        <v>14</v>
      </c>
      <c r="Y584" s="648"/>
      <c r="Z584" s="648"/>
      <c r="AA584" s="649"/>
      <c r="AB584" s="692" t="s">
        <v>15</v>
      </c>
      <c r="AF584" s="694" t="s">
        <v>3</v>
      </c>
      <c r="AG584" s="695"/>
      <c r="AH584" s="695"/>
    </row>
    <row r="585" spans="1:34" ht="12" customHeight="1" x14ac:dyDescent="0.2">
      <c r="B585" s="1170"/>
      <c r="C585" s="1173"/>
      <c r="D585" s="1173"/>
      <c r="E585" s="1173"/>
      <c r="F585" s="1175"/>
      <c r="G585" s="1175"/>
      <c r="H585" s="423"/>
      <c r="I585" s="424" t="s">
        <v>517</v>
      </c>
      <c r="J585" s="423"/>
      <c r="K585" s="424" t="s">
        <v>266</v>
      </c>
      <c r="L585" s="423"/>
      <c r="M585" s="424" t="s">
        <v>267</v>
      </c>
      <c r="N585" s="423"/>
      <c r="O585" s="424" t="s">
        <v>519</v>
      </c>
      <c r="P585" s="423"/>
      <c r="Q585" s="424" t="s">
        <v>17</v>
      </c>
      <c r="R585" s="423"/>
      <c r="S585" s="424" t="s">
        <v>18</v>
      </c>
      <c r="T585" s="423"/>
      <c r="U585" s="424" t="s">
        <v>19</v>
      </c>
      <c r="V585" s="423"/>
      <c r="W585" s="425" t="s">
        <v>520</v>
      </c>
      <c r="X585" s="650"/>
      <c r="Y585" s="651"/>
      <c r="Z585" s="651"/>
      <c r="AA585" s="652"/>
      <c r="AB585" s="693"/>
    </row>
    <row r="586" spans="1:34" ht="12" customHeight="1" x14ac:dyDescent="0.2">
      <c r="A586" s="4"/>
      <c r="B586" s="654" t="s">
        <v>799</v>
      </c>
      <c r="C586" s="798"/>
      <c r="D586" s="798"/>
      <c r="E586" s="798"/>
      <c r="F586" s="273">
        <f>10.44*X2</f>
        <v>13467.599999999999</v>
      </c>
      <c r="G586" s="273">
        <f t="shared" ref="G586:G587" si="1885">+F586*$X$1</f>
        <v>13467.599999999999</v>
      </c>
      <c r="H586" s="93"/>
      <c r="I586" s="273"/>
      <c r="J586" s="93">
        <f>F586+1200</f>
        <v>14667.599999999999</v>
      </c>
      <c r="K586" s="273">
        <f t="shared" ref="K586" si="1886">+J586*$X$1</f>
        <v>14667.599999999999</v>
      </c>
      <c r="L586" s="93">
        <f t="shared" ref="L586:L591" si="1887">F586+800</f>
        <v>14267.599999999999</v>
      </c>
      <c r="M586" s="273">
        <f t="shared" ref="M586" si="1888">+L586*$X$1</f>
        <v>14267.599999999999</v>
      </c>
      <c r="N586" s="93">
        <f t="shared" ref="N586:N591" si="1889">F586+700</f>
        <v>14167.599999999999</v>
      </c>
      <c r="O586" s="273">
        <f t="shared" ref="O586" si="1890">+N586*$X$1</f>
        <v>14167.599999999999</v>
      </c>
      <c r="P586" s="93">
        <f t="shared" ref="P586:P591" si="1891">F586+600</f>
        <v>14067.599999999999</v>
      </c>
      <c r="Q586" s="273">
        <f t="shared" ref="Q586" si="1892">+P586*$X$1</f>
        <v>14067.599999999999</v>
      </c>
      <c r="R586" s="93">
        <f t="shared" ref="R586:R609" si="1893">F586+500</f>
        <v>13967.599999999999</v>
      </c>
      <c r="S586" s="273">
        <f t="shared" ref="S586" si="1894">+R586*$X$1</f>
        <v>13967.599999999999</v>
      </c>
      <c r="T586" s="93">
        <f t="shared" ref="T586:T609" si="1895">F586+450</f>
        <v>13917.599999999999</v>
      </c>
      <c r="U586" s="273">
        <f t="shared" ref="U586" si="1896">+T586*$X$1</f>
        <v>13917.599999999999</v>
      </c>
      <c r="V586" s="93">
        <f t="shared" ref="V586:V609" si="1897">F586+360</f>
        <v>13827.599999999999</v>
      </c>
      <c r="W586" s="273">
        <f t="shared" ref="W586" si="1898">+V586*$X$1</f>
        <v>13827.599999999999</v>
      </c>
      <c r="X586" s="127"/>
      <c r="Y586" s="122"/>
      <c r="Z586" s="128"/>
      <c r="AA586" s="129"/>
      <c r="AB586" s="353">
        <v>533</v>
      </c>
    </row>
    <row r="587" spans="1:34" ht="12" customHeight="1" x14ac:dyDescent="0.2">
      <c r="A587" s="4"/>
      <c r="B587" s="712" t="s">
        <v>877</v>
      </c>
      <c r="C587" s="713"/>
      <c r="D587" s="713"/>
      <c r="E587" s="713"/>
      <c r="F587" s="283">
        <f>6.6*X2</f>
        <v>8514</v>
      </c>
      <c r="G587" s="283">
        <f t="shared" si="1885"/>
        <v>8514</v>
      </c>
      <c r="H587" s="92"/>
      <c r="I587" s="283"/>
      <c r="J587" s="92"/>
      <c r="K587" s="283"/>
      <c r="L587" s="92">
        <f t="shared" si="1887"/>
        <v>9314</v>
      </c>
      <c r="M587" s="283">
        <f t="shared" ref="M587:M591" si="1899">+L587*$X$1</f>
        <v>9314</v>
      </c>
      <c r="N587" s="92">
        <f t="shared" si="1889"/>
        <v>9214</v>
      </c>
      <c r="O587" s="283">
        <f t="shared" ref="O587:O591" si="1900">+N587*$X$1</f>
        <v>9214</v>
      </c>
      <c r="P587" s="92">
        <f t="shared" si="1891"/>
        <v>9114</v>
      </c>
      <c r="Q587" s="283">
        <f t="shared" ref="Q587:Q591" si="1901">+P587*$X$1</f>
        <v>9114</v>
      </c>
      <c r="R587" s="92">
        <f t="shared" si="1893"/>
        <v>9014</v>
      </c>
      <c r="S587" s="283">
        <f t="shared" ref="S587:S593" si="1902">+R587*$X$1</f>
        <v>9014</v>
      </c>
      <c r="T587" s="92">
        <f t="shared" si="1895"/>
        <v>8964</v>
      </c>
      <c r="U587" s="283">
        <f t="shared" ref="U587:U593" si="1903">+T587*$X$1</f>
        <v>8964</v>
      </c>
      <c r="V587" s="92">
        <f t="shared" si="1897"/>
        <v>8874</v>
      </c>
      <c r="W587" s="283">
        <f t="shared" ref="W587:W593" si="1904">+V587*$X$1</f>
        <v>8874</v>
      </c>
      <c r="X587" s="127"/>
      <c r="Y587" s="122"/>
      <c r="Z587" s="128"/>
      <c r="AA587" s="129"/>
      <c r="AB587" s="367">
        <v>556</v>
      </c>
    </row>
    <row r="588" spans="1:34" ht="12" customHeight="1" x14ac:dyDescent="0.2">
      <c r="A588" s="4"/>
      <c r="B588" s="643" t="s">
        <v>802</v>
      </c>
      <c r="C588" s="644"/>
      <c r="D588" s="644"/>
      <c r="E588" s="644"/>
      <c r="F588" s="273">
        <f>7.82*X2</f>
        <v>10087.800000000001</v>
      </c>
      <c r="G588" s="273">
        <f t="shared" ref="G588" si="1905">+F588*$X$1</f>
        <v>10087.800000000001</v>
      </c>
      <c r="H588" s="93"/>
      <c r="I588" s="273"/>
      <c r="J588" s="93"/>
      <c r="K588" s="273"/>
      <c r="L588" s="93"/>
      <c r="M588" s="273"/>
      <c r="N588" s="93">
        <f t="shared" si="1889"/>
        <v>10787.800000000001</v>
      </c>
      <c r="O588" s="273">
        <f t="shared" si="1900"/>
        <v>10787.800000000001</v>
      </c>
      <c r="P588" s="93">
        <f t="shared" si="1891"/>
        <v>10687.800000000001</v>
      </c>
      <c r="Q588" s="273">
        <f t="shared" si="1901"/>
        <v>10687.800000000001</v>
      </c>
      <c r="R588" s="93">
        <f t="shared" si="1893"/>
        <v>10587.800000000001</v>
      </c>
      <c r="S588" s="273">
        <f t="shared" si="1902"/>
        <v>10587.800000000001</v>
      </c>
      <c r="T588" s="93">
        <f t="shared" si="1895"/>
        <v>10537.800000000001</v>
      </c>
      <c r="U588" s="273">
        <f t="shared" si="1903"/>
        <v>10537.800000000001</v>
      </c>
      <c r="V588" s="93">
        <f t="shared" si="1897"/>
        <v>10447.800000000001</v>
      </c>
      <c r="W588" s="273">
        <f t="shared" si="1904"/>
        <v>10447.800000000001</v>
      </c>
      <c r="X588" s="127"/>
      <c r="Y588" s="122"/>
      <c r="Z588" s="128"/>
      <c r="AA588" s="129"/>
      <c r="AB588" s="367">
        <v>566</v>
      </c>
    </row>
    <row r="589" spans="1:34" ht="12" customHeight="1" x14ac:dyDescent="0.2">
      <c r="A589" s="4"/>
      <c r="B589" s="712" t="s">
        <v>803</v>
      </c>
      <c r="C589" s="713"/>
      <c r="D589" s="713"/>
      <c r="E589" s="713"/>
      <c r="F589" s="283">
        <f>9.65*X2</f>
        <v>12448.5</v>
      </c>
      <c r="G589" s="283">
        <f t="shared" ref="G589" si="1906">+F589*$X$1</f>
        <v>12448.5</v>
      </c>
      <c r="H589" s="92"/>
      <c r="I589" s="283"/>
      <c r="J589" s="92"/>
      <c r="K589" s="283"/>
      <c r="L589" s="92"/>
      <c r="M589" s="283"/>
      <c r="N589" s="92">
        <f t="shared" si="1889"/>
        <v>13148.5</v>
      </c>
      <c r="O589" s="283">
        <f t="shared" si="1900"/>
        <v>13148.5</v>
      </c>
      <c r="P589" s="92">
        <f t="shared" si="1891"/>
        <v>13048.5</v>
      </c>
      <c r="Q589" s="283">
        <f t="shared" si="1901"/>
        <v>13048.5</v>
      </c>
      <c r="R589" s="92">
        <f t="shared" si="1893"/>
        <v>12948.5</v>
      </c>
      <c r="S589" s="283">
        <f t="shared" si="1902"/>
        <v>12948.5</v>
      </c>
      <c r="T589" s="92">
        <f t="shared" si="1895"/>
        <v>12898.5</v>
      </c>
      <c r="U589" s="283">
        <f t="shared" si="1903"/>
        <v>12898.5</v>
      </c>
      <c r="V589" s="92">
        <f t="shared" si="1897"/>
        <v>12808.5</v>
      </c>
      <c r="W589" s="283">
        <f t="shared" si="1904"/>
        <v>12808.5</v>
      </c>
      <c r="X589" s="127"/>
      <c r="Y589" s="122"/>
      <c r="Z589" s="128"/>
      <c r="AA589" s="129"/>
      <c r="AB589" s="367">
        <v>567</v>
      </c>
    </row>
    <row r="590" spans="1:34" ht="12" customHeight="1" x14ac:dyDescent="0.2">
      <c r="A590" s="4"/>
      <c r="B590" s="643" t="s">
        <v>804</v>
      </c>
      <c r="C590" s="644"/>
      <c r="D590" s="644"/>
      <c r="E590" s="644"/>
      <c r="F590" s="273">
        <f>9.36*X2</f>
        <v>12074.4</v>
      </c>
      <c r="G590" s="273">
        <f t="shared" ref="G590" si="1907">+F590*$X$1</f>
        <v>12074.4</v>
      </c>
      <c r="H590" s="93"/>
      <c r="I590" s="273"/>
      <c r="J590" s="93"/>
      <c r="K590" s="273"/>
      <c r="L590" s="93"/>
      <c r="M590" s="273"/>
      <c r="N590" s="93">
        <f t="shared" si="1889"/>
        <v>12774.4</v>
      </c>
      <c r="O590" s="273">
        <f t="shared" si="1900"/>
        <v>12774.4</v>
      </c>
      <c r="P590" s="93">
        <f t="shared" si="1891"/>
        <v>12674.4</v>
      </c>
      <c r="Q590" s="273">
        <f t="shared" si="1901"/>
        <v>12674.4</v>
      </c>
      <c r="R590" s="93">
        <f t="shared" si="1893"/>
        <v>12574.4</v>
      </c>
      <c r="S590" s="273">
        <f t="shared" si="1902"/>
        <v>12574.4</v>
      </c>
      <c r="T590" s="93">
        <f t="shared" si="1895"/>
        <v>12524.4</v>
      </c>
      <c r="U590" s="273">
        <f t="shared" si="1903"/>
        <v>12524.4</v>
      </c>
      <c r="V590" s="93">
        <f t="shared" si="1897"/>
        <v>12434.4</v>
      </c>
      <c r="W590" s="273">
        <f t="shared" si="1904"/>
        <v>12434.4</v>
      </c>
      <c r="X590" s="127"/>
      <c r="Y590" s="122"/>
      <c r="Z590" s="128"/>
      <c r="AA590" s="129"/>
      <c r="AB590" s="367">
        <v>569</v>
      </c>
    </row>
    <row r="591" spans="1:34" ht="12" customHeight="1" x14ac:dyDescent="0.2">
      <c r="A591" s="4"/>
      <c r="B591" s="951" t="s">
        <v>687</v>
      </c>
      <c r="C591" s="952"/>
      <c r="D591" s="952"/>
      <c r="E591" s="952"/>
      <c r="F591" s="468">
        <f>18.1*X2</f>
        <v>23349.000000000004</v>
      </c>
      <c r="G591" s="468">
        <f t="shared" ref="G591:I591" si="1908">+F591*$X$1</f>
        <v>23349.000000000004</v>
      </c>
      <c r="H591" s="549">
        <f>F591+5000</f>
        <v>28349.000000000004</v>
      </c>
      <c r="I591" s="468">
        <f t="shared" si="1908"/>
        <v>28349.000000000004</v>
      </c>
      <c r="J591" s="549">
        <f>F591+1200</f>
        <v>24549.000000000004</v>
      </c>
      <c r="K591" s="468">
        <f t="shared" ref="K591" si="1909">+J591*$X$1</f>
        <v>24549.000000000004</v>
      </c>
      <c r="L591" s="549">
        <f t="shared" si="1887"/>
        <v>24149.000000000004</v>
      </c>
      <c r="M591" s="468">
        <f t="shared" si="1899"/>
        <v>24149.000000000004</v>
      </c>
      <c r="N591" s="549">
        <f t="shared" si="1889"/>
        <v>24049.000000000004</v>
      </c>
      <c r="O591" s="468">
        <f t="shared" si="1900"/>
        <v>24049.000000000004</v>
      </c>
      <c r="P591" s="549">
        <f t="shared" si="1891"/>
        <v>23949.000000000004</v>
      </c>
      <c r="Q591" s="468">
        <f t="shared" si="1901"/>
        <v>23949.000000000004</v>
      </c>
      <c r="R591" s="549">
        <f t="shared" si="1893"/>
        <v>23849.000000000004</v>
      </c>
      <c r="S591" s="468">
        <f t="shared" si="1902"/>
        <v>23849.000000000004</v>
      </c>
      <c r="T591" s="549">
        <f t="shared" si="1895"/>
        <v>23799.000000000004</v>
      </c>
      <c r="U591" s="468">
        <f t="shared" si="1903"/>
        <v>23799.000000000004</v>
      </c>
      <c r="V591" s="549">
        <f t="shared" si="1897"/>
        <v>23709.000000000004</v>
      </c>
      <c r="W591" s="468">
        <f t="shared" si="1904"/>
        <v>23709.000000000004</v>
      </c>
      <c r="X591" s="127"/>
      <c r="Y591" s="122"/>
      <c r="Z591" s="128"/>
      <c r="AA591" s="129"/>
      <c r="AB591" s="367">
        <v>570</v>
      </c>
    </row>
    <row r="592" spans="1:34" ht="12" customHeight="1" x14ac:dyDescent="0.2">
      <c r="A592" s="4"/>
      <c r="B592" s="951" t="s">
        <v>1014</v>
      </c>
      <c r="C592" s="952"/>
      <c r="D592" s="952"/>
      <c r="E592" s="952"/>
      <c r="F592" s="553">
        <v>15300</v>
      </c>
      <c r="G592" s="469">
        <f>+F592*$X$1</f>
        <v>15300</v>
      </c>
      <c r="H592" s="549"/>
      <c r="I592" s="468"/>
      <c r="J592" s="549"/>
      <c r="K592" s="468"/>
      <c r="L592" s="549"/>
      <c r="M592" s="468"/>
      <c r="N592" s="549">
        <f t="shared" ref="N592" si="1910">F592+700</f>
        <v>16000</v>
      </c>
      <c r="O592" s="468">
        <f t="shared" ref="O592" si="1911">+N592*$X$1</f>
        <v>16000</v>
      </c>
      <c r="P592" s="549">
        <f t="shared" ref="P592" si="1912">F592+600</f>
        <v>15900</v>
      </c>
      <c r="Q592" s="468">
        <f t="shared" ref="Q592" si="1913">+P592*$X$1</f>
        <v>15900</v>
      </c>
      <c r="R592" s="549">
        <f t="shared" ref="R592" si="1914">F592+500</f>
        <v>15800</v>
      </c>
      <c r="S592" s="468">
        <f t="shared" ref="S592" si="1915">+R592*$X$1</f>
        <v>15800</v>
      </c>
      <c r="T592" s="549">
        <f t="shared" ref="T592" si="1916">F592+450</f>
        <v>15750</v>
      </c>
      <c r="U592" s="468">
        <f t="shared" ref="U592" si="1917">+T592*$X$1</f>
        <v>15750</v>
      </c>
      <c r="V592" s="549">
        <f t="shared" ref="V592" si="1918">F592+360</f>
        <v>15660</v>
      </c>
      <c r="W592" s="468">
        <f t="shared" ref="W592" si="1919">+V592*$X$1</f>
        <v>15660</v>
      </c>
      <c r="X592" s="127"/>
      <c r="Y592" s="122"/>
      <c r="Z592" s="128"/>
      <c r="AA592" s="129"/>
      <c r="AB592" s="367" t="s">
        <v>1013</v>
      </c>
    </row>
    <row r="593" spans="1:28" ht="12" customHeight="1" x14ac:dyDescent="0.2">
      <c r="A593" s="4"/>
      <c r="B593" s="712" t="s">
        <v>874</v>
      </c>
      <c r="C593" s="713"/>
      <c r="D593" s="713"/>
      <c r="E593" s="713"/>
      <c r="F593" s="283">
        <v>4910</v>
      </c>
      <c r="G593" s="283">
        <f>+F593*$X$1</f>
        <v>4910</v>
      </c>
      <c r="H593" s="92"/>
      <c r="I593" s="283"/>
      <c r="J593" s="92"/>
      <c r="K593" s="283"/>
      <c r="L593" s="92"/>
      <c r="M593" s="283"/>
      <c r="N593" s="92"/>
      <c r="O593" s="283"/>
      <c r="P593" s="92"/>
      <c r="Q593" s="283"/>
      <c r="R593" s="92">
        <f t="shared" si="1893"/>
        <v>5410</v>
      </c>
      <c r="S593" s="283">
        <f t="shared" si="1902"/>
        <v>5410</v>
      </c>
      <c r="T593" s="92">
        <f t="shared" si="1895"/>
        <v>5360</v>
      </c>
      <c r="U593" s="283">
        <f t="shared" si="1903"/>
        <v>5360</v>
      </c>
      <c r="V593" s="92">
        <f t="shared" si="1897"/>
        <v>5270</v>
      </c>
      <c r="W593" s="283">
        <f t="shared" si="1904"/>
        <v>5270</v>
      </c>
      <c r="X593" s="127"/>
      <c r="Y593" s="122"/>
      <c r="Z593" s="128"/>
      <c r="AA593" s="129"/>
      <c r="AB593" s="353">
        <v>572</v>
      </c>
    </row>
    <row r="594" spans="1:28" ht="12" customHeight="1" x14ac:dyDescent="0.2">
      <c r="A594" s="4"/>
      <c r="B594" s="643" t="s">
        <v>873</v>
      </c>
      <c r="C594" s="644"/>
      <c r="D594" s="644"/>
      <c r="E594" s="644"/>
      <c r="F594" s="273">
        <f>5.08*X2</f>
        <v>6553.2</v>
      </c>
      <c r="G594" s="273">
        <f t="shared" ref="G594" si="1920">+F594*$X$1</f>
        <v>6553.2</v>
      </c>
      <c r="H594" s="93"/>
      <c r="I594" s="273"/>
      <c r="J594" s="93"/>
      <c r="K594" s="273"/>
      <c r="L594" s="93"/>
      <c r="M594" s="273"/>
      <c r="N594" s="93">
        <f t="shared" ref="N594:N609" si="1921">F594+700</f>
        <v>7253.2</v>
      </c>
      <c r="O594" s="273">
        <f t="shared" ref="O594:O595" si="1922">+N594*$X$1</f>
        <v>7253.2</v>
      </c>
      <c r="P594" s="93">
        <f t="shared" ref="P594:P609" si="1923">F594+600</f>
        <v>7153.2</v>
      </c>
      <c r="Q594" s="273">
        <f t="shared" ref="Q594:Q595" si="1924">+P594*$X$1</f>
        <v>7153.2</v>
      </c>
      <c r="R594" s="93">
        <f t="shared" si="1893"/>
        <v>7053.2</v>
      </c>
      <c r="S594" s="273">
        <f t="shared" ref="S594:S595" si="1925">+R594*$X$1</f>
        <v>7053.2</v>
      </c>
      <c r="T594" s="93">
        <f t="shared" si="1895"/>
        <v>7003.2</v>
      </c>
      <c r="U594" s="273">
        <f t="shared" ref="U594:U595" si="1926">+T594*$X$1</f>
        <v>7003.2</v>
      </c>
      <c r="V594" s="93">
        <f t="shared" si="1897"/>
        <v>6913.2</v>
      </c>
      <c r="W594" s="273">
        <f t="shared" ref="W594:W595" si="1927">+V594*$X$1</f>
        <v>6913.2</v>
      </c>
      <c r="X594" s="127"/>
      <c r="Y594" s="122"/>
      <c r="Z594" s="128"/>
      <c r="AA594" s="129"/>
      <c r="AB594" s="353" t="s">
        <v>723</v>
      </c>
    </row>
    <row r="595" spans="1:28" ht="12" customHeight="1" x14ac:dyDescent="0.2">
      <c r="A595" s="4"/>
      <c r="B595" s="712" t="s">
        <v>826</v>
      </c>
      <c r="C595" s="713"/>
      <c r="D595" s="713"/>
      <c r="E595" s="713"/>
      <c r="F595" s="283">
        <f>1.7*X2</f>
        <v>2193</v>
      </c>
      <c r="G595" s="283">
        <f t="shared" ref="G595" si="1928">+F595*$X$1</f>
        <v>2193</v>
      </c>
      <c r="H595" s="92"/>
      <c r="I595" s="283"/>
      <c r="J595" s="92"/>
      <c r="K595" s="283"/>
      <c r="L595" s="92"/>
      <c r="M595" s="283"/>
      <c r="N595" s="92">
        <f t="shared" si="1921"/>
        <v>2893</v>
      </c>
      <c r="O595" s="283">
        <f t="shared" si="1922"/>
        <v>2893</v>
      </c>
      <c r="P595" s="92">
        <f t="shared" si="1923"/>
        <v>2793</v>
      </c>
      <c r="Q595" s="283">
        <f t="shared" si="1924"/>
        <v>2793</v>
      </c>
      <c r="R595" s="92">
        <f t="shared" si="1893"/>
        <v>2693</v>
      </c>
      <c r="S595" s="283">
        <f t="shared" si="1925"/>
        <v>2693</v>
      </c>
      <c r="T595" s="92">
        <f t="shared" si="1895"/>
        <v>2643</v>
      </c>
      <c r="U595" s="283">
        <f t="shared" si="1926"/>
        <v>2643</v>
      </c>
      <c r="V595" s="92">
        <f t="shared" si="1897"/>
        <v>2553</v>
      </c>
      <c r="W595" s="283">
        <f t="shared" si="1927"/>
        <v>2553</v>
      </c>
      <c r="X595" s="127"/>
      <c r="Y595" s="122"/>
      <c r="Z595" s="128"/>
      <c r="AA595" s="129"/>
      <c r="AB595" s="353">
        <v>575</v>
      </c>
    </row>
    <row r="596" spans="1:28" ht="12" customHeight="1" x14ac:dyDescent="0.2">
      <c r="A596" s="4"/>
      <c r="B596" s="951" t="s">
        <v>677</v>
      </c>
      <c r="C596" s="952"/>
      <c r="D596" s="952"/>
      <c r="E596" s="952"/>
      <c r="F596" s="468">
        <v>13850</v>
      </c>
      <c r="G596" s="468">
        <f t="shared" ref="G596:G597" si="1929">+F596*$X$1</f>
        <v>13850</v>
      </c>
      <c r="H596" s="549"/>
      <c r="I596" s="468"/>
      <c r="J596" s="549"/>
      <c r="K596" s="468"/>
      <c r="L596" s="549">
        <f t="shared" ref="L596:L609" si="1930">F596+800</f>
        <v>14650</v>
      </c>
      <c r="M596" s="468">
        <f t="shared" ref="M596:M602" si="1931">+L596*$X$1</f>
        <v>14650</v>
      </c>
      <c r="N596" s="549">
        <f t="shared" si="1921"/>
        <v>14550</v>
      </c>
      <c r="O596" s="468">
        <f t="shared" ref="O596:O602" si="1932">+N596*$X$1</f>
        <v>14550</v>
      </c>
      <c r="P596" s="549">
        <f t="shared" si="1923"/>
        <v>14450</v>
      </c>
      <c r="Q596" s="468">
        <f t="shared" ref="Q596:Q602" si="1933">+P596*$X$1</f>
        <v>14450</v>
      </c>
      <c r="R596" s="549">
        <f t="shared" si="1893"/>
        <v>14350</v>
      </c>
      <c r="S596" s="468">
        <f t="shared" ref="S596:S602" si="1934">+R596*$X$1</f>
        <v>14350</v>
      </c>
      <c r="T596" s="549">
        <f t="shared" si="1895"/>
        <v>14300</v>
      </c>
      <c r="U596" s="468">
        <f t="shared" ref="U596:U602" si="1935">+T596*$X$1</f>
        <v>14300</v>
      </c>
      <c r="V596" s="549">
        <f t="shared" si="1897"/>
        <v>14210</v>
      </c>
      <c r="W596" s="468">
        <f t="shared" ref="W596:W602" si="1936">+V596*$X$1</f>
        <v>14210</v>
      </c>
      <c r="X596" s="127"/>
      <c r="Y596" s="122"/>
      <c r="Z596" s="128"/>
      <c r="AA596" s="129"/>
      <c r="AB596" s="353">
        <v>577</v>
      </c>
    </row>
    <row r="597" spans="1:28" ht="12" customHeight="1" x14ac:dyDescent="0.2">
      <c r="A597" s="4"/>
      <c r="B597" s="984" t="s">
        <v>975</v>
      </c>
      <c r="C597" s="985"/>
      <c r="D597" s="985"/>
      <c r="E597" s="985"/>
      <c r="F597" s="283">
        <f>9.18*X2</f>
        <v>11842.199999999999</v>
      </c>
      <c r="G597" s="283">
        <f t="shared" si="1929"/>
        <v>11842.199999999999</v>
      </c>
      <c r="H597" s="92"/>
      <c r="I597" s="283"/>
      <c r="J597" s="92"/>
      <c r="K597" s="283"/>
      <c r="L597" s="92">
        <f t="shared" si="1930"/>
        <v>12642.199999999999</v>
      </c>
      <c r="M597" s="283">
        <f t="shared" si="1931"/>
        <v>12642.199999999999</v>
      </c>
      <c r="N597" s="92">
        <f t="shared" si="1921"/>
        <v>12542.199999999999</v>
      </c>
      <c r="O597" s="283">
        <f t="shared" si="1932"/>
        <v>12542.199999999999</v>
      </c>
      <c r="P597" s="92">
        <f t="shared" si="1923"/>
        <v>12442.199999999999</v>
      </c>
      <c r="Q597" s="283">
        <f t="shared" si="1933"/>
        <v>12442.199999999999</v>
      </c>
      <c r="R597" s="92">
        <f t="shared" ref="R597" si="1937">F597+500</f>
        <v>12342.199999999999</v>
      </c>
      <c r="S597" s="283">
        <f t="shared" si="1934"/>
        <v>12342.199999999999</v>
      </c>
      <c r="T597" s="92">
        <f t="shared" ref="T597" si="1938">F597+450</f>
        <v>12292.199999999999</v>
      </c>
      <c r="U597" s="283">
        <f t="shared" si="1935"/>
        <v>12292.199999999999</v>
      </c>
      <c r="V597" s="92">
        <f t="shared" ref="V597" si="1939">F597+360</f>
        <v>12202.199999999999</v>
      </c>
      <c r="W597" s="283">
        <f t="shared" si="1936"/>
        <v>12202.199999999999</v>
      </c>
      <c r="X597" s="127"/>
      <c r="Y597" s="122"/>
      <c r="Z597" s="128"/>
      <c r="AA597" s="129"/>
      <c r="AB597" s="367">
        <v>579</v>
      </c>
    </row>
    <row r="598" spans="1:28" ht="12" customHeight="1" x14ac:dyDescent="0.2">
      <c r="A598" s="4"/>
      <c r="B598" s="654" t="s">
        <v>676</v>
      </c>
      <c r="C598" s="798"/>
      <c r="D598" s="798"/>
      <c r="E598" s="798"/>
      <c r="F598" s="273">
        <f>27.7*X2</f>
        <v>35733</v>
      </c>
      <c r="G598" s="273">
        <f>+F598*$X$1</f>
        <v>35733</v>
      </c>
      <c r="H598" s="93">
        <f>F598+5000</f>
        <v>40733</v>
      </c>
      <c r="I598" s="273">
        <f t="shared" ref="I598:I601" si="1940">+H598*$X$1</f>
        <v>40733</v>
      </c>
      <c r="J598" s="93">
        <f>F598+1200</f>
        <v>36933</v>
      </c>
      <c r="K598" s="273">
        <f t="shared" ref="K598:K601" si="1941">+J598*$X$1</f>
        <v>36933</v>
      </c>
      <c r="L598" s="93">
        <f t="shared" si="1930"/>
        <v>36533</v>
      </c>
      <c r="M598" s="273">
        <f t="shared" si="1931"/>
        <v>36533</v>
      </c>
      <c r="N598" s="93">
        <f t="shared" si="1921"/>
        <v>36433</v>
      </c>
      <c r="O598" s="273">
        <f t="shared" si="1932"/>
        <v>36433</v>
      </c>
      <c r="P598" s="93">
        <f t="shared" si="1923"/>
        <v>36333</v>
      </c>
      <c r="Q598" s="273">
        <f t="shared" si="1933"/>
        <v>36333</v>
      </c>
      <c r="R598" s="93">
        <f t="shared" si="1893"/>
        <v>36233</v>
      </c>
      <c r="S598" s="273">
        <f t="shared" si="1934"/>
        <v>36233</v>
      </c>
      <c r="T598" s="93">
        <f t="shared" si="1895"/>
        <v>36183</v>
      </c>
      <c r="U598" s="273">
        <f t="shared" si="1935"/>
        <v>36183</v>
      </c>
      <c r="V598" s="93">
        <f t="shared" si="1897"/>
        <v>36093</v>
      </c>
      <c r="W598" s="273">
        <f t="shared" si="1936"/>
        <v>36093</v>
      </c>
      <c r="X598" s="127"/>
      <c r="Y598" s="122"/>
      <c r="Z598" s="128"/>
      <c r="AA598" s="129"/>
      <c r="AB598" s="353">
        <v>580</v>
      </c>
    </row>
    <row r="599" spans="1:28" ht="12" customHeight="1" x14ac:dyDescent="0.2">
      <c r="A599" s="4"/>
      <c r="B599" s="645" t="s">
        <v>675</v>
      </c>
      <c r="C599" s="679"/>
      <c r="D599" s="679"/>
      <c r="E599" s="679"/>
      <c r="F599" s="285">
        <f>23.4*X2</f>
        <v>30185.999999999996</v>
      </c>
      <c r="G599" s="258">
        <f>+F599*$X$1</f>
        <v>30185.999999999996</v>
      </c>
      <c r="H599" s="92">
        <f>F599+5000</f>
        <v>35186</v>
      </c>
      <c r="I599" s="283">
        <f t="shared" si="1940"/>
        <v>35186</v>
      </c>
      <c r="J599" s="92">
        <f>F599+1200</f>
        <v>31385.999999999996</v>
      </c>
      <c r="K599" s="283">
        <f t="shared" si="1941"/>
        <v>31385.999999999996</v>
      </c>
      <c r="L599" s="92">
        <f t="shared" si="1930"/>
        <v>30985.999999999996</v>
      </c>
      <c r="M599" s="283">
        <f t="shared" si="1931"/>
        <v>30985.999999999996</v>
      </c>
      <c r="N599" s="92">
        <f t="shared" si="1921"/>
        <v>30885.999999999996</v>
      </c>
      <c r="O599" s="283">
        <f t="shared" si="1932"/>
        <v>30885.999999999996</v>
      </c>
      <c r="P599" s="92">
        <f t="shared" si="1923"/>
        <v>30785.999999999996</v>
      </c>
      <c r="Q599" s="283">
        <f t="shared" si="1933"/>
        <v>30785.999999999996</v>
      </c>
      <c r="R599" s="92">
        <f t="shared" si="1893"/>
        <v>30685.999999999996</v>
      </c>
      <c r="S599" s="283">
        <f t="shared" si="1934"/>
        <v>30685.999999999996</v>
      </c>
      <c r="T599" s="92">
        <f t="shared" si="1895"/>
        <v>30635.999999999996</v>
      </c>
      <c r="U599" s="283">
        <f t="shared" si="1935"/>
        <v>30635.999999999996</v>
      </c>
      <c r="V599" s="92">
        <f t="shared" si="1897"/>
        <v>30545.999999999996</v>
      </c>
      <c r="W599" s="283">
        <f t="shared" si="1936"/>
        <v>30545.999999999996</v>
      </c>
      <c r="X599" s="127"/>
      <c r="Y599" s="122"/>
      <c r="Z599" s="128"/>
      <c r="AA599" s="129"/>
      <c r="AB599" s="353">
        <v>582</v>
      </c>
    </row>
    <row r="600" spans="1:28" ht="12" customHeight="1" x14ac:dyDescent="0.2">
      <c r="A600" s="4"/>
      <c r="B600" s="654" t="s">
        <v>674</v>
      </c>
      <c r="C600" s="798"/>
      <c r="D600" s="798"/>
      <c r="E600" s="798"/>
      <c r="F600" s="273">
        <v>33200</v>
      </c>
      <c r="G600" s="273">
        <f>+F600*$X$1</f>
        <v>33200</v>
      </c>
      <c r="H600" s="93">
        <f>F600+5000</f>
        <v>38200</v>
      </c>
      <c r="I600" s="273">
        <f t="shared" si="1940"/>
        <v>38200</v>
      </c>
      <c r="J600" s="93">
        <f>F600+1200</f>
        <v>34400</v>
      </c>
      <c r="K600" s="273">
        <f t="shared" si="1941"/>
        <v>34400</v>
      </c>
      <c r="L600" s="93">
        <f t="shared" si="1930"/>
        <v>34000</v>
      </c>
      <c r="M600" s="273">
        <f t="shared" si="1931"/>
        <v>34000</v>
      </c>
      <c r="N600" s="93">
        <f t="shared" si="1921"/>
        <v>33900</v>
      </c>
      <c r="O600" s="273">
        <f t="shared" si="1932"/>
        <v>33900</v>
      </c>
      <c r="P600" s="93">
        <f t="shared" si="1923"/>
        <v>33800</v>
      </c>
      <c r="Q600" s="273">
        <f t="shared" si="1933"/>
        <v>33800</v>
      </c>
      <c r="R600" s="93">
        <f t="shared" si="1893"/>
        <v>33700</v>
      </c>
      <c r="S600" s="273">
        <f t="shared" si="1934"/>
        <v>33700</v>
      </c>
      <c r="T600" s="93">
        <f t="shared" si="1895"/>
        <v>33650</v>
      </c>
      <c r="U600" s="273">
        <f t="shared" si="1935"/>
        <v>33650</v>
      </c>
      <c r="V600" s="93">
        <f t="shared" si="1897"/>
        <v>33560</v>
      </c>
      <c r="W600" s="273">
        <f t="shared" si="1936"/>
        <v>33560</v>
      </c>
      <c r="X600" s="127"/>
      <c r="Y600" s="122"/>
      <c r="Z600" s="128"/>
      <c r="AA600" s="129"/>
      <c r="AB600" s="353">
        <v>584</v>
      </c>
    </row>
    <row r="601" spans="1:28" ht="12" customHeight="1" x14ac:dyDescent="0.2">
      <c r="A601" s="4"/>
      <c r="B601" s="810" t="s">
        <v>724</v>
      </c>
      <c r="C601" s="811"/>
      <c r="D601" s="811"/>
      <c r="E601" s="812"/>
      <c r="F601" s="285">
        <f>25.5*X2</f>
        <v>32895</v>
      </c>
      <c r="G601" s="258">
        <f>+F601*$X$1</f>
        <v>32895</v>
      </c>
      <c r="H601" s="92">
        <f>F601+5000</f>
        <v>37895</v>
      </c>
      <c r="I601" s="283">
        <f t="shared" si="1940"/>
        <v>37895</v>
      </c>
      <c r="J601" s="92">
        <f>F601+1200</f>
        <v>34095</v>
      </c>
      <c r="K601" s="283">
        <f t="shared" si="1941"/>
        <v>34095</v>
      </c>
      <c r="L601" s="92">
        <f t="shared" si="1930"/>
        <v>33695</v>
      </c>
      <c r="M601" s="283">
        <f t="shared" si="1931"/>
        <v>33695</v>
      </c>
      <c r="N601" s="92">
        <f t="shared" si="1921"/>
        <v>33595</v>
      </c>
      <c r="O601" s="283">
        <f t="shared" si="1932"/>
        <v>33595</v>
      </c>
      <c r="P601" s="92">
        <f t="shared" si="1923"/>
        <v>33495</v>
      </c>
      <c r="Q601" s="283">
        <f t="shared" si="1933"/>
        <v>33495</v>
      </c>
      <c r="R601" s="92">
        <f t="shared" si="1893"/>
        <v>33395</v>
      </c>
      <c r="S601" s="283">
        <f t="shared" si="1934"/>
        <v>33395</v>
      </c>
      <c r="T601" s="92">
        <f t="shared" si="1895"/>
        <v>33345</v>
      </c>
      <c r="U601" s="283">
        <f t="shared" si="1935"/>
        <v>33345</v>
      </c>
      <c r="V601" s="92">
        <f t="shared" si="1897"/>
        <v>33255</v>
      </c>
      <c r="W601" s="283">
        <f t="shared" si="1936"/>
        <v>33255</v>
      </c>
      <c r="X601" s="127"/>
      <c r="Y601" s="122"/>
      <c r="Z601" s="128"/>
      <c r="AA601" s="129"/>
      <c r="AB601" s="353">
        <v>586</v>
      </c>
    </row>
    <row r="602" spans="1:28" ht="12" customHeight="1" x14ac:dyDescent="0.2">
      <c r="A602" s="4"/>
      <c r="B602" s="805" t="s">
        <v>805</v>
      </c>
      <c r="C602" s="806"/>
      <c r="D602" s="806"/>
      <c r="E602" s="807"/>
      <c r="F602" s="273">
        <v>14490</v>
      </c>
      <c r="G602" s="273">
        <f t="shared" ref="G602" si="1942">+F602*$X$1</f>
        <v>14490</v>
      </c>
      <c r="H602" s="93"/>
      <c r="I602" s="273"/>
      <c r="J602" s="93"/>
      <c r="K602" s="273"/>
      <c r="L602" s="93">
        <f t="shared" si="1930"/>
        <v>15290</v>
      </c>
      <c r="M602" s="273">
        <f t="shared" si="1931"/>
        <v>15290</v>
      </c>
      <c r="N602" s="93">
        <f t="shared" si="1921"/>
        <v>15190</v>
      </c>
      <c r="O602" s="273">
        <f t="shared" si="1932"/>
        <v>15190</v>
      </c>
      <c r="P602" s="93">
        <f t="shared" si="1923"/>
        <v>15090</v>
      </c>
      <c r="Q602" s="273">
        <f t="shared" si="1933"/>
        <v>15090</v>
      </c>
      <c r="R602" s="93">
        <f t="shared" si="1893"/>
        <v>14990</v>
      </c>
      <c r="S602" s="273">
        <f t="shared" si="1934"/>
        <v>14990</v>
      </c>
      <c r="T602" s="93">
        <f t="shared" si="1895"/>
        <v>14940</v>
      </c>
      <c r="U602" s="273">
        <f t="shared" si="1935"/>
        <v>14940</v>
      </c>
      <c r="V602" s="93">
        <f t="shared" si="1897"/>
        <v>14850</v>
      </c>
      <c r="W602" s="273">
        <f t="shared" si="1936"/>
        <v>14850</v>
      </c>
      <c r="X602" s="127"/>
      <c r="Y602" s="122"/>
      <c r="Z602" s="128"/>
      <c r="AA602" s="129"/>
      <c r="AB602" s="353">
        <v>590</v>
      </c>
    </row>
    <row r="603" spans="1:28" ht="12" customHeight="1" x14ac:dyDescent="0.2">
      <c r="A603" s="4"/>
      <c r="B603" s="739" t="s">
        <v>813</v>
      </c>
      <c r="C603" s="740"/>
      <c r="D603" s="740"/>
      <c r="E603" s="741"/>
      <c r="F603" s="553">
        <f>3.8*X2</f>
        <v>4902</v>
      </c>
      <c r="G603" s="469">
        <f>+F603*$X$1</f>
        <v>4902</v>
      </c>
      <c r="H603" s="549">
        <f>F603+5000</f>
        <v>9902</v>
      </c>
      <c r="I603" s="468">
        <f t="shared" ref="I603:I604" si="1943">+H603*$X$1</f>
        <v>9902</v>
      </c>
      <c r="J603" s="549">
        <f>F603+1200</f>
        <v>6102</v>
      </c>
      <c r="K603" s="468">
        <f t="shared" ref="K603:K604" si="1944">+J603*$X$1</f>
        <v>6102</v>
      </c>
      <c r="L603" s="549">
        <f t="shared" si="1930"/>
        <v>5702</v>
      </c>
      <c r="M603" s="468">
        <f t="shared" ref="M603:M605" si="1945">+L603*$X$1</f>
        <v>5702</v>
      </c>
      <c r="N603" s="549">
        <f t="shared" si="1921"/>
        <v>5602</v>
      </c>
      <c r="O603" s="468">
        <f t="shared" ref="O603:O605" si="1946">+N603*$X$1</f>
        <v>5602</v>
      </c>
      <c r="P603" s="549">
        <f t="shared" si="1923"/>
        <v>5502</v>
      </c>
      <c r="Q603" s="468">
        <f t="shared" ref="Q603:Q605" si="1947">+P603*$X$1</f>
        <v>5502</v>
      </c>
      <c r="R603" s="549">
        <f t="shared" si="1893"/>
        <v>5402</v>
      </c>
      <c r="S603" s="468">
        <f t="shared" ref="S603:S605" si="1948">+R603*$X$1</f>
        <v>5402</v>
      </c>
      <c r="T603" s="549">
        <f t="shared" si="1895"/>
        <v>5352</v>
      </c>
      <c r="U603" s="468">
        <f t="shared" ref="U603:U605" si="1949">+T603*$X$1</f>
        <v>5352</v>
      </c>
      <c r="V603" s="549">
        <f t="shared" si="1897"/>
        <v>5262</v>
      </c>
      <c r="W603" s="468">
        <f t="shared" ref="W603:W605" si="1950">+V603*$X$1</f>
        <v>5262</v>
      </c>
      <c r="X603" s="127"/>
      <c r="Y603" s="122"/>
      <c r="Z603" s="128"/>
      <c r="AA603" s="129"/>
      <c r="AB603" s="178">
        <v>593</v>
      </c>
    </row>
    <row r="604" spans="1:28" ht="12" customHeight="1" x14ac:dyDescent="0.2">
      <c r="A604" s="4"/>
      <c r="B604" s="635" t="s">
        <v>920</v>
      </c>
      <c r="C604" s="690"/>
      <c r="D604" s="690"/>
      <c r="E604" s="691"/>
      <c r="F604" s="258">
        <f>15.98*X2</f>
        <v>20614.2</v>
      </c>
      <c r="G604" s="258">
        <f>+F604*$X$1</f>
        <v>20614.2</v>
      </c>
      <c r="H604" s="92">
        <f t="shared" ref="H604" si="1951">F604+5000</f>
        <v>25614.2</v>
      </c>
      <c r="I604" s="283">
        <f t="shared" si="1943"/>
        <v>25614.2</v>
      </c>
      <c r="J604" s="92">
        <f>F604+1200</f>
        <v>21814.2</v>
      </c>
      <c r="K604" s="283">
        <f t="shared" si="1944"/>
        <v>21814.2</v>
      </c>
      <c r="L604" s="92">
        <f t="shared" si="1930"/>
        <v>21414.2</v>
      </c>
      <c r="M604" s="283">
        <f t="shared" si="1945"/>
        <v>21414.2</v>
      </c>
      <c r="N604" s="92">
        <f t="shared" si="1921"/>
        <v>21314.2</v>
      </c>
      <c r="O604" s="283">
        <f t="shared" si="1946"/>
        <v>21314.2</v>
      </c>
      <c r="P604" s="92">
        <f t="shared" si="1923"/>
        <v>21214.2</v>
      </c>
      <c r="Q604" s="283">
        <f t="shared" si="1947"/>
        <v>21214.2</v>
      </c>
      <c r="R604" s="92">
        <f t="shared" si="1893"/>
        <v>21114.2</v>
      </c>
      <c r="S604" s="283">
        <f t="shared" si="1948"/>
        <v>21114.2</v>
      </c>
      <c r="T604" s="92">
        <f t="shared" si="1895"/>
        <v>21064.2</v>
      </c>
      <c r="U604" s="283">
        <f t="shared" si="1949"/>
        <v>21064.2</v>
      </c>
      <c r="V604" s="92">
        <f t="shared" si="1897"/>
        <v>20974.2</v>
      </c>
      <c r="W604" s="283">
        <f t="shared" si="1950"/>
        <v>20974.2</v>
      </c>
      <c r="X604" s="127"/>
      <c r="Y604" s="122"/>
      <c r="Z604" s="128"/>
      <c r="AA604" s="129"/>
      <c r="AB604" s="353">
        <v>598</v>
      </c>
    </row>
    <row r="605" spans="1:28" ht="12" customHeight="1" x14ac:dyDescent="0.2">
      <c r="A605" s="4"/>
      <c r="B605" s="739" t="s">
        <v>686</v>
      </c>
      <c r="C605" s="740"/>
      <c r="D605" s="740"/>
      <c r="E605" s="741"/>
      <c r="F605" s="553">
        <v>17980</v>
      </c>
      <c r="G605" s="469">
        <f>+F605*$X$1</f>
        <v>17980</v>
      </c>
      <c r="H605" s="549"/>
      <c r="I605" s="468"/>
      <c r="J605" s="549">
        <f>F605+1200</f>
        <v>19180</v>
      </c>
      <c r="K605" s="468">
        <f t="shared" ref="K605" si="1952">+J605*$X$1</f>
        <v>19180</v>
      </c>
      <c r="L605" s="549">
        <f t="shared" si="1930"/>
        <v>18780</v>
      </c>
      <c r="M605" s="468">
        <f t="shared" si="1945"/>
        <v>18780</v>
      </c>
      <c r="N605" s="549">
        <f t="shared" si="1921"/>
        <v>18680</v>
      </c>
      <c r="O605" s="468">
        <f t="shared" si="1946"/>
        <v>18680</v>
      </c>
      <c r="P605" s="549">
        <f t="shared" si="1923"/>
        <v>18580</v>
      </c>
      <c r="Q605" s="468">
        <f t="shared" si="1947"/>
        <v>18580</v>
      </c>
      <c r="R605" s="549">
        <f t="shared" si="1893"/>
        <v>18480</v>
      </c>
      <c r="S605" s="468">
        <f t="shared" si="1948"/>
        <v>18480</v>
      </c>
      <c r="T605" s="549">
        <f t="shared" si="1895"/>
        <v>18430</v>
      </c>
      <c r="U605" s="468">
        <f t="shared" si="1949"/>
        <v>18430</v>
      </c>
      <c r="V605" s="549">
        <f t="shared" si="1897"/>
        <v>18340</v>
      </c>
      <c r="W605" s="468">
        <f t="shared" si="1950"/>
        <v>18340</v>
      </c>
      <c r="X605" s="127"/>
      <c r="Y605" s="122"/>
      <c r="Z605" s="128"/>
      <c r="AA605" s="129"/>
      <c r="AB605" s="353">
        <v>599</v>
      </c>
    </row>
    <row r="606" spans="1:28" ht="12" customHeight="1" x14ac:dyDescent="0.2">
      <c r="A606" s="4"/>
      <c r="B606" s="739" t="s">
        <v>673</v>
      </c>
      <c r="C606" s="740"/>
      <c r="D606" s="740"/>
      <c r="E606" s="741"/>
      <c r="F606" s="469">
        <f>17*X2</f>
        <v>21930</v>
      </c>
      <c r="G606" s="469">
        <f>+F606*$X$1</f>
        <v>21930</v>
      </c>
      <c r="H606" s="549">
        <f>F606+5000</f>
        <v>26930</v>
      </c>
      <c r="I606" s="468">
        <f t="shared" ref="I606:I609" si="1953">+H606*$X$1</f>
        <v>26930</v>
      </c>
      <c r="J606" s="549">
        <f t="shared" ref="J606:J625" si="1954">F606+1200</f>
        <v>23130</v>
      </c>
      <c r="K606" s="468">
        <f t="shared" ref="K606:K609" si="1955">+J606*$X$1</f>
        <v>23130</v>
      </c>
      <c r="L606" s="549">
        <f t="shared" si="1930"/>
        <v>22730</v>
      </c>
      <c r="M606" s="468">
        <f t="shared" ref="M606:M609" si="1956">+L606*$X$1</f>
        <v>22730</v>
      </c>
      <c r="N606" s="549">
        <f t="shared" si="1921"/>
        <v>22630</v>
      </c>
      <c r="O606" s="468">
        <f t="shared" ref="O606:O609" si="1957">+N606*$X$1</f>
        <v>22630</v>
      </c>
      <c r="P606" s="549">
        <f t="shared" si="1923"/>
        <v>22530</v>
      </c>
      <c r="Q606" s="468">
        <f t="shared" ref="Q606:Q609" si="1958">+P606*$X$1</f>
        <v>22530</v>
      </c>
      <c r="R606" s="549">
        <f t="shared" si="1893"/>
        <v>22430</v>
      </c>
      <c r="S606" s="468">
        <f t="shared" ref="S606:S609" si="1959">+R606*$X$1</f>
        <v>22430</v>
      </c>
      <c r="T606" s="549">
        <f t="shared" si="1895"/>
        <v>22380</v>
      </c>
      <c r="U606" s="468">
        <f t="shared" ref="U606:U609" si="1960">+T606*$X$1</f>
        <v>22380</v>
      </c>
      <c r="V606" s="549">
        <f t="shared" si="1897"/>
        <v>22290</v>
      </c>
      <c r="W606" s="468">
        <f t="shared" ref="W606:W609" si="1961">+V606*$X$1</f>
        <v>22290</v>
      </c>
      <c r="X606" s="127"/>
      <c r="Y606" s="122"/>
      <c r="Z606" s="128"/>
      <c r="AA606" s="129"/>
      <c r="AB606" s="353">
        <v>600</v>
      </c>
    </row>
    <row r="607" spans="1:28" ht="12" customHeight="1" x14ac:dyDescent="0.2">
      <c r="A607" s="4"/>
      <c r="B607" s="805" t="s">
        <v>812</v>
      </c>
      <c r="C607" s="806"/>
      <c r="D607" s="806"/>
      <c r="E607" s="807"/>
      <c r="F607" s="286">
        <f>62*X2</f>
        <v>79980</v>
      </c>
      <c r="G607" s="257">
        <f t="shared" ref="G607" si="1962">+F607*$X$1</f>
        <v>79980</v>
      </c>
      <c r="H607" s="93">
        <f>F607+5000</f>
        <v>84980</v>
      </c>
      <c r="I607" s="273">
        <f t="shared" si="1953"/>
        <v>84980</v>
      </c>
      <c r="J607" s="549">
        <f t="shared" si="1954"/>
        <v>81180</v>
      </c>
      <c r="K607" s="273">
        <f t="shared" si="1955"/>
        <v>81180</v>
      </c>
      <c r="L607" s="93">
        <f t="shared" si="1930"/>
        <v>80780</v>
      </c>
      <c r="M607" s="273">
        <f t="shared" si="1956"/>
        <v>80780</v>
      </c>
      <c r="N607" s="93">
        <f t="shared" si="1921"/>
        <v>80680</v>
      </c>
      <c r="O607" s="273">
        <f t="shared" si="1957"/>
        <v>80680</v>
      </c>
      <c r="P607" s="93">
        <f t="shared" si="1923"/>
        <v>80580</v>
      </c>
      <c r="Q607" s="273">
        <f t="shared" si="1958"/>
        <v>80580</v>
      </c>
      <c r="R607" s="93">
        <f t="shared" si="1893"/>
        <v>80480</v>
      </c>
      <c r="S607" s="273">
        <f t="shared" si="1959"/>
        <v>80480</v>
      </c>
      <c r="T607" s="93">
        <f t="shared" si="1895"/>
        <v>80430</v>
      </c>
      <c r="U607" s="273">
        <f t="shared" si="1960"/>
        <v>80430</v>
      </c>
      <c r="V607" s="93">
        <f t="shared" si="1897"/>
        <v>80340</v>
      </c>
      <c r="W607" s="273">
        <f t="shared" si="1961"/>
        <v>80340</v>
      </c>
      <c r="X607" s="127"/>
      <c r="Y607" s="122"/>
      <c r="Z607" s="128"/>
      <c r="AA607" s="129"/>
      <c r="AB607" s="353">
        <v>605</v>
      </c>
    </row>
    <row r="608" spans="1:28" ht="12" customHeight="1" x14ac:dyDescent="0.2">
      <c r="A608" s="4"/>
      <c r="B608" s="810" t="s">
        <v>801</v>
      </c>
      <c r="C608" s="811"/>
      <c r="D608" s="811"/>
      <c r="E608" s="812"/>
      <c r="F608" s="285">
        <f>48.7*X2</f>
        <v>62823.000000000007</v>
      </c>
      <c r="G608" s="258">
        <f>+F608*$X$1</f>
        <v>62823.000000000007</v>
      </c>
      <c r="H608" s="92">
        <f>F608+5000</f>
        <v>67823</v>
      </c>
      <c r="I608" s="283">
        <f t="shared" si="1953"/>
        <v>67823</v>
      </c>
      <c r="J608" s="549">
        <f t="shared" si="1954"/>
        <v>64023.000000000007</v>
      </c>
      <c r="K608" s="283">
        <f t="shared" si="1955"/>
        <v>64023.000000000007</v>
      </c>
      <c r="L608" s="92">
        <f t="shared" si="1930"/>
        <v>63623.000000000007</v>
      </c>
      <c r="M608" s="283">
        <f t="shared" si="1956"/>
        <v>63623.000000000007</v>
      </c>
      <c r="N608" s="92">
        <f t="shared" si="1921"/>
        <v>63523.000000000007</v>
      </c>
      <c r="O608" s="283">
        <f t="shared" si="1957"/>
        <v>63523.000000000007</v>
      </c>
      <c r="P608" s="92">
        <f t="shared" si="1923"/>
        <v>63423.000000000007</v>
      </c>
      <c r="Q608" s="283">
        <f t="shared" si="1958"/>
        <v>63423.000000000007</v>
      </c>
      <c r="R608" s="92">
        <f t="shared" si="1893"/>
        <v>63323.000000000007</v>
      </c>
      <c r="S608" s="283">
        <f t="shared" si="1959"/>
        <v>63323.000000000007</v>
      </c>
      <c r="T608" s="92">
        <f t="shared" si="1895"/>
        <v>63273.000000000007</v>
      </c>
      <c r="U608" s="283">
        <f t="shared" si="1960"/>
        <v>63273.000000000007</v>
      </c>
      <c r="V608" s="92">
        <f t="shared" si="1897"/>
        <v>63183.000000000007</v>
      </c>
      <c r="W608" s="283">
        <f t="shared" si="1961"/>
        <v>63183.000000000007</v>
      </c>
      <c r="X608" s="127"/>
      <c r="Y608" s="122"/>
      <c r="Z608" s="128"/>
      <c r="AA608" s="129"/>
      <c r="AB608" s="353">
        <v>608</v>
      </c>
    </row>
    <row r="609" spans="1:28" ht="12" customHeight="1" x14ac:dyDescent="0.2">
      <c r="A609" s="4"/>
      <c r="B609" s="805" t="s">
        <v>678</v>
      </c>
      <c r="C609" s="806"/>
      <c r="D609" s="806"/>
      <c r="E609" s="807"/>
      <c r="F609" s="286">
        <f>34*X2</f>
        <v>43860</v>
      </c>
      <c r="G609" s="257">
        <f t="shared" ref="G609:G610" si="1963">+F609*$X$1</f>
        <v>43860</v>
      </c>
      <c r="H609" s="93">
        <f>F609+5000</f>
        <v>48860</v>
      </c>
      <c r="I609" s="273">
        <f t="shared" si="1953"/>
        <v>48860</v>
      </c>
      <c r="J609" s="549">
        <f t="shared" si="1954"/>
        <v>45060</v>
      </c>
      <c r="K609" s="273">
        <f t="shared" si="1955"/>
        <v>45060</v>
      </c>
      <c r="L609" s="93">
        <f t="shared" si="1930"/>
        <v>44660</v>
      </c>
      <c r="M609" s="273">
        <f t="shared" si="1956"/>
        <v>44660</v>
      </c>
      <c r="N609" s="93">
        <f t="shared" si="1921"/>
        <v>44560</v>
      </c>
      <c r="O609" s="273">
        <f t="shared" si="1957"/>
        <v>44560</v>
      </c>
      <c r="P609" s="93">
        <f t="shared" si="1923"/>
        <v>44460</v>
      </c>
      <c r="Q609" s="273">
        <f t="shared" si="1958"/>
        <v>44460</v>
      </c>
      <c r="R609" s="93">
        <f t="shared" si="1893"/>
        <v>44360</v>
      </c>
      <c r="S609" s="273">
        <f t="shared" si="1959"/>
        <v>44360</v>
      </c>
      <c r="T609" s="93">
        <f t="shared" si="1895"/>
        <v>44310</v>
      </c>
      <c r="U609" s="273">
        <f t="shared" si="1960"/>
        <v>44310</v>
      </c>
      <c r="V609" s="93">
        <f t="shared" si="1897"/>
        <v>44220</v>
      </c>
      <c r="W609" s="273">
        <f t="shared" si="1961"/>
        <v>44220</v>
      </c>
      <c r="X609" s="127"/>
      <c r="Y609" s="122"/>
      <c r="Z609" s="128"/>
      <c r="AA609" s="129"/>
      <c r="AB609" s="353">
        <v>609</v>
      </c>
    </row>
    <row r="610" spans="1:28" ht="12" customHeight="1" x14ac:dyDescent="0.2">
      <c r="A610" s="4"/>
      <c r="B610" s="810" t="s">
        <v>679</v>
      </c>
      <c r="C610" s="811"/>
      <c r="D610" s="811"/>
      <c r="E610" s="812"/>
      <c r="F610" s="285">
        <f>40.2*X2</f>
        <v>51858.000000000007</v>
      </c>
      <c r="G610" s="258">
        <f t="shared" si="1963"/>
        <v>51858.000000000007</v>
      </c>
      <c r="H610" s="92">
        <f t="shared" ref="H610:H638" si="1964">F610+5000</f>
        <v>56858.000000000007</v>
      </c>
      <c r="I610" s="283">
        <f t="shared" ref="I610:I638" si="1965">+H610*$X$1</f>
        <v>56858.000000000007</v>
      </c>
      <c r="J610" s="549">
        <f t="shared" si="1954"/>
        <v>53058.000000000007</v>
      </c>
      <c r="K610" s="283">
        <f t="shared" ref="K610:K638" si="1966">+J610*$X$1</f>
        <v>53058.000000000007</v>
      </c>
      <c r="L610" s="92">
        <f t="shared" ref="L610:L638" si="1967">F610+800</f>
        <v>52658.000000000007</v>
      </c>
      <c r="M610" s="283">
        <f t="shared" ref="M610:M638" si="1968">+L610*$X$1</f>
        <v>52658.000000000007</v>
      </c>
      <c r="N610" s="92">
        <f t="shared" ref="N610:N638" si="1969">F610+700</f>
        <v>52558.000000000007</v>
      </c>
      <c r="O610" s="283">
        <f t="shared" ref="O610:O638" si="1970">+N610*$X$1</f>
        <v>52558.000000000007</v>
      </c>
      <c r="P610" s="92">
        <f t="shared" ref="P610:P638" si="1971">F610+600</f>
        <v>52458.000000000007</v>
      </c>
      <c r="Q610" s="283">
        <f t="shared" ref="Q610:Q638" si="1972">+P610*$X$1</f>
        <v>52458.000000000007</v>
      </c>
      <c r="R610" s="92">
        <f t="shared" ref="R610:R638" si="1973">F610+500</f>
        <v>52358.000000000007</v>
      </c>
      <c r="S610" s="283">
        <f t="shared" ref="S610:S638" si="1974">+R610*$X$1</f>
        <v>52358.000000000007</v>
      </c>
      <c r="T610" s="92">
        <f t="shared" ref="T610:T638" si="1975">F610+450</f>
        <v>52308.000000000007</v>
      </c>
      <c r="U610" s="283">
        <f t="shared" ref="U610:U638" si="1976">+T610*$X$1</f>
        <v>52308.000000000007</v>
      </c>
      <c r="V610" s="92">
        <f t="shared" ref="V610:V638" si="1977">F610+360</f>
        <v>52218.000000000007</v>
      </c>
      <c r="W610" s="283">
        <f t="shared" ref="W610:W638" si="1978">+V610*$X$1</f>
        <v>52218.000000000007</v>
      </c>
      <c r="X610" s="127"/>
      <c r="Y610" s="122"/>
      <c r="Z610" s="128"/>
      <c r="AA610" s="129"/>
      <c r="AB610" s="353">
        <v>611</v>
      </c>
    </row>
    <row r="611" spans="1:28" ht="12" customHeight="1" x14ac:dyDescent="0.2">
      <c r="A611" s="4"/>
      <c r="B611" s="805" t="s">
        <v>571</v>
      </c>
      <c r="C611" s="806"/>
      <c r="D611" s="806"/>
      <c r="E611" s="807"/>
      <c r="F611" s="286">
        <f>5.62*X2</f>
        <v>7249.8</v>
      </c>
      <c r="G611" s="257">
        <f t="shared" ref="G611" si="1979">+F611*$X$1</f>
        <v>7249.8</v>
      </c>
      <c r="H611" s="93">
        <f t="shared" si="1964"/>
        <v>12249.8</v>
      </c>
      <c r="I611" s="273">
        <f t="shared" si="1965"/>
        <v>12249.8</v>
      </c>
      <c r="J611" s="549">
        <f t="shared" si="1954"/>
        <v>8449.7999999999993</v>
      </c>
      <c r="K611" s="273">
        <f t="shared" si="1966"/>
        <v>8449.7999999999993</v>
      </c>
      <c r="L611" s="93">
        <f t="shared" si="1967"/>
        <v>8049.8</v>
      </c>
      <c r="M611" s="273">
        <f t="shared" si="1968"/>
        <v>8049.8</v>
      </c>
      <c r="N611" s="93">
        <f t="shared" si="1969"/>
        <v>7949.8</v>
      </c>
      <c r="O611" s="273">
        <f t="shared" si="1970"/>
        <v>7949.8</v>
      </c>
      <c r="P611" s="93">
        <f t="shared" si="1971"/>
        <v>7849.8</v>
      </c>
      <c r="Q611" s="273">
        <f t="shared" si="1972"/>
        <v>7849.8</v>
      </c>
      <c r="R611" s="93">
        <f t="shared" si="1973"/>
        <v>7749.8</v>
      </c>
      <c r="S611" s="273">
        <f t="shared" si="1974"/>
        <v>7749.8</v>
      </c>
      <c r="T611" s="93">
        <f t="shared" si="1975"/>
        <v>7699.8</v>
      </c>
      <c r="U611" s="273">
        <f t="shared" si="1976"/>
        <v>7699.8</v>
      </c>
      <c r="V611" s="93">
        <f t="shared" si="1977"/>
        <v>7609.8</v>
      </c>
      <c r="W611" s="273">
        <f t="shared" si="1978"/>
        <v>7609.8</v>
      </c>
      <c r="X611" s="127"/>
      <c r="Y611" s="122"/>
      <c r="Z611" s="128"/>
      <c r="AA611" s="129"/>
      <c r="AB611" s="178">
        <v>642</v>
      </c>
    </row>
    <row r="612" spans="1:28" ht="12" customHeight="1" x14ac:dyDescent="0.2">
      <c r="A612" s="4"/>
      <c r="B612" s="810" t="s">
        <v>572</v>
      </c>
      <c r="C612" s="811"/>
      <c r="D612" s="811"/>
      <c r="E612" s="812"/>
      <c r="F612" s="285">
        <f>22.9*X2</f>
        <v>29540.999999999996</v>
      </c>
      <c r="G612" s="258">
        <f t="shared" ref="G612" si="1980">+F612*$X$1</f>
        <v>29540.999999999996</v>
      </c>
      <c r="H612" s="92">
        <f t="shared" si="1964"/>
        <v>34541</v>
      </c>
      <c r="I612" s="283">
        <f t="shared" si="1965"/>
        <v>34541</v>
      </c>
      <c r="J612" s="549">
        <f t="shared" si="1954"/>
        <v>30740.999999999996</v>
      </c>
      <c r="K612" s="283">
        <f t="shared" si="1966"/>
        <v>30740.999999999996</v>
      </c>
      <c r="L612" s="92">
        <f t="shared" si="1967"/>
        <v>30340.999999999996</v>
      </c>
      <c r="M612" s="283">
        <f t="shared" si="1968"/>
        <v>30340.999999999996</v>
      </c>
      <c r="N612" s="92">
        <f t="shared" si="1969"/>
        <v>30240.999999999996</v>
      </c>
      <c r="O612" s="283">
        <f t="shared" si="1970"/>
        <v>30240.999999999996</v>
      </c>
      <c r="P612" s="92">
        <f t="shared" si="1971"/>
        <v>30140.999999999996</v>
      </c>
      <c r="Q612" s="283">
        <f t="shared" si="1972"/>
        <v>30140.999999999996</v>
      </c>
      <c r="R612" s="92">
        <f t="shared" si="1973"/>
        <v>30040.999999999996</v>
      </c>
      <c r="S612" s="283">
        <f t="shared" si="1974"/>
        <v>30040.999999999996</v>
      </c>
      <c r="T612" s="92">
        <f t="shared" si="1975"/>
        <v>29990.999999999996</v>
      </c>
      <c r="U612" s="283">
        <f t="shared" si="1976"/>
        <v>29990.999999999996</v>
      </c>
      <c r="V612" s="92">
        <f t="shared" si="1977"/>
        <v>29900.999999999996</v>
      </c>
      <c r="W612" s="283">
        <f t="shared" si="1978"/>
        <v>29900.999999999996</v>
      </c>
      <c r="X612" s="127"/>
      <c r="Y612" s="122"/>
      <c r="Z612" s="128"/>
      <c r="AA612" s="129"/>
      <c r="AB612" s="178">
        <v>643</v>
      </c>
    </row>
    <row r="613" spans="1:28" ht="12" customHeight="1" x14ac:dyDescent="0.2">
      <c r="A613" s="4"/>
      <c r="B613" s="805" t="s">
        <v>680</v>
      </c>
      <c r="C613" s="806"/>
      <c r="D613" s="806"/>
      <c r="E613" s="807"/>
      <c r="F613" s="257">
        <f>42.34*X2</f>
        <v>54618.600000000006</v>
      </c>
      <c r="G613" s="257">
        <f>+F613*$X$1</f>
        <v>54618.600000000006</v>
      </c>
      <c r="H613" s="93">
        <f t="shared" si="1964"/>
        <v>59618.600000000006</v>
      </c>
      <c r="I613" s="273">
        <f t="shared" si="1965"/>
        <v>59618.600000000006</v>
      </c>
      <c r="J613" s="549">
        <f t="shared" si="1954"/>
        <v>55818.600000000006</v>
      </c>
      <c r="K613" s="273">
        <f t="shared" si="1966"/>
        <v>55818.600000000006</v>
      </c>
      <c r="L613" s="93">
        <f t="shared" si="1967"/>
        <v>55418.600000000006</v>
      </c>
      <c r="M613" s="273">
        <f t="shared" si="1968"/>
        <v>55418.600000000006</v>
      </c>
      <c r="N613" s="93">
        <f t="shared" si="1969"/>
        <v>55318.600000000006</v>
      </c>
      <c r="O613" s="273">
        <f t="shared" si="1970"/>
        <v>55318.600000000006</v>
      </c>
      <c r="P613" s="93">
        <f t="shared" si="1971"/>
        <v>55218.600000000006</v>
      </c>
      <c r="Q613" s="273">
        <f t="shared" si="1972"/>
        <v>55218.600000000006</v>
      </c>
      <c r="R613" s="93">
        <f t="shared" si="1973"/>
        <v>55118.600000000006</v>
      </c>
      <c r="S613" s="273">
        <f t="shared" si="1974"/>
        <v>55118.600000000006</v>
      </c>
      <c r="T613" s="93">
        <f t="shared" si="1975"/>
        <v>55068.600000000006</v>
      </c>
      <c r="U613" s="273">
        <f t="shared" si="1976"/>
        <v>55068.600000000006</v>
      </c>
      <c r="V613" s="93">
        <f t="shared" si="1977"/>
        <v>54978.600000000006</v>
      </c>
      <c r="W613" s="273">
        <f t="shared" si="1978"/>
        <v>54978.600000000006</v>
      </c>
      <c r="X613" s="127"/>
      <c r="Y613" s="122"/>
      <c r="Z613" s="128"/>
      <c r="AA613" s="129"/>
      <c r="AB613" s="353">
        <v>657</v>
      </c>
    </row>
    <row r="614" spans="1:28" ht="12" customHeight="1" x14ac:dyDescent="0.2">
      <c r="A614" s="4"/>
      <c r="B614" s="810" t="s">
        <v>681</v>
      </c>
      <c r="C614" s="811"/>
      <c r="D614" s="811"/>
      <c r="E614" s="812"/>
      <c r="F614" s="258">
        <f>36.05*X2</f>
        <v>46504.499999999993</v>
      </c>
      <c r="G614" s="258">
        <f t="shared" ref="G614:G616" si="1981">+F614*$X$1</f>
        <v>46504.499999999993</v>
      </c>
      <c r="H614" s="92">
        <f t="shared" si="1964"/>
        <v>51504.499999999993</v>
      </c>
      <c r="I614" s="283">
        <f t="shared" si="1965"/>
        <v>51504.499999999993</v>
      </c>
      <c r="J614" s="92">
        <f t="shared" si="1954"/>
        <v>47704.499999999993</v>
      </c>
      <c r="K614" s="283">
        <f t="shared" si="1966"/>
        <v>47704.499999999993</v>
      </c>
      <c r="L614" s="92">
        <f t="shared" si="1967"/>
        <v>47304.499999999993</v>
      </c>
      <c r="M614" s="283">
        <f t="shared" si="1968"/>
        <v>47304.499999999993</v>
      </c>
      <c r="N614" s="92">
        <f t="shared" si="1969"/>
        <v>47204.499999999993</v>
      </c>
      <c r="O614" s="283">
        <f t="shared" si="1970"/>
        <v>47204.499999999993</v>
      </c>
      <c r="P614" s="92">
        <f t="shared" si="1971"/>
        <v>47104.499999999993</v>
      </c>
      <c r="Q614" s="283">
        <f t="shared" si="1972"/>
        <v>47104.499999999993</v>
      </c>
      <c r="R614" s="92">
        <f t="shared" si="1973"/>
        <v>47004.499999999993</v>
      </c>
      <c r="S614" s="283">
        <f t="shared" si="1974"/>
        <v>47004.499999999993</v>
      </c>
      <c r="T614" s="92">
        <f t="shared" si="1975"/>
        <v>46954.499999999993</v>
      </c>
      <c r="U614" s="283">
        <f t="shared" si="1976"/>
        <v>46954.499999999993</v>
      </c>
      <c r="V614" s="92">
        <f t="shared" si="1977"/>
        <v>46864.499999999993</v>
      </c>
      <c r="W614" s="283">
        <f t="shared" si="1978"/>
        <v>46864.499999999993</v>
      </c>
      <c r="X614" s="127"/>
      <c r="Y614" s="122"/>
      <c r="Z614" s="128"/>
      <c r="AA614" s="129"/>
      <c r="AB614" s="353">
        <v>658</v>
      </c>
    </row>
    <row r="615" spans="1:28" ht="12" customHeight="1" x14ac:dyDescent="0.2">
      <c r="A615" s="4"/>
      <c r="B615" s="805" t="s">
        <v>682</v>
      </c>
      <c r="C615" s="806"/>
      <c r="D615" s="806"/>
      <c r="E615" s="807"/>
      <c r="F615" s="257">
        <f>28.5*X2</f>
        <v>36765</v>
      </c>
      <c r="G615" s="257">
        <f t="shared" si="1981"/>
        <v>36765</v>
      </c>
      <c r="H615" s="93">
        <f t="shared" si="1964"/>
        <v>41765</v>
      </c>
      <c r="I615" s="273">
        <f t="shared" si="1965"/>
        <v>41765</v>
      </c>
      <c r="J615" s="549">
        <f t="shared" si="1954"/>
        <v>37965</v>
      </c>
      <c r="K615" s="273">
        <f t="shared" si="1966"/>
        <v>37965</v>
      </c>
      <c r="L615" s="93">
        <f t="shared" si="1967"/>
        <v>37565</v>
      </c>
      <c r="M615" s="273">
        <f t="shared" si="1968"/>
        <v>37565</v>
      </c>
      <c r="N615" s="93">
        <f t="shared" si="1969"/>
        <v>37465</v>
      </c>
      <c r="O615" s="273">
        <f t="shared" si="1970"/>
        <v>37465</v>
      </c>
      <c r="P615" s="93">
        <f t="shared" si="1971"/>
        <v>37365</v>
      </c>
      <c r="Q615" s="273">
        <f t="shared" si="1972"/>
        <v>37365</v>
      </c>
      <c r="R615" s="93">
        <f t="shared" si="1973"/>
        <v>37265</v>
      </c>
      <c r="S615" s="273">
        <f t="shared" si="1974"/>
        <v>37265</v>
      </c>
      <c r="T615" s="93">
        <f t="shared" si="1975"/>
        <v>37215</v>
      </c>
      <c r="U615" s="273">
        <f t="shared" si="1976"/>
        <v>37215</v>
      </c>
      <c r="V615" s="93">
        <f t="shared" si="1977"/>
        <v>37125</v>
      </c>
      <c r="W615" s="273">
        <f t="shared" si="1978"/>
        <v>37125</v>
      </c>
      <c r="X615" s="127"/>
      <c r="Y615" s="122"/>
      <c r="Z615" s="128"/>
      <c r="AA615" s="129"/>
      <c r="AB615" s="353">
        <v>659</v>
      </c>
    </row>
    <row r="616" spans="1:28" ht="12" customHeight="1" x14ac:dyDescent="0.2">
      <c r="A616" s="4"/>
      <c r="B616" s="810" t="s">
        <v>683</v>
      </c>
      <c r="C616" s="811"/>
      <c r="D616" s="811"/>
      <c r="E616" s="812"/>
      <c r="F616" s="258">
        <f>12.6*X2</f>
        <v>16254</v>
      </c>
      <c r="G616" s="258">
        <f t="shared" si="1981"/>
        <v>16254</v>
      </c>
      <c r="H616" s="92">
        <f t="shared" si="1964"/>
        <v>21254</v>
      </c>
      <c r="I616" s="283">
        <f t="shared" si="1965"/>
        <v>21254</v>
      </c>
      <c r="J616" s="92">
        <f t="shared" si="1954"/>
        <v>17454</v>
      </c>
      <c r="K616" s="283">
        <f t="shared" si="1966"/>
        <v>17454</v>
      </c>
      <c r="L616" s="92">
        <f t="shared" si="1967"/>
        <v>17054</v>
      </c>
      <c r="M616" s="283">
        <f t="shared" si="1968"/>
        <v>17054</v>
      </c>
      <c r="N616" s="92">
        <f t="shared" si="1969"/>
        <v>16954</v>
      </c>
      <c r="O616" s="283">
        <f t="shared" si="1970"/>
        <v>16954</v>
      </c>
      <c r="P616" s="92">
        <f t="shared" si="1971"/>
        <v>16854</v>
      </c>
      <c r="Q616" s="283">
        <f t="shared" si="1972"/>
        <v>16854</v>
      </c>
      <c r="R616" s="92">
        <f t="shared" si="1973"/>
        <v>16754</v>
      </c>
      <c r="S616" s="283">
        <f t="shared" si="1974"/>
        <v>16754</v>
      </c>
      <c r="T616" s="92">
        <f t="shared" si="1975"/>
        <v>16704</v>
      </c>
      <c r="U616" s="283">
        <f t="shared" si="1976"/>
        <v>16704</v>
      </c>
      <c r="V616" s="92">
        <f t="shared" si="1977"/>
        <v>16614</v>
      </c>
      <c r="W616" s="283">
        <f t="shared" si="1978"/>
        <v>16614</v>
      </c>
      <c r="X616" s="127"/>
      <c r="Y616" s="122"/>
      <c r="Z616" s="128"/>
      <c r="AA616" s="129"/>
      <c r="AB616" s="353">
        <v>660</v>
      </c>
    </row>
    <row r="617" spans="1:28" ht="12" customHeight="1" x14ac:dyDescent="0.2">
      <c r="A617" s="4"/>
      <c r="B617" s="805" t="s">
        <v>705</v>
      </c>
      <c r="C617" s="806"/>
      <c r="D617" s="806"/>
      <c r="E617" s="807"/>
      <c r="F617" s="257">
        <f>19.42*X2</f>
        <v>25051.800000000003</v>
      </c>
      <c r="G617" s="257">
        <f t="shared" ref="G617:G623" si="1982">+F617*$X$1</f>
        <v>25051.800000000003</v>
      </c>
      <c r="H617" s="93">
        <f t="shared" si="1964"/>
        <v>30051.800000000003</v>
      </c>
      <c r="I617" s="273">
        <f t="shared" si="1965"/>
        <v>30051.800000000003</v>
      </c>
      <c r="J617" s="549">
        <f t="shared" si="1954"/>
        <v>26251.800000000003</v>
      </c>
      <c r="K617" s="273">
        <f t="shared" si="1966"/>
        <v>26251.800000000003</v>
      </c>
      <c r="L617" s="93">
        <f t="shared" si="1967"/>
        <v>25851.800000000003</v>
      </c>
      <c r="M617" s="273">
        <f t="shared" si="1968"/>
        <v>25851.800000000003</v>
      </c>
      <c r="N617" s="93">
        <f t="shared" si="1969"/>
        <v>25751.800000000003</v>
      </c>
      <c r="O617" s="273">
        <f t="shared" si="1970"/>
        <v>25751.800000000003</v>
      </c>
      <c r="P617" s="93">
        <f t="shared" si="1971"/>
        <v>25651.800000000003</v>
      </c>
      <c r="Q617" s="273">
        <f t="shared" si="1972"/>
        <v>25651.800000000003</v>
      </c>
      <c r="R617" s="93">
        <f t="shared" si="1973"/>
        <v>25551.800000000003</v>
      </c>
      <c r="S617" s="273">
        <f t="shared" si="1974"/>
        <v>25551.800000000003</v>
      </c>
      <c r="T617" s="93">
        <f t="shared" si="1975"/>
        <v>25501.800000000003</v>
      </c>
      <c r="U617" s="273">
        <f t="shared" si="1976"/>
        <v>25501.800000000003</v>
      </c>
      <c r="V617" s="93">
        <f t="shared" si="1977"/>
        <v>25411.800000000003</v>
      </c>
      <c r="W617" s="273">
        <f t="shared" si="1978"/>
        <v>25411.800000000003</v>
      </c>
      <c r="X617" s="127"/>
      <c r="Y617" s="122"/>
      <c r="Z617" s="128"/>
      <c r="AA617" s="129"/>
      <c r="AB617" s="353">
        <v>667</v>
      </c>
    </row>
    <row r="618" spans="1:28" ht="12" customHeight="1" x14ac:dyDescent="0.2">
      <c r="A618" s="4"/>
      <c r="B618" s="810" t="s">
        <v>704</v>
      </c>
      <c r="C618" s="811"/>
      <c r="D618" s="811"/>
      <c r="E618" s="812"/>
      <c r="F618" s="258">
        <f>11.7*X2</f>
        <v>15092.999999999998</v>
      </c>
      <c r="G618" s="258">
        <f t="shared" ref="G618:G620" si="1983">+F618*$X$1</f>
        <v>15092.999999999998</v>
      </c>
      <c r="H618" s="92">
        <f t="shared" si="1964"/>
        <v>20093</v>
      </c>
      <c r="I618" s="283">
        <f t="shared" si="1965"/>
        <v>20093</v>
      </c>
      <c r="J618" s="92">
        <f t="shared" si="1954"/>
        <v>16292.999999999998</v>
      </c>
      <c r="K618" s="283">
        <f t="shared" si="1966"/>
        <v>16292.999999999998</v>
      </c>
      <c r="L618" s="92">
        <f t="shared" si="1967"/>
        <v>15892.999999999998</v>
      </c>
      <c r="M618" s="283">
        <f t="shared" si="1968"/>
        <v>15892.999999999998</v>
      </c>
      <c r="N618" s="92">
        <f t="shared" si="1969"/>
        <v>15792.999999999998</v>
      </c>
      <c r="O618" s="283">
        <f t="shared" si="1970"/>
        <v>15792.999999999998</v>
      </c>
      <c r="P618" s="92">
        <f t="shared" si="1971"/>
        <v>15692.999999999998</v>
      </c>
      <c r="Q618" s="283">
        <f t="shared" si="1972"/>
        <v>15692.999999999998</v>
      </c>
      <c r="R618" s="92">
        <f t="shared" si="1973"/>
        <v>15592.999999999998</v>
      </c>
      <c r="S618" s="283">
        <f t="shared" si="1974"/>
        <v>15592.999999999998</v>
      </c>
      <c r="T618" s="92">
        <f t="shared" si="1975"/>
        <v>15542.999999999998</v>
      </c>
      <c r="U618" s="283">
        <f t="shared" si="1976"/>
        <v>15542.999999999998</v>
      </c>
      <c r="V618" s="92">
        <f t="shared" si="1977"/>
        <v>15452.999999999998</v>
      </c>
      <c r="W618" s="283">
        <f t="shared" si="1978"/>
        <v>15452.999999999998</v>
      </c>
      <c r="X618" s="127"/>
      <c r="Y618" s="122"/>
      <c r="Z618" s="128"/>
      <c r="AA618" s="129"/>
      <c r="AB618" s="353">
        <v>668</v>
      </c>
    </row>
    <row r="619" spans="1:28" ht="12" customHeight="1" x14ac:dyDescent="0.2">
      <c r="A619" s="4"/>
      <c r="B619" s="805" t="s">
        <v>771</v>
      </c>
      <c r="C619" s="806"/>
      <c r="D619" s="806"/>
      <c r="E619" s="807"/>
      <c r="F619" s="257">
        <f>15.3*X2</f>
        <v>19737</v>
      </c>
      <c r="G619" s="257">
        <f t="shared" si="1983"/>
        <v>19737</v>
      </c>
      <c r="H619" s="93">
        <f t="shared" si="1964"/>
        <v>24737</v>
      </c>
      <c r="I619" s="273">
        <f t="shared" si="1965"/>
        <v>24737</v>
      </c>
      <c r="J619" s="549">
        <f t="shared" si="1954"/>
        <v>20937</v>
      </c>
      <c r="K619" s="273">
        <f t="shared" si="1966"/>
        <v>20937</v>
      </c>
      <c r="L619" s="93">
        <f t="shared" si="1967"/>
        <v>20537</v>
      </c>
      <c r="M619" s="273">
        <f t="shared" si="1968"/>
        <v>20537</v>
      </c>
      <c r="N619" s="93">
        <f t="shared" si="1969"/>
        <v>20437</v>
      </c>
      <c r="O619" s="273">
        <f t="shared" si="1970"/>
        <v>20437</v>
      </c>
      <c r="P619" s="93">
        <f t="shared" si="1971"/>
        <v>20337</v>
      </c>
      <c r="Q619" s="273">
        <f t="shared" si="1972"/>
        <v>20337</v>
      </c>
      <c r="R619" s="93">
        <f t="shared" si="1973"/>
        <v>20237</v>
      </c>
      <c r="S619" s="273">
        <f t="shared" si="1974"/>
        <v>20237</v>
      </c>
      <c r="T619" s="93">
        <f t="shared" si="1975"/>
        <v>20187</v>
      </c>
      <c r="U619" s="273">
        <f t="shared" si="1976"/>
        <v>20187</v>
      </c>
      <c r="V619" s="93">
        <f t="shared" si="1977"/>
        <v>20097</v>
      </c>
      <c r="W619" s="273">
        <f t="shared" si="1978"/>
        <v>20097</v>
      </c>
      <c r="X619" s="127"/>
      <c r="Y619" s="122"/>
      <c r="Z619" s="128"/>
      <c r="AA619" s="129"/>
      <c r="AB619" s="178">
        <v>675</v>
      </c>
    </row>
    <row r="620" spans="1:28" ht="12" customHeight="1" x14ac:dyDescent="0.2">
      <c r="A620" s="4"/>
      <c r="B620" s="739" t="s">
        <v>810</v>
      </c>
      <c r="C620" s="740"/>
      <c r="D620" s="740"/>
      <c r="E620" s="741"/>
      <c r="F620" s="469">
        <f>10.24*X2</f>
        <v>13209.6</v>
      </c>
      <c r="G620" s="469">
        <f t="shared" si="1983"/>
        <v>13209.6</v>
      </c>
      <c r="H620" s="549">
        <f t="shared" si="1964"/>
        <v>18209.599999999999</v>
      </c>
      <c r="I620" s="468">
        <f t="shared" si="1965"/>
        <v>18209.599999999999</v>
      </c>
      <c r="J620" s="549">
        <f t="shared" si="1954"/>
        <v>14409.6</v>
      </c>
      <c r="K620" s="468">
        <f t="shared" si="1966"/>
        <v>14409.6</v>
      </c>
      <c r="L620" s="549">
        <f t="shared" si="1967"/>
        <v>14009.6</v>
      </c>
      <c r="M620" s="468">
        <f t="shared" si="1968"/>
        <v>14009.6</v>
      </c>
      <c r="N620" s="549">
        <f t="shared" si="1969"/>
        <v>13909.6</v>
      </c>
      <c r="O620" s="468">
        <f t="shared" si="1970"/>
        <v>13909.6</v>
      </c>
      <c r="P620" s="549">
        <f t="shared" si="1971"/>
        <v>13809.6</v>
      </c>
      <c r="Q620" s="468">
        <f t="shared" si="1972"/>
        <v>13809.6</v>
      </c>
      <c r="R620" s="549">
        <f t="shared" si="1973"/>
        <v>13709.6</v>
      </c>
      <c r="S620" s="468">
        <f t="shared" si="1974"/>
        <v>13709.6</v>
      </c>
      <c r="T620" s="549">
        <f t="shared" si="1975"/>
        <v>13659.6</v>
      </c>
      <c r="U620" s="468">
        <f t="shared" si="1976"/>
        <v>13659.6</v>
      </c>
      <c r="V620" s="549">
        <f t="shared" si="1977"/>
        <v>13569.6</v>
      </c>
      <c r="W620" s="468">
        <f t="shared" si="1978"/>
        <v>13569.6</v>
      </c>
      <c r="X620" s="127"/>
      <c r="Y620" s="122"/>
      <c r="Z620" s="128"/>
      <c r="AA620" s="129"/>
      <c r="AB620" s="178">
        <v>682</v>
      </c>
    </row>
    <row r="621" spans="1:28" ht="12" customHeight="1" x14ac:dyDescent="0.2">
      <c r="A621" s="4"/>
      <c r="B621" s="805" t="s">
        <v>478</v>
      </c>
      <c r="C621" s="806"/>
      <c r="D621" s="806"/>
      <c r="E621" s="807"/>
      <c r="F621" s="257">
        <f>10.5*X2</f>
        <v>13545</v>
      </c>
      <c r="G621" s="257">
        <f t="shared" si="1982"/>
        <v>13545</v>
      </c>
      <c r="H621" s="93">
        <f t="shared" si="1964"/>
        <v>18545</v>
      </c>
      <c r="I621" s="273">
        <f t="shared" si="1965"/>
        <v>18545</v>
      </c>
      <c r="J621" s="549">
        <f t="shared" si="1954"/>
        <v>14745</v>
      </c>
      <c r="K621" s="273">
        <f t="shared" si="1966"/>
        <v>14745</v>
      </c>
      <c r="L621" s="93">
        <f t="shared" si="1967"/>
        <v>14345</v>
      </c>
      <c r="M621" s="273">
        <f t="shared" si="1968"/>
        <v>14345</v>
      </c>
      <c r="N621" s="93">
        <f t="shared" si="1969"/>
        <v>14245</v>
      </c>
      <c r="O621" s="273">
        <f t="shared" si="1970"/>
        <v>14245</v>
      </c>
      <c r="P621" s="93">
        <f t="shared" si="1971"/>
        <v>14145</v>
      </c>
      <c r="Q621" s="273">
        <f t="shared" si="1972"/>
        <v>14145</v>
      </c>
      <c r="R621" s="93">
        <f t="shared" si="1973"/>
        <v>14045</v>
      </c>
      <c r="S621" s="273">
        <f t="shared" si="1974"/>
        <v>14045</v>
      </c>
      <c r="T621" s="93">
        <f t="shared" si="1975"/>
        <v>13995</v>
      </c>
      <c r="U621" s="273">
        <f t="shared" si="1976"/>
        <v>13995</v>
      </c>
      <c r="V621" s="93">
        <f t="shared" si="1977"/>
        <v>13905</v>
      </c>
      <c r="W621" s="273">
        <f t="shared" si="1978"/>
        <v>13905</v>
      </c>
      <c r="X621" s="127"/>
      <c r="Y621" s="122"/>
      <c r="Z621" s="128"/>
      <c r="AA621" s="129"/>
      <c r="AB621" s="178">
        <v>686</v>
      </c>
    </row>
    <row r="622" spans="1:28" ht="12" customHeight="1" x14ac:dyDescent="0.2">
      <c r="A622" s="4"/>
      <c r="B622" s="810" t="s">
        <v>518</v>
      </c>
      <c r="C622" s="811"/>
      <c r="D622" s="811"/>
      <c r="E622" s="812"/>
      <c r="F622" s="285">
        <f>24.3*X2</f>
        <v>31347</v>
      </c>
      <c r="G622" s="258">
        <f t="shared" si="1982"/>
        <v>31347</v>
      </c>
      <c r="H622" s="92">
        <f t="shared" si="1964"/>
        <v>36347</v>
      </c>
      <c r="I622" s="283">
        <f t="shared" si="1965"/>
        <v>36347</v>
      </c>
      <c r="J622" s="92">
        <f t="shared" si="1954"/>
        <v>32547</v>
      </c>
      <c r="K622" s="283">
        <f t="shared" si="1966"/>
        <v>32547</v>
      </c>
      <c r="L622" s="92">
        <f t="shared" si="1967"/>
        <v>32147</v>
      </c>
      <c r="M622" s="283">
        <f t="shared" si="1968"/>
        <v>32147</v>
      </c>
      <c r="N622" s="92">
        <f t="shared" si="1969"/>
        <v>32047</v>
      </c>
      <c r="O622" s="283">
        <f t="shared" si="1970"/>
        <v>32047</v>
      </c>
      <c r="P622" s="92">
        <f t="shared" si="1971"/>
        <v>31947</v>
      </c>
      <c r="Q622" s="283">
        <f t="shared" si="1972"/>
        <v>31947</v>
      </c>
      <c r="R622" s="92">
        <f t="shared" si="1973"/>
        <v>31847</v>
      </c>
      <c r="S622" s="283">
        <f t="shared" si="1974"/>
        <v>31847</v>
      </c>
      <c r="T622" s="92">
        <f t="shared" si="1975"/>
        <v>31797</v>
      </c>
      <c r="U622" s="283">
        <f t="shared" si="1976"/>
        <v>31797</v>
      </c>
      <c r="V622" s="92">
        <f t="shared" si="1977"/>
        <v>31707</v>
      </c>
      <c r="W622" s="283">
        <f t="shared" si="1978"/>
        <v>31707</v>
      </c>
      <c r="X622" s="127"/>
      <c r="Y622" s="122"/>
      <c r="Z622" s="128"/>
      <c r="AA622" s="129"/>
      <c r="AB622" s="353">
        <v>687</v>
      </c>
    </row>
    <row r="623" spans="1:28" ht="12" customHeight="1" x14ac:dyDescent="0.2">
      <c r="A623" s="4"/>
      <c r="B623" s="805" t="s">
        <v>684</v>
      </c>
      <c r="C623" s="806"/>
      <c r="D623" s="806"/>
      <c r="E623" s="807"/>
      <c r="F623" s="286">
        <f>15.4*X2</f>
        <v>19866</v>
      </c>
      <c r="G623" s="257">
        <f t="shared" si="1982"/>
        <v>19866</v>
      </c>
      <c r="H623" s="93">
        <f t="shared" si="1964"/>
        <v>24866</v>
      </c>
      <c r="I623" s="273">
        <f t="shared" si="1965"/>
        <v>24866</v>
      </c>
      <c r="J623" s="549">
        <f t="shared" si="1954"/>
        <v>21066</v>
      </c>
      <c r="K623" s="273">
        <f t="shared" si="1966"/>
        <v>21066</v>
      </c>
      <c r="L623" s="93">
        <f t="shared" si="1967"/>
        <v>20666</v>
      </c>
      <c r="M623" s="273">
        <f t="shared" si="1968"/>
        <v>20666</v>
      </c>
      <c r="N623" s="93">
        <f t="shared" si="1969"/>
        <v>20566</v>
      </c>
      <c r="O623" s="273">
        <f t="shared" si="1970"/>
        <v>20566</v>
      </c>
      <c r="P623" s="93">
        <f t="shared" si="1971"/>
        <v>20466</v>
      </c>
      <c r="Q623" s="273">
        <f t="shared" si="1972"/>
        <v>20466</v>
      </c>
      <c r="R623" s="93">
        <f t="shared" si="1973"/>
        <v>20366</v>
      </c>
      <c r="S623" s="273">
        <f t="shared" si="1974"/>
        <v>20366</v>
      </c>
      <c r="T623" s="93">
        <f t="shared" si="1975"/>
        <v>20316</v>
      </c>
      <c r="U623" s="273">
        <f t="shared" si="1976"/>
        <v>20316</v>
      </c>
      <c r="V623" s="93">
        <f t="shared" si="1977"/>
        <v>20226</v>
      </c>
      <c r="W623" s="273">
        <f t="shared" si="1978"/>
        <v>20226</v>
      </c>
      <c r="X623" s="127"/>
      <c r="Y623" s="122"/>
      <c r="Z623" s="128"/>
      <c r="AA623" s="129"/>
      <c r="AB623" s="353">
        <v>694</v>
      </c>
    </row>
    <row r="624" spans="1:28" ht="12" customHeight="1" x14ac:dyDescent="0.2">
      <c r="A624" s="4"/>
      <c r="B624" s="810" t="s">
        <v>811</v>
      </c>
      <c r="C624" s="811"/>
      <c r="D624" s="811"/>
      <c r="E624" s="812"/>
      <c r="F624" s="285">
        <f>12.8*X2</f>
        <v>16512</v>
      </c>
      <c r="G624" s="258">
        <f t="shared" ref="G624" si="1984">+F624*$X$1</f>
        <v>16512</v>
      </c>
      <c r="H624" s="92">
        <f t="shared" si="1964"/>
        <v>21512</v>
      </c>
      <c r="I624" s="283">
        <f t="shared" si="1965"/>
        <v>21512</v>
      </c>
      <c r="J624" s="92">
        <f t="shared" si="1954"/>
        <v>17712</v>
      </c>
      <c r="K624" s="283">
        <f t="shared" si="1966"/>
        <v>17712</v>
      </c>
      <c r="L624" s="92">
        <f t="shared" si="1967"/>
        <v>17312</v>
      </c>
      <c r="M624" s="283">
        <f t="shared" si="1968"/>
        <v>17312</v>
      </c>
      <c r="N624" s="92">
        <f t="shared" si="1969"/>
        <v>17212</v>
      </c>
      <c r="O624" s="283">
        <f t="shared" si="1970"/>
        <v>17212</v>
      </c>
      <c r="P624" s="92">
        <f t="shared" si="1971"/>
        <v>17112</v>
      </c>
      <c r="Q624" s="283">
        <f t="shared" si="1972"/>
        <v>17112</v>
      </c>
      <c r="R624" s="92">
        <f t="shared" si="1973"/>
        <v>17012</v>
      </c>
      <c r="S624" s="283">
        <f t="shared" si="1974"/>
        <v>17012</v>
      </c>
      <c r="T624" s="92">
        <f t="shared" si="1975"/>
        <v>16962</v>
      </c>
      <c r="U624" s="283">
        <f t="shared" si="1976"/>
        <v>16962</v>
      </c>
      <c r="V624" s="92">
        <f t="shared" si="1977"/>
        <v>16872</v>
      </c>
      <c r="W624" s="283">
        <f t="shared" si="1978"/>
        <v>16872</v>
      </c>
      <c r="X624" s="127"/>
      <c r="Y624" s="122"/>
      <c r="Z624" s="128"/>
      <c r="AA624" s="129"/>
      <c r="AB624" s="353">
        <v>696</v>
      </c>
    </row>
    <row r="625" spans="1:28" ht="12" customHeight="1" x14ac:dyDescent="0.2">
      <c r="A625" s="4"/>
      <c r="B625" s="805" t="s">
        <v>685</v>
      </c>
      <c r="C625" s="806"/>
      <c r="D625" s="806"/>
      <c r="E625" s="807"/>
      <c r="F625" s="257">
        <f>26.5*X2</f>
        <v>34185</v>
      </c>
      <c r="G625" s="257">
        <f t="shared" ref="G625" si="1985">+F625*$X$1</f>
        <v>34185</v>
      </c>
      <c r="H625" s="93">
        <f t="shared" si="1964"/>
        <v>39185</v>
      </c>
      <c r="I625" s="273">
        <f t="shared" si="1965"/>
        <v>39185</v>
      </c>
      <c r="J625" s="549">
        <f t="shared" si="1954"/>
        <v>35385</v>
      </c>
      <c r="K625" s="273">
        <f t="shared" si="1966"/>
        <v>35385</v>
      </c>
      <c r="L625" s="93">
        <f t="shared" si="1967"/>
        <v>34985</v>
      </c>
      <c r="M625" s="273">
        <f t="shared" si="1968"/>
        <v>34985</v>
      </c>
      <c r="N625" s="93">
        <f t="shared" si="1969"/>
        <v>34885</v>
      </c>
      <c r="O625" s="273">
        <f t="shared" si="1970"/>
        <v>34885</v>
      </c>
      <c r="P625" s="93">
        <f t="shared" si="1971"/>
        <v>34785</v>
      </c>
      <c r="Q625" s="273">
        <f t="shared" si="1972"/>
        <v>34785</v>
      </c>
      <c r="R625" s="93">
        <f t="shared" si="1973"/>
        <v>34685</v>
      </c>
      <c r="S625" s="273">
        <f t="shared" si="1974"/>
        <v>34685</v>
      </c>
      <c r="T625" s="93">
        <f t="shared" si="1975"/>
        <v>34635</v>
      </c>
      <c r="U625" s="273">
        <f t="shared" si="1976"/>
        <v>34635</v>
      </c>
      <c r="V625" s="93">
        <f t="shared" si="1977"/>
        <v>34545</v>
      </c>
      <c r="W625" s="273">
        <f t="shared" si="1978"/>
        <v>34545</v>
      </c>
      <c r="X625" s="127"/>
      <c r="Y625" s="122"/>
      <c r="Z625" s="128"/>
      <c r="AA625" s="129"/>
      <c r="AB625" s="353">
        <v>698</v>
      </c>
    </row>
    <row r="626" spans="1:28" ht="12" customHeight="1" x14ac:dyDescent="0.2">
      <c r="A626" s="4"/>
      <c r="B626" s="635" t="s">
        <v>917</v>
      </c>
      <c r="C626" s="690"/>
      <c r="D626" s="690"/>
      <c r="E626" s="691"/>
      <c r="F626" s="258">
        <f>48.2*X2</f>
        <v>62178.000000000007</v>
      </c>
      <c r="G626" s="258">
        <f>+F626*$X$1</f>
        <v>62178.000000000007</v>
      </c>
      <c r="H626" s="92">
        <f>F626+7000</f>
        <v>69178</v>
      </c>
      <c r="I626" s="283">
        <f t="shared" ref="I626" si="1986">+H626*$X$1</f>
        <v>69178</v>
      </c>
      <c r="J626" s="92">
        <f>F626+3600</f>
        <v>65778</v>
      </c>
      <c r="K626" s="283">
        <f t="shared" ref="K626" si="1987">+J626*$X$1</f>
        <v>65778</v>
      </c>
      <c r="L626" s="92">
        <f>F626+2400</f>
        <v>64578.000000000007</v>
      </c>
      <c r="M626" s="283">
        <f t="shared" ref="M626" si="1988">+L626*$X$1</f>
        <v>64578.000000000007</v>
      </c>
      <c r="N626" s="92">
        <f>F626+2100</f>
        <v>64278.000000000007</v>
      </c>
      <c r="O626" s="283">
        <f t="shared" ref="O626" si="1989">+N626*$X$1</f>
        <v>64278.000000000007</v>
      </c>
      <c r="P626" s="92">
        <f>F626+1800</f>
        <v>63978.000000000007</v>
      </c>
      <c r="Q626" s="283">
        <f t="shared" ref="Q626" si="1990">+P626*$X$1</f>
        <v>63978.000000000007</v>
      </c>
      <c r="R626" s="92">
        <f>F626+1500</f>
        <v>63678.000000000007</v>
      </c>
      <c r="S626" s="283">
        <f t="shared" ref="S626" si="1991">+R626*$X$1</f>
        <v>63678.000000000007</v>
      </c>
      <c r="T626" s="92">
        <f>F626+1350</f>
        <v>63528.000000000007</v>
      </c>
      <c r="U626" s="283">
        <f t="shared" ref="U626" si="1992">+T626*$X$1</f>
        <v>63528.000000000007</v>
      </c>
      <c r="V626" s="92">
        <f>F626+1100</f>
        <v>63278.000000000007</v>
      </c>
      <c r="W626" s="283">
        <f t="shared" ref="W626" si="1993">+V626*$X$1</f>
        <v>63278.000000000007</v>
      </c>
      <c r="X626" s="127"/>
      <c r="Y626" s="122"/>
      <c r="Z626" s="128"/>
      <c r="AA626" s="129"/>
      <c r="AB626" s="353">
        <v>702</v>
      </c>
    </row>
    <row r="627" spans="1:28" ht="12" customHeight="1" x14ac:dyDescent="0.2">
      <c r="A627" s="4"/>
      <c r="B627" s="805" t="s">
        <v>876</v>
      </c>
      <c r="C627" s="806"/>
      <c r="D627" s="806"/>
      <c r="E627" s="807"/>
      <c r="F627" s="257">
        <f>23.4*X2</f>
        <v>30185.999999999996</v>
      </c>
      <c r="G627" s="257">
        <f>+F627*$X$1</f>
        <v>30185.999999999996</v>
      </c>
      <c r="H627" s="93">
        <f t="shared" si="1964"/>
        <v>35186</v>
      </c>
      <c r="I627" s="273">
        <f t="shared" si="1965"/>
        <v>35186</v>
      </c>
      <c r="J627" s="93">
        <f>F627+1200</f>
        <v>31385.999999999996</v>
      </c>
      <c r="K627" s="273">
        <f t="shared" si="1966"/>
        <v>31385.999999999996</v>
      </c>
      <c r="L627" s="93">
        <f t="shared" si="1967"/>
        <v>30985.999999999996</v>
      </c>
      <c r="M627" s="273">
        <f t="shared" si="1968"/>
        <v>30985.999999999996</v>
      </c>
      <c r="N627" s="93">
        <f t="shared" si="1969"/>
        <v>30885.999999999996</v>
      </c>
      <c r="O627" s="273">
        <f t="shared" si="1970"/>
        <v>30885.999999999996</v>
      </c>
      <c r="P627" s="93">
        <f t="shared" si="1971"/>
        <v>30785.999999999996</v>
      </c>
      <c r="Q627" s="273">
        <f t="shared" si="1972"/>
        <v>30785.999999999996</v>
      </c>
      <c r="R627" s="93">
        <f t="shared" si="1973"/>
        <v>30685.999999999996</v>
      </c>
      <c r="S627" s="273">
        <f t="shared" si="1974"/>
        <v>30685.999999999996</v>
      </c>
      <c r="T627" s="93">
        <f t="shared" si="1975"/>
        <v>30635.999999999996</v>
      </c>
      <c r="U627" s="273">
        <f t="shared" si="1976"/>
        <v>30635.999999999996</v>
      </c>
      <c r="V627" s="93">
        <f t="shared" si="1977"/>
        <v>30545.999999999996</v>
      </c>
      <c r="W627" s="273">
        <f t="shared" si="1978"/>
        <v>30545.999999999996</v>
      </c>
      <c r="X627" s="127"/>
      <c r="Y627" s="122"/>
      <c r="Z627" s="128"/>
      <c r="AA627" s="129"/>
      <c r="AB627" s="353">
        <v>703</v>
      </c>
    </row>
    <row r="628" spans="1:28" ht="12" customHeight="1" x14ac:dyDescent="0.2">
      <c r="A628" s="4"/>
      <c r="B628" s="739" t="s">
        <v>858</v>
      </c>
      <c r="C628" s="740"/>
      <c r="D628" s="740"/>
      <c r="E628" s="741"/>
      <c r="F628" s="469">
        <f>24.3*X2</f>
        <v>31347</v>
      </c>
      <c r="G628" s="469">
        <f>+F628*$X$1</f>
        <v>31347</v>
      </c>
      <c r="H628" s="549">
        <f t="shared" si="1964"/>
        <v>36347</v>
      </c>
      <c r="I628" s="468">
        <f t="shared" si="1965"/>
        <v>36347</v>
      </c>
      <c r="J628" s="549">
        <f t="shared" ref="J628:J638" si="1994">F628+1200</f>
        <v>32547</v>
      </c>
      <c r="K628" s="468">
        <f t="shared" si="1966"/>
        <v>32547</v>
      </c>
      <c r="L628" s="549">
        <f t="shared" si="1967"/>
        <v>32147</v>
      </c>
      <c r="M628" s="468">
        <f t="shared" si="1968"/>
        <v>32147</v>
      </c>
      <c r="N628" s="549">
        <f t="shared" si="1969"/>
        <v>32047</v>
      </c>
      <c r="O628" s="468">
        <f t="shared" si="1970"/>
        <v>32047</v>
      </c>
      <c r="P628" s="549">
        <f t="shared" si="1971"/>
        <v>31947</v>
      </c>
      <c r="Q628" s="468">
        <f t="shared" si="1972"/>
        <v>31947</v>
      </c>
      <c r="R628" s="549">
        <f t="shared" si="1973"/>
        <v>31847</v>
      </c>
      <c r="S628" s="468">
        <f t="shared" si="1974"/>
        <v>31847</v>
      </c>
      <c r="T628" s="549">
        <f t="shared" si="1975"/>
        <v>31797</v>
      </c>
      <c r="U628" s="468">
        <f t="shared" si="1976"/>
        <v>31797</v>
      </c>
      <c r="V628" s="549">
        <f t="shared" si="1977"/>
        <v>31707</v>
      </c>
      <c r="W628" s="468">
        <f t="shared" si="1978"/>
        <v>31707</v>
      </c>
      <c r="X628" s="127"/>
      <c r="Y628" s="122"/>
      <c r="Z628" s="128"/>
      <c r="AA628" s="129"/>
      <c r="AB628" s="353">
        <v>704</v>
      </c>
    </row>
    <row r="629" spans="1:28" ht="12" customHeight="1" x14ac:dyDescent="0.2">
      <c r="A629" s="4"/>
      <c r="B629" s="635" t="s">
        <v>814</v>
      </c>
      <c r="C629" s="690"/>
      <c r="D629" s="690"/>
      <c r="E629" s="691"/>
      <c r="F629" s="257">
        <f>31.2*X2</f>
        <v>40248</v>
      </c>
      <c r="G629" s="257">
        <f>+F629*$X$1</f>
        <v>40248</v>
      </c>
      <c r="H629" s="93">
        <f t="shared" si="1964"/>
        <v>45248</v>
      </c>
      <c r="I629" s="273">
        <f t="shared" si="1965"/>
        <v>45248</v>
      </c>
      <c r="J629" s="93">
        <f t="shared" si="1994"/>
        <v>41448</v>
      </c>
      <c r="K629" s="273">
        <f t="shared" si="1966"/>
        <v>41448</v>
      </c>
      <c r="L629" s="93">
        <f t="shared" si="1967"/>
        <v>41048</v>
      </c>
      <c r="M629" s="273">
        <f t="shared" si="1968"/>
        <v>41048</v>
      </c>
      <c r="N629" s="93">
        <f t="shared" si="1969"/>
        <v>40948</v>
      </c>
      <c r="O629" s="273">
        <f t="shared" si="1970"/>
        <v>40948</v>
      </c>
      <c r="P629" s="93">
        <f t="shared" si="1971"/>
        <v>40848</v>
      </c>
      <c r="Q629" s="273">
        <f t="shared" si="1972"/>
        <v>40848</v>
      </c>
      <c r="R629" s="93">
        <f t="shared" si="1973"/>
        <v>40748</v>
      </c>
      <c r="S629" s="273">
        <f t="shared" si="1974"/>
        <v>40748</v>
      </c>
      <c r="T629" s="93">
        <f t="shared" si="1975"/>
        <v>40698</v>
      </c>
      <c r="U629" s="273">
        <f t="shared" si="1976"/>
        <v>40698</v>
      </c>
      <c r="V629" s="93">
        <f t="shared" si="1977"/>
        <v>40608</v>
      </c>
      <c r="W629" s="273">
        <f t="shared" si="1978"/>
        <v>40608</v>
      </c>
      <c r="X629" s="127"/>
      <c r="Y629" s="122"/>
      <c r="Z629" s="128"/>
      <c r="AA629" s="129"/>
      <c r="AB629" s="353">
        <v>708</v>
      </c>
    </row>
    <row r="630" spans="1:28" ht="12" customHeight="1" x14ac:dyDescent="0.2">
      <c r="A630" s="4"/>
      <c r="B630" s="810" t="s">
        <v>549</v>
      </c>
      <c r="C630" s="811"/>
      <c r="D630" s="811"/>
      <c r="E630" s="812"/>
      <c r="F630" s="258">
        <f>40.8*X2</f>
        <v>52631.999999999993</v>
      </c>
      <c r="G630" s="258">
        <f>+F630*$X$1</f>
        <v>52631.999999999993</v>
      </c>
      <c r="H630" s="92">
        <f t="shared" si="1964"/>
        <v>57631.999999999993</v>
      </c>
      <c r="I630" s="283">
        <f t="shared" si="1965"/>
        <v>57631.999999999993</v>
      </c>
      <c r="J630" s="92">
        <f t="shared" si="1994"/>
        <v>53831.999999999993</v>
      </c>
      <c r="K630" s="283">
        <f t="shared" si="1966"/>
        <v>53831.999999999993</v>
      </c>
      <c r="L630" s="92">
        <f t="shared" si="1967"/>
        <v>53431.999999999993</v>
      </c>
      <c r="M630" s="283">
        <f t="shared" si="1968"/>
        <v>53431.999999999993</v>
      </c>
      <c r="N630" s="92">
        <f t="shared" si="1969"/>
        <v>53331.999999999993</v>
      </c>
      <c r="O630" s="283">
        <f t="shared" si="1970"/>
        <v>53331.999999999993</v>
      </c>
      <c r="P630" s="92">
        <f t="shared" si="1971"/>
        <v>53231.999999999993</v>
      </c>
      <c r="Q630" s="283">
        <f t="shared" si="1972"/>
        <v>53231.999999999993</v>
      </c>
      <c r="R630" s="92">
        <f t="shared" si="1973"/>
        <v>53131.999999999993</v>
      </c>
      <c r="S630" s="283">
        <f t="shared" si="1974"/>
        <v>53131.999999999993</v>
      </c>
      <c r="T630" s="92">
        <f t="shared" si="1975"/>
        <v>53081.999999999993</v>
      </c>
      <c r="U630" s="283">
        <f t="shared" si="1976"/>
        <v>53081.999999999993</v>
      </c>
      <c r="V630" s="92">
        <f t="shared" si="1977"/>
        <v>52991.999999999993</v>
      </c>
      <c r="W630" s="283">
        <f t="shared" si="1978"/>
        <v>52991.999999999993</v>
      </c>
      <c r="X630" s="127"/>
      <c r="Y630" s="122"/>
      <c r="Z630" s="128"/>
      <c r="AA630" s="129"/>
      <c r="AB630" s="353">
        <v>710</v>
      </c>
    </row>
    <row r="631" spans="1:28" ht="12" customHeight="1" x14ac:dyDescent="0.2">
      <c r="A631" s="4"/>
      <c r="B631" s="805" t="s">
        <v>523</v>
      </c>
      <c r="C631" s="806"/>
      <c r="D631" s="806"/>
      <c r="E631" s="807"/>
      <c r="F631" s="257">
        <f>48.2*X2</f>
        <v>62178.000000000007</v>
      </c>
      <c r="G631" s="257">
        <f t="shared" ref="G631" si="1995">+F631*$X$1</f>
        <v>62178.000000000007</v>
      </c>
      <c r="H631" s="93">
        <f t="shared" si="1964"/>
        <v>67178</v>
      </c>
      <c r="I631" s="273">
        <f t="shared" si="1965"/>
        <v>67178</v>
      </c>
      <c r="J631" s="93">
        <f t="shared" si="1994"/>
        <v>63378.000000000007</v>
      </c>
      <c r="K631" s="273">
        <f t="shared" si="1966"/>
        <v>63378.000000000007</v>
      </c>
      <c r="L631" s="93">
        <f t="shared" si="1967"/>
        <v>62978.000000000007</v>
      </c>
      <c r="M631" s="273">
        <f t="shared" si="1968"/>
        <v>62978.000000000007</v>
      </c>
      <c r="N631" s="93">
        <f t="shared" si="1969"/>
        <v>62878.000000000007</v>
      </c>
      <c r="O631" s="273">
        <f t="shared" si="1970"/>
        <v>62878.000000000007</v>
      </c>
      <c r="P631" s="93">
        <f t="shared" si="1971"/>
        <v>62778.000000000007</v>
      </c>
      <c r="Q631" s="273">
        <f t="shared" si="1972"/>
        <v>62778.000000000007</v>
      </c>
      <c r="R631" s="93">
        <f t="shared" si="1973"/>
        <v>62678.000000000007</v>
      </c>
      <c r="S631" s="273">
        <f t="shared" si="1974"/>
        <v>62678.000000000007</v>
      </c>
      <c r="T631" s="93">
        <f t="shared" si="1975"/>
        <v>62628.000000000007</v>
      </c>
      <c r="U631" s="273">
        <f t="shared" si="1976"/>
        <v>62628.000000000007</v>
      </c>
      <c r="V631" s="93">
        <f t="shared" si="1977"/>
        <v>62538.000000000007</v>
      </c>
      <c r="W631" s="273">
        <f t="shared" si="1978"/>
        <v>62538.000000000007</v>
      </c>
      <c r="X631" s="127"/>
      <c r="Y631" s="122"/>
      <c r="Z631" s="128"/>
      <c r="AA631" s="129"/>
      <c r="AB631" s="353">
        <v>711</v>
      </c>
    </row>
    <row r="632" spans="1:28" ht="12" customHeight="1" x14ac:dyDescent="0.2">
      <c r="A632" s="4"/>
      <c r="B632" s="810" t="s">
        <v>550</v>
      </c>
      <c r="C632" s="811"/>
      <c r="D632" s="811"/>
      <c r="E632" s="812"/>
      <c r="F632" s="258">
        <f>50*X2</f>
        <v>64500</v>
      </c>
      <c r="G632" s="258">
        <f t="shared" ref="G632" si="1996">+F632*$X$1</f>
        <v>64500</v>
      </c>
      <c r="H632" s="92">
        <f t="shared" si="1964"/>
        <v>69500</v>
      </c>
      <c r="I632" s="283">
        <f t="shared" si="1965"/>
        <v>69500</v>
      </c>
      <c r="J632" s="92">
        <f t="shared" si="1994"/>
        <v>65700</v>
      </c>
      <c r="K632" s="283">
        <f t="shared" si="1966"/>
        <v>65700</v>
      </c>
      <c r="L632" s="92">
        <f t="shared" si="1967"/>
        <v>65300</v>
      </c>
      <c r="M632" s="283">
        <f t="shared" si="1968"/>
        <v>65300</v>
      </c>
      <c r="N632" s="92">
        <f t="shared" si="1969"/>
        <v>65200</v>
      </c>
      <c r="O632" s="283">
        <f t="shared" si="1970"/>
        <v>65200</v>
      </c>
      <c r="P632" s="92">
        <f t="shared" si="1971"/>
        <v>65100</v>
      </c>
      <c r="Q632" s="283">
        <f t="shared" si="1972"/>
        <v>65100</v>
      </c>
      <c r="R632" s="92">
        <f t="shared" si="1973"/>
        <v>65000</v>
      </c>
      <c r="S632" s="283">
        <f t="shared" si="1974"/>
        <v>65000</v>
      </c>
      <c r="T632" s="92">
        <f t="shared" si="1975"/>
        <v>64950</v>
      </c>
      <c r="U632" s="283">
        <f t="shared" si="1976"/>
        <v>64950</v>
      </c>
      <c r="V632" s="92">
        <f t="shared" si="1977"/>
        <v>64860</v>
      </c>
      <c r="W632" s="283">
        <f t="shared" si="1978"/>
        <v>64860</v>
      </c>
      <c r="X632" s="127"/>
      <c r="Y632" s="122"/>
      <c r="Z632" s="128"/>
      <c r="AA632" s="129"/>
      <c r="AB632" s="353">
        <v>714</v>
      </c>
    </row>
    <row r="633" spans="1:28" ht="12" customHeight="1" x14ac:dyDescent="0.2">
      <c r="A633" s="4"/>
      <c r="B633" s="739" t="s">
        <v>670</v>
      </c>
      <c r="C633" s="740"/>
      <c r="D633" s="740"/>
      <c r="E633" s="741"/>
      <c r="F633" s="469">
        <f>11.4*X2</f>
        <v>14706</v>
      </c>
      <c r="G633" s="469">
        <f t="shared" ref="G633" si="1997">+F633*$X$1</f>
        <v>14706</v>
      </c>
      <c r="H633" s="549">
        <f t="shared" si="1964"/>
        <v>19706</v>
      </c>
      <c r="I633" s="468">
        <f t="shared" si="1965"/>
        <v>19706</v>
      </c>
      <c r="J633" s="549">
        <f t="shared" si="1994"/>
        <v>15906</v>
      </c>
      <c r="K633" s="468">
        <f t="shared" si="1966"/>
        <v>15906</v>
      </c>
      <c r="L633" s="549">
        <f t="shared" si="1967"/>
        <v>15506</v>
      </c>
      <c r="M633" s="468">
        <f t="shared" si="1968"/>
        <v>15506</v>
      </c>
      <c r="N633" s="549">
        <f t="shared" si="1969"/>
        <v>15406</v>
      </c>
      <c r="O633" s="468">
        <f t="shared" si="1970"/>
        <v>15406</v>
      </c>
      <c r="P633" s="549">
        <f t="shared" si="1971"/>
        <v>15306</v>
      </c>
      <c r="Q633" s="468">
        <f t="shared" si="1972"/>
        <v>15306</v>
      </c>
      <c r="R633" s="549">
        <f t="shared" si="1973"/>
        <v>15206</v>
      </c>
      <c r="S633" s="468">
        <f t="shared" si="1974"/>
        <v>15206</v>
      </c>
      <c r="T633" s="549">
        <f t="shared" si="1975"/>
        <v>15156</v>
      </c>
      <c r="U633" s="468">
        <f t="shared" si="1976"/>
        <v>15156</v>
      </c>
      <c r="V633" s="549">
        <f t="shared" si="1977"/>
        <v>15066</v>
      </c>
      <c r="W633" s="468">
        <f t="shared" si="1978"/>
        <v>15066</v>
      </c>
      <c r="X633" s="127"/>
      <c r="Y633" s="122"/>
      <c r="Z633" s="128"/>
      <c r="AA633" s="129"/>
      <c r="AB633" s="353">
        <v>716</v>
      </c>
    </row>
    <row r="634" spans="1:28" ht="12" customHeight="1" x14ac:dyDescent="0.2">
      <c r="A634" s="4"/>
      <c r="B634" s="739" t="s">
        <v>672</v>
      </c>
      <c r="C634" s="740"/>
      <c r="D634" s="740"/>
      <c r="E634" s="741"/>
      <c r="F634" s="469">
        <f>42.15*X2</f>
        <v>54373.5</v>
      </c>
      <c r="G634" s="469">
        <f t="shared" ref="G634" si="1998">+F634*$X$1</f>
        <v>54373.5</v>
      </c>
      <c r="H634" s="549">
        <f t="shared" si="1964"/>
        <v>59373.5</v>
      </c>
      <c r="I634" s="468">
        <f t="shared" si="1965"/>
        <v>59373.5</v>
      </c>
      <c r="J634" s="549">
        <f t="shared" si="1994"/>
        <v>55573.5</v>
      </c>
      <c r="K634" s="468">
        <f t="shared" si="1966"/>
        <v>55573.5</v>
      </c>
      <c r="L634" s="549">
        <f t="shared" si="1967"/>
        <v>55173.5</v>
      </c>
      <c r="M634" s="468">
        <f t="shared" si="1968"/>
        <v>55173.5</v>
      </c>
      <c r="N634" s="549">
        <f t="shared" si="1969"/>
        <v>55073.5</v>
      </c>
      <c r="O634" s="468">
        <f t="shared" si="1970"/>
        <v>55073.5</v>
      </c>
      <c r="P634" s="549">
        <f t="shared" si="1971"/>
        <v>54973.5</v>
      </c>
      <c r="Q634" s="468">
        <f t="shared" si="1972"/>
        <v>54973.5</v>
      </c>
      <c r="R634" s="549">
        <f t="shared" si="1973"/>
        <v>54873.5</v>
      </c>
      <c r="S634" s="468">
        <f t="shared" si="1974"/>
        <v>54873.5</v>
      </c>
      <c r="T634" s="549">
        <f t="shared" si="1975"/>
        <v>54823.5</v>
      </c>
      <c r="U634" s="468">
        <f t="shared" si="1976"/>
        <v>54823.5</v>
      </c>
      <c r="V634" s="549">
        <f t="shared" si="1977"/>
        <v>54733.5</v>
      </c>
      <c r="W634" s="468">
        <f t="shared" si="1978"/>
        <v>54733.5</v>
      </c>
      <c r="X634" s="127"/>
      <c r="Y634" s="122"/>
      <c r="Z634" s="128"/>
      <c r="AA634" s="129"/>
      <c r="AB634" s="353">
        <v>717</v>
      </c>
    </row>
    <row r="635" spans="1:28" ht="12" customHeight="1" x14ac:dyDescent="0.2">
      <c r="A635" s="4"/>
      <c r="B635" s="635" t="s">
        <v>671</v>
      </c>
      <c r="C635" s="690"/>
      <c r="D635" s="690"/>
      <c r="E635" s="691"/>
      <c r="F635" s="257">
        <f>97.31*X2</f>
        <v>125529.90000000001</v>
      </c>
      <c r="G635" s="257">
        <f t="shared" ref="G635" si="1999">+F635*$X$1</f>
        <v>125529.90000000001</v>
      </c>
      <c r="H635" s="93">
        <f t="shared" si="1964"/>
        <v>130529.90000000001</v>
      </c>
      <c r="I635" s="273">
        <f t="shared" si="1965"/>
        <v>130529.90000000001</v>
      </c>
      <c r="J635" s="93">
        <f t="shared" si="1994"/>
        <v>126729.90000000001</v>
      </c>
      <c r="K635" s="273">
        <f t="shared" si="1966"/>
        <v>126729.90000000001</v>
      </c>
      <c r="L635" s="93">
        <f t="shared" si="1967"/>
        <v>126329.90000000001</v>
      </c>
      <c r="M635" s="273">
        <f t="shared" si="1968"/>
        <v>126329.90000000001</v>
      </c>
      <c r="N635" s="93">
        <f t="shared" si="1969"/>
        <v>126229.90000000001</v>
      </c>
      <c r="O635" s="273">
        <f t="shared" si="1970"/>
        <v>126229.90000000001</v>
      </c>
      <c r="P635" s="93">
        <f t="shared" si="1971"/>
        <v>126129.90000000001</v>
      </c>
      <c r="Q635" s="273">
        <f t="shared" si="1972"/>
        <v>126129.90000000001</v>
      </c>
      <c r="R635" s="93">
        <f t="shared" si="1973"/>
        <v>126029.90000000001</v>
      </c>
      <c r="S635" s="273">
        <f t="shared" si="1974"/>
        <v>126029.90000000001</v>
      </c>
      <c r="T635" s="93">
        <f t="shared" si="1975"/>
        <v>125979.90000000001</v>
      </c>
      <c r="U635" s="273">
        <f t="shared" si="1976"/>
        <v>125979.90000000001</v>
      </c>
      <c r="V635" s="93">
        <f t="shared" si="1977"/>
        <v>125889.90000000001</v>
      </c>
      <c r="W635" s="273">
        <f t="shared" si="1978"/>
        <v>125889.90000000001</v>
      </c>
      <c r="X635" s="127"/>
      <c r="Y635" s="122"/>
      <c r="Z635" s="128"/>
      <c r="AA635" s="129"/>
      <c r="AB635" s="353">
        <v>718</v>
      </c>
    </row>
    <row r="636" spans="1:28" ht="12" customHeight="1" x14ac:dyDescent="0.2">
      <c r="A636" s="4"/>
      <c r="B636" s="739" t="s">
        <v>773</v>
      </c>
      <c r="C636" s="740"/>
      <c r="D636" s="740"/>
      <c r="E636" s="741"/>
      <c r="F636" s="469">
        <f>22.5*X2</f>
        <v>29025</v>
      </c>
      <c r="G636" s="469">
        <f t="shared" ref="G636" si="2000">+F636*$X$1</f>
        <v>29025</v>
      </c>
      <c r="H636" s="549">
        <f t="shared" si="1964"/>
        <v>34025</v>
      </c>
      <c r="I636" s="468">
        <f t="shared" si="1965"/>
        <v>34025</v>
      </c>
      <c r="J636" s="549">
        <f t="shared" si="1994"/>
        <v>30225</v>
      </c>
      <c r="K636" s="468">
        <f t="shared" si="1966"/>
        <v>30225</v>
      </c>
      <c r="L636" s="549">
        <f t="shared" si="1967"/>
        <v>29825</v>
      </c>
      <c r="M636" s="468">
        <f t="shared" si="1968"/>
        <v>29825</v>
      </c>
      <c r="N636" s="549">
        <f t="shared" si="1969"/>
        <v>29725</v>
      </c>
      <c r="O636" s="468">
        <f t="shared" si="1970"/>
        <v>29725</v>
      </c>
      <c r="P636" s="549">
        <f t="shared" si="1971"/>
        <v>29625</v>
      </c>
      <c r="Q636" s="468">
        <f t="shared" si="1972"/>
        <v>29625</v>
      </c>
      <c r="R636" s="549">
        <f t="shared" si="1973"/>
        <v>29525</v>
      </c>
      <c r="S636" s="468">
        <f t="shared" si="1974"/>
        <v>29525</v>
      </c>
      <c r="T636" s="549">
        <f t="shared" si="1975"/>
        <v>29475</v>
      </c>
      <c r="U636" s="468">
        <f t="shared" si="1976"/>
        <v>29475</v>
      </c>
      <c r="V636" s="549">
        <f t="shared" si="1977"/>
        <v>29385</v>
      </c>
      <c r="W636" s="468">
        <f t="shared" si="1978"/>
        <v>29385</v>
      </c>
      <c r="X636" s="127"/>
      <c r="Y636" s="122"/>
      <c r="Z636" s="128"/>
      <c r="AA636" s="129"/>
      <c r="AB636" s="353">
        <v>719</v>
      </c>
    </row>
    <row r="637" spans="1:28" ht="12" customHeight="1" x14ac:dyDescent="0.2">
      <c r="A637" s="4"/>
      <c r="B637" s="805" t="s">
        <v>669</v>
      </c>
      <c r="C637" s="806"/>
      <c r="D637" s="806"/>
      <c r="E637" s="807"/>
      <c r="F637" s="257">
        <f>14.31*X2</f>
        <v>18459.900000000001</v>
      </c>
      <c r="G637" s="257">
        <f t="shared" ref="G637" si="2001">+F637*$X$1</f>
        <v>18459.900000000001</v>
      </c>
      <c r="H637" s="93">
        <f t="shared" si="1964"/>
        <v>23459.9</v>
      </c>
      <c r="I637" s="273">
        <f t="shared" si="1965"/>
        <v>23459.9</v>
      </c>
      <c r="J637" s="93">
        <f t="shared" si="1994"/>
        <v>19659.900000000001</v>
      </c>
      <c r="K637" s="273">
        <f t="shared" si="1966"/>
        <v>19659.900000000001</v>
      </c>
      <c r="L637" s="93">
        <f t="shared" si="1967"/>
        <v>19259.900000000001</v>
      </c>
      <c r="M637" s="273">
        <f t="shared" si="1968"/>
        <v>19259.900000000001</v>
      </c>
      <c r="N637" s="93">
        <f t="shared" si="1969"/>
        <v>19159.900000000001</v>
      </c>
      <c r="O637" s="273">
        <f t="shared" si="1970"/>
        <v>19159.900000000001</v>
      </c>
      <c r="P637" s="93">
        <f t="shared" si="1971"/>
        <v>19059.900000000001</v>
      </c>
      <c r="Q637" s="273">
        <f t="shared" si="1972"/>
        <v>19059.900000000001</v>
      </c>
      <c r="R637" s="93">
        <f t="shared" si="1973"/>
        <v>18959.900000000001</v>
      </c>
      <c r="S637" s="273">
        <f t="shared" si="1974"/>
        <v>18959.900000000001</v>
      </c>
      <c r="T637" s="93">
        <f t="shared" si="1975"/>
        <v>18909.900000000001</v>
      </c>
      <c r="U637" s="273">
        <f t="shared" si="1976"/>
        <v>18909.900000000001</v>
      </c>
      <c r="V637" s="93">
        <f t="shared" si="1977"/>
        <v>18819.900000000001</v>
      </c>
      <c r="W637" s="273">
        <f t="shared" si="1978"/>
        <v>18819.900000000001</v>
      </c>
      <c r="X637" s="127"/>
      <c r="Y637" s="122"/>
      <c r="Z637" s="128"/>
      <c r="AA637" s="129"/>
      <c r="AB637" s="353">
        <v>720</v>
      </c>
    </row>
    <row r="638" spans="1:28" ht="12" customHeight="1" x14ac:dyDescent="0.2">
      <c r="A638" s="4"/>
      <c r="B638" s="810" t="s">
        <v>668</v>
      </c>
      <c r="C638" s="811"/>
      <c r="D638" s="811"/>
      <c r="E638" s="812"/>
      <c r="F638" s="258">
        <f>40.98*X2</f>
        <v>52864.2</v>
      </c>
      <c r="G638" s="258">
        <f t="shared" ref="G638" si="2002">+F638*$X$1</f>
        <v>52864.2</v>
      </c>
      <c r="H638" s="92">
        <f t="shared" si="1964"/>
        <v>57864.2</v>
      </c>
      <c r="I638" s="283">
        <f t="shared" si="1965"/>
        <v>57864.2</v>
      </c>
      <c r="J638" s="92">
        <f t="shared" si="1994"/>
        <v>54064.2</v>
      </c>
      <c r="K638" s="283">
        <f t="shared" si="1966"/>
        <v>54064.2</v>
      </c>
      <c r="L638" s="92">
        <f t="shared" si="1967"/>
        <v>53664.2</v>
      </c>
      <c r="M638" s="283">
        <f t="shared" si="1968"/>
        <v>53664.2</v>
      </c>
      <c r="N638" s="92">
        <f t="shared" si="1969"/>
        <v>53564.2</v>
      </c>
      <c r="O638" s="283">
        <f t="shared" si="1970"/>
        <v>53564.2</v>
      </c>
      <c r="P638" s="92">
        <f t="shared" si="1971"/>
        <v>53464.2</v>
      </c>
      <c r="Q638" s="283">
        <f t="shared" si="1972"/>
        <v>53464.2</v>
      </c>
      <c r="R638" s="92">
        <f t="shared" si="1973"/>
        <v>53364.2</v>
      </c>
      <c r="S638" s="283">
        <f t="shared" si="1974"/>
        <v>53364.2</v>
      </c>
      <c r="T638" s="92">
        <f t="shared" si="1975"/>
        <v>53314.2</v>
      </c>
      <c r="U638" s="283">
        <f t="shared" si="1976"/>
        <v>53314.2</v>
      </c>
      <c r="V638" s="92">
        <f t="shared" si="1977"/>
        <v>53224.2</v>
      </c>
      <c r="W638" s="283">
        <f t="shared" si="1978"/>
        <v>53224.2</v>
      </c>
      <c r="X638" s="127"/>
      <c r="Y638" s="122"/>
      <c r="Z638" s="128"/>
      <c r="AA638" s="129"/>
      <c r="AB638" s="353">
        <v>721</v>
      </c>
    </row>
    <row r="639" spans="1:28" ht="12" customHeight="1" x14ac:dyDescent="0.2">
      <c r="A639" s="71"/>
      <c r="B639" s="98"/>
      <c r="C639" s="408"/>
      <c r="D639" s="408"/>
      <c r="E639" s="408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18"/>
      <c r="D640" s="618"/>
      <c r="E640" s="618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2" customHeight="1" x14ac:dyDescent="0.2">
      <c r="A641" s="71"/>
      <c r="B641" s="98"/>
      <c r="C641" s="618"/>
      <c r="D641" s="618"/>
      <c r="E641" s="618"/>
      <c r="F641" s="298"/>
      <c r="G641" s="298"/>
      <c r="H641" s="106"/>
      <c r="I641" s="298"/>
      <c r="J641" s="106"/>
      <c r="K641" s="298"/>
      <c r="L641" s="106"/>
      <c r="M641" s="298"/>
      <c r="N641" s="106"/>
      <c r="O641" s="298"/>
      <c r="P641" s="106"/>
      <c r="Q641" s="298"/>
      <c r="R641" s="106"/>
      <c r="S641" s="298"/>
      <c r="T641" s="106"/>
      <c r="U641" s="298"/>
      <c r="V641" s="106"/>
      <c r="W641" s="298"/>
      <c r="X641" s="185"/>
      <c r="Y641" s="71"/>
      <c r="Z641" s="186"/>
      <c r="AA641" s="186"/>
      <c r="AB641" s="187"/>
    </row>
    <row r="642" spans="1:34" ht="14.25" customHeight="1" x14ac:dyDescent="0.2">
      <c r="B642" s="1169" t="s">
        <v>11</v>
      </c>
      <c r="C642" s="1171" t="s">
        <v>12</v>
      </c>
      <c r="D642" s="1172"/>
      <c r="E642" s="1172"/>
      <c r="F642" s="1174" t="s">
        <v>265</v>
      </c>
      <c r="G642" s="1174" t="s">
        <v>13</v>
      </c>
      <c r="H642" s="1176" t="s">
        <v>750</v>
      </c>
      <c r="I642" s="1176"/>
      <c r="J642" s="1177"/>
      <c r="K642" s="1177"/>
      <c r="L642" s="1177"/>
      <c r="M642" s="1177"/>
      <c r="N642" s="1177"/>
      <c r="O642" s="1177"/>
      <c r="P642" s="1177"/>
      <c r="Q642" s="1177"/>
      <c r="R642" s="1177"/>
      <c r="S642" s="1177"/>
      <c r="T642" s="1177"/>
      <c r="U642" s="1177"/>
      <c r="V642" s="1177"/>
      <c r="W642" s="1178"/>
      <c r="X642" s="647" t="s">
        <v>14</v>
      </c>
      <c r="Y642" s="648"/>
      <c r="Z642" s="648"/>
      <c r="AA642" s="649"/>
      <c r="AB642" s="692" t="s">
        <v>15</v>
      </c>
      <c r="AF642" s="694" t="s">
        <v>3</v>
      </c>
      <c r="AG642" s="695"/>
      <c r="AH642" s="695"/>
    </row>
    <row r="643" spans="1:34" ht="12" customHeight="1" x14ac:dyDescent="0.2">
      <c r="B643" s="1170"/>
      <c r="C643" s="1173"/>
      <c r="D643" s="1173"/>
      <c r="E643" s="1173"/>
      <c r="F643" s="1175"/>
      <c r="G643" s="1175"/>
      <c r="H643" s="423"/>
      <c r="I643" s="424" t="s">
        <v>517</v>
      </c>
      <c r="J643" s="423"/>
      <c r="K643" s="424" t="s">
        <v>266</v>
      </c>
      <c r="L643" s="423"/>
      <c r="M643" s="424" t="s">
        <v>267</v>
      </c>
      <c r="N643" s="423"/>
      <c r="O643" s="424" t="s">
        <v>519</v>
      </c>
      <c r="P643" s="423"/>
      <c r="Q643" s="424" t="s">
        <v>17</v>
      </c>
      <c r="R643" s="423"/>
      <c r="S643" s="424" t="s">
        <v>18</v>
      </c>
      <c r="T643" s="423"/>
      <c r="U643" s="424" t="s">
        <v>19</v>
      </c>
      <c r="V643" s="423"/>
      <c r="W643" s="425" t="s">
        <v>520</v>
      </c>
      <c r="X643" s="650"/>
      <c r="Y643" s="651"/>
      <c r="Z643" s="651"/>
      <c r="AA643" s="652"/>
      <c r="AB643" s="693"/>
    </row>
    <row r="644" spans="1:34" ht="12" customHeight="1" x14ac:dyDescent="0.2">
      <c r="A644" s="4"/>
      <c r="B644" s="635" t="s">
        <v>1008</v>
      </c>
      <c r="C644" s="690"/>
      <c r="D644" s="690"/>
      <c r="E644" s="691"/>
      <c r="F644" s="286">
        <v>9100</v>
      </c>
      <c r="G644" s="257">
        <f t="shared" ref="G644:G649" si="2003">+F644*$X$1</f>
        <v>9100</v>
      </c>
      <c r="H644" s="93"/>
      <c r="I644" s="273"/>
      <c r="J644" s="93"/>
      <c r="K644" s="273"/>
      <c r="L644" s="93">
        <f>F644+800</f>
        <v>9900</v>
      </c>
      <c r="M644" s="273">
        <f>+L644*$X$1</f>
        <v>9900</v>
      </c>
      <c r="N644" s="93">
        <f>F644+700</f>
        <v>9800</v>
      </c>
      <c r="O644" s="273">
        <f>+N644*$X$1</f>
        <v>9800</v>
      </c>
      <c r="P644" s="93">
        <f>F644+600</f>
        <v>9700</v>
      </c>
      <c r="Q644" s="273">
        <f>+P644*$X$1</f>
        <v>9700</v>
      </c>
      <c r="R644" s="93">
        <f>F644+500</f>
        <v>9600</v>
      </c>
      <c r="S644" s="273">
        <f>+R644*$X$1</f>
        <v>9600</v>
      </c>
      <c r="T644" s="93">
        <f>F644+450</f>
        <v>9550</v>
      </c>
      <c r="U644" s="273">
        <f>+T644*$X$1</f>
        <v>9550</v>
      </c>
      <c r="V644" s="93">
        <f>F644+360</f>
        <v>9460</v>
      </c>
      <c r="W644" s="273">
        <f>+V644*$X$1</f>
        <v>9460</v>
      </c>
      <c r="X644" s="127"/>
      <c r="Y644" s="122"/>
      <c r="Z644" s="128"/>
      <c r="AA644" s="129"/>
      <c r="AB644" s="353">
        <v>722</v>
      </c>
    </row>
    <row r="645" spans="1:34" ht="12" customHeight="1" x14ac:dyDescent="0.2">
      <c r="A645" s="4"/>
      <c r="B645" s="635" t="s">
        <v>1009</v>
      </c>
      <c r="C645" s="690"/>
      <c r="D645" s="690"/>
      <c r="E645" s="691"/>
      <c r="F645" s="285">
        <v>11050</v>
      </c>
      <c r="G645" s="258">
        <f t="shared" si="2003"/>
        <v>11050</v>
      </c>
      <c r="H645" s="92"/>
      <c r="I645" s="283"/>
      <c r="J645" s="92"/>
      <c r="K645" s="283"/>
      <c r="L645" s="92">
        <f t="shared" ref="L645" si="2004">F645+800</f>
        <v>11850</v>
      </c>
      <c r="M645" s="283">
        <f t="shared" ref="M645" si="2005">+L645*$X$1</f>
        <v>11850</v>
      </c>
      <c r="N645" s="92">
        <f t="shared" ref="N645" si="2006">F645+700</f>
        <v>11750</v>
      </c>
      <c r="O645" s="283">
        <f t="shared" ref="O645" si="2007">+N645*$X$1</f>
        <v>11750</v>
      </c>
      <c r="P645" s="92">
        <f t="shared" ref="P645" si="2008">F645+600</f>
        <v>11650</v>
      </c>
      <c r="Q645" s="283">
        <f t="shared" ref="Q645" si="2009">+P645*$X$1</f>
        <v>11650</v>
      </c>
      <c r="R645" s="92">
        <f t="shared" ref="R645" si="2010">F645+500</f>
        <v>11550</v>
      </c>
      <c r="S645" s="283">
        <f t="shared" ref="S645" si="2011">+R645*$X$1</f>
        <v>11550</v>
      </c>
      <c r="T645" s="92">
        <f t="shared" ref="T645" si="2012">F645+450</f>
        <v>11500</v>
      </c>
      <c r="U645" s="283">
        <f t="shared" ref="U645" si="2013">+T645*$X$1</f>
        <v>11500</v>
      </c>
      <c r="V645" s="92">
        <f t="shared" ref="V645" si="2014">F645+360</f>
        <v>11410</v>
      </c>
      <c r="W645" s="283">
        <f t="shared" ref="W645" si="2015">+V645*$X$1</f>
        <v>11410</v>
      </c>
      <c r="X645" s="127"/>
      <c r="Y645" s="122"/>
      <c r="Z645" s="128"/>
      <c r="AA645" s="129"/>
      <c r="AB645" s="353">
        <v>723</v>
      </c>
    </row>
    <row r="646" spans="1:34" ht="12" customHeight="1" x14ac:dyDescent="0.2">
      <c r="A646" s="4"/>
      <c r="B646" s="635" t="s">
        <v>1010</v>
      </c>
      <c r="C646" s="690"/>
      <c r="D646" s="690"/>
      <c r="E646" s="691"/>
      <c r="F646" s="286">
        <v>10200</v>
      </c>
      <c r="G646" s="257">
        <f t="shared" si="2003"/>
        <v>10200</v>
      </c>
      <c r="H646" s="93"/>
      <c r="I646" s="257"/>
      <c r="J646" s="559"/>
      <c r="K646" s="257"/>
      <c r="L646" s="559">
        <f t="shared" ref="L646" si="2016">F646+800</f>
        <v>11000</v>
      </c>
      <c r="M646" s="257">
        <f t="shared" ref="M646" si="2017">+L646*$X$1</f>
        <v>11000</v>
      </c>
      <c r="N646" s="559">
        <f t="shared" ref="N646" si="2018">F646+700</f>
        <v>10900</v>
      </c>
      <c r="O646" s="257">
        <f t="shared" ref="O646" si="2019">+N646*$X$1</f>
        <v>10900</v>
      </c>
      <c r="P646" s="559">
        <f t="shared" ref="P646" si="2020">F646+600</f>
        <v>10800</v>
      </c>
      <c r="Q646" s="257">
        <f t="shared" ref="Q646" si="2021">+P646*$X$1</f>
        <v>10800</v>
      </c>
      <c r="R646" s="559">
        <f t="shared" ref="R646" si="2022">F646+500</f>
        <v>10700</v>
      </c>
      <c r="S646" s="257">
        <f t="shared" ref="S646" si="2023">+R646*$X$1</f>
        <v>10700</v>
      </c>
      <c r="T646" s="559">
        <f t="shared" ref="T646" si="2024">F646+450</f>
        <v>10650</v>
      </c>
      <c r="U646" s="257">
        <f t="shared" ref="U646" si="2025">+T646*$X$1</f>
        <v>10650</v>
      </c>
      <c r="V646" s="559">
        <f t="shared" ref="V646" si="2026">F646+360</f>
        <v>10560</v>
      </c>
      <c r="W646" s="257">
        <f t="shared" ref="W646" si="2027">+V646*$X$1</f>
        <v>10560</v>
      </c>
      <c r="X646" s="127"/>
      <c r="Y646" s="122"/>
      <c r="Z646" s="128"/>
      <c r="AA646" s="129"/>
      <c r="AB646" s="353">
        <v>724</v>
      </c>
    </row>
    <row r="647" spans="1:34" ht="12" customHeight="1" x14ac:dyDescent="0.2">
      <c r="A647" s="4"/>
      <c r="B647" s="635" t="s">
        <v>961</v>
      </c>
      <c r="C647" s="690"/>
      <c r="D647" s="690"/>
      <c r="E647" s="691"/>
      <c r="F647" s="258">
        <f>14.45*X2</f>
        <v>18640.5</v>
      </c>
      <c r="G647" s="258">
        <f t="shared" si="2003"/>
        <v>18640.5</v>
      </c>
      <c r="H647" s="92">
        <f t="shared" ref="H647" si="2028">F647+5000</f>
        <v>23640.5</v>
      </c>
      <c r="I647" s="258">
        <f t="shared" ref="I647" si="2029">+H647*$X$1</f>
        <v>23640.5</v>
      </c>
      <c r="J647" s="576">
        <f>F647+1200</f>
        <v>19840.5</v>
      </c>
      <c r="K647" s="258">
        <f t="shared" ref="K647" si="2030">+J647*$X$1</f>
        <v>19840.5</v>
      </c>
      <c r="L647" s="576">
        <f t="shared" ref="L647:L648" si="2031">F647+800</f>
        <v>19440.5</v>
      </c>
      <c r="M647" s="258">
        <f t="shared" ref="M647:M648" si="2032">+L647*$X$1</f>
        <v>19440.5</v>
      </c>
      <c r="N647" s="576">
        <f t="shared" ref="N647:N648" si="2033">F647+700</f>
        <v>19340.5</v>
      </c>
      <c r="O647" s="258">
        <f t="shared" ref="O647:O648" si="2034">+N647*$X$1</f>
        <v>19340.5</v>
      </c>
      <c r="P647" s="576">
        <f t="shared" ref="P647:P648" si="2035">F647+600</f>
        <v>19240.5</v>
      </c>
      <c r="Q647" s="258">
        <f t="shared" ref="Q647:Q648" si="2036">+P647*$X$1</f>
        <v>19240.5</v>
      </c>
      <c r="R647" s="576">
        <f t="shared" ref="R647:R648" si="2037">F647+500</f>
        <v>19140.5</v>
      </c>
      <c r="S647" s="258">
        <f t="shared" ref="S647:S648" si="2038">+R647*$X$1</f>
        <v>19140.5</v>
      </c>
      <c r="T647" s="576">
        <f t="shared" ref="T647:T648" si="2039">F647+450</f>
        <v>19090.5</v>
      </c>
      <c r="U647" s="258">
        <f t="shared" ref="U647:U648" si="2040">+T647*$X$1</f>
        <v>19090.5</v>
      </c>
      <c r="V647" s="576">
        <f t="shared" ref="V647:V648" si="2041">F647+360</f>
        <v>19000.5</v>
      </c>
      <c r="W647" s="258">
        <f t="shared" ref="W647:W648" si="2042">+V647*$X$1</f>
        <v>19000.5</v>
      </c>
      <c r="X647" s="127"/>
      <c r="Y647" s="122"/>
      <c r="Z647" s="128"/>
      <c r="AA647" s="129"/>
      <c r="AB647" s="178">
        <v>725</v>
      </c>
    </row>
    <row r="648" spans="1:34" ht="12" customHeight="1" x14ac:dyDescent="0.2">
      <c r="A648" s="4"/>
      <c r="B648" s="635" t="s">
        <v>1011</v>
      </c>
      <c r="C648" s="690"/>
      <c r="D648" s="690"/>
      <c r="E648" s="691"/>
      <c r="F648" s="286">
        <v>25590</v>
      </c>
      <c r="G648" s="257">
        <f t="shared" si="2003"/>
        <v>25590</v>
      </c>
      <c r="H648" s="93"/>
      <c r="I648" s="257"/>
      <c r="J648" s="559"/>
      <c r="K648" s="257"/>
      <c r="L648" s="559">
        <f t="shared" si="2031"/>
        <v>26390</v>
      </c>
      <c r="M648" s="257">
        <f t="shared" si="2032"/>
        <v>26390</v>
      </c>
      <c r="N648" s="559">
        <f t="shared" si="2033"/>
        <v>26290</v>
      </c>
      <c r="O648" s="257">
        <f t="shared" si="2034"/>
        <v>26290</v>
      </c>
      <c r="P648" s="559">
        <f t="shared" si="2035"/>
        <v>26190</v>
      </c>
      <c r="Q648" s="257">
        <f t="shared" si="2036"/>
        <v>26190</v>
      </c>
      <c r="R648" s="559">
        <f t="shared" si="2037"/>
        <v>26090</v>
      </c>
      <c r="S648" s="257">
        <f t="shared" si="2038"/>
        <v>26090</v>
      </c>
      <c r="T648" s="559">
        <f t="shared" si="2039"/>
        <v>26040</v>
      </c>
      <c r="U648" s="257">
        <f t="shared" si="2040"/>
        <v>26040</v>
      </c>
      <c r="V648" s="559">
        <f t="shared" si="2041"/>
        <v>25950</v>
      </c>
      <c r="W648" s="257">
        <f t="shared" si="2042"/>
        <v>25950</v>
      </c>
      <c r="X648" s="127"/>
      <c r="Y648" s="122"/>
      <c r="Z648" s="128"/>
      <c r="AA648" s="129"/>
      <c r="AB648" s="353">
        <v>726</v>
      </c>
    </row>
    <row r="649" spans="1:34" ht="12" customHeight="1" x14ac:dyDescent="0.2">
      <c r="A649" s="4"/>
      <c r="B649" s="635" t="s">
        <v>1012</v>
      </c>
      <c r="C649" s="690"/>
      <c r="D649" s="690"/>
      <c r="E649" s="691"/>
      <c r="F649" s="285">
        <v>31290</v>
      </c>
      <c r="G649" s="258">
        <f t="shared" si="2003"/>
        <v>31290</v>
      </c>
      <c r="H649" s="92"/>
      <c r="I649" s="258"/>
      <c r="J649" s="576"/>
      <c r="K649" s="258"/>
      <c r="L649" s="576">
        <f t="shared" ref="L649" si="2043">F649+800</f>
        <v>32090</v>
      </c>
      <c r="M649" s="258">
        <f t="shared" ref="M649" si="2044">+L649*$X$1</f>
        <v>32090</v>
      </c>
      <c r="N649" s="576">
        <f t="shared" ref="N649" si="2045">F649+700</f>
        <v>31990</v>
      </c>
      <c r="O649" s="258">
        <f t="shared" ref="O649" si="2046">+N649*$X$1</f>
        <v>31990</v>
      </c>
      <c r="P649" s="576">
        <f t="shared" ref="P649" si="2047">F649+600</f>
        <v>31890</v>
      </c>
      <c r="Q649" s="258">
        <f t="shared" ref="Q649" si="2048">+P649*$X$1</f>
        <v>31890</v>
      </c>
      <c r="R649" s="576">
        <f t="shared" ref="R649" si="2049">F649+500</f>
        <v>31790</v>
      </c>
      <c r="S649" s="258">
        <f t="shared" ref="S649" si="2050">+R649*$X$1</f>
        <v>31790</v>
      </c>
      <c r="T649" s="576">
        <f t="shared" ref="T649" si="2051">F649+450</f>
        <v>31740</v>
      </c>
      <c r="U649" s="258">
        <f t="shared" ref="U649" si="2052">+T649*$X$1</f>
        <v>31740</v>
      </c>
      <c r="V649" s="576">
        <f t="shared" ref="V649" si="2053">F649+360</f>
        <v>31650</v>
      </c>
      <c r="W649" s="258">
        <f t="shared" ref="W649" si="2054">+V649*$X$1</f>
        <v>31650</v>
      </c>
      <c r="X649" s="127"/>
      <c r="Y649" s="122"/>
      <c r="Z649" s="128"/>
      <c r="AA649" s="129"/>
      <c r="AB649" s="353">
        <v>727</v>
      </c>
    </row>
    <row r="650" spans="1:34" ht="12.6" customHeight="1" x14ac:dyDescent="0.2">
      <c r="A650" s="4"/>
      <c r="B650" s="805" t="s">
        <v>787</v>
      </c>
      <c r="C650" s="806"/>
      <c r="D650" s="806"/>
      <c r="E650" s="807"/>
      <c r="F650" s="257">
        <f>5.2*X2</f>
        <v>6708</v>
      </c>
      <c r="G650" s="257">
        <f t="shared" ref="G650" si="2055">+F650*$X$1</f>
        <v>6708</v>
      </c>
      <c r="H650" s="93">
        <f t="shared" ref="H650:H657" si="2056">F650+5000</f>
        <v>11708</v>
      </c>
      <c r="I650" s="257">
        <f t="shared" ref="I650:I657" si="2057">+H650*$X$1</f>
        <v>11708</v>
      </c>
      <c r="J650" s="559">
        <f t="shared" ref="J650:J655" si="2058">F650+1200</f>
        <v>7908</v>
      </c>
      <c r="K650" s="257">
        <f t="shared" ref="K650:K657" si="2059">+J650*$X$1</f>
        <v>7908</v>
      </c>
      <c r="L650" s="559">
        <f t="shared" ref="L650:L657" si="2060">F650+800</f>
        <v>7508</v>
      </c>
      <c r="M650" s="257">
        <f t="shared" ref="M650:M657" si="2061">+L650*$X$1</f>
        <v>7508</v>
      </c>
      <c r="N650" s="559">
        <f t="shared" ref="N650:N657" si="2062">F650+700</f>
        <v>7408</v>
      </c>
      <c r="O650" s="257">
        <f t="shared" ref="O650:O657" si="2063">+N650*$X$1</f>
        <v>7408</v>
      </c>
      <c r="P650" s="559">
        <f t="shared" ref="P650:P657" si="2064">F650+600</f>
        <v>7308</v>
      </c>
      <c r="Q650" s="257">
        <f t="shared" ref="Q650:Q657" si="2065">+P650*$X$1</f>
        <v>7308</v>
      </c>
      <c r="R650" s="559">
        <f t="shared" ref="R650:R657" si="2066">F650+500</f>
        <v>7208</v>
      </c>
      <c r="S650" s="257">
        <f t="shared" ref="S650:S657" si="2067">+R650*$X$1</f>
        <v>7208</v>
      </c>
      <c r="T650" s="559">
        <f t="shared" ref="T650:T657" si="2068">F650+450</f>
        <v>7158</v>
      </c>
      <c r="U650" s="257">
        <f t="shared" ref="U650:U657" si="2069">+T650*$X$1</f>
        <v>7158</v>
      </c>
      <c r="V650" s="559">
        <f t="shared" ref="V650:V657" si="2070">F650+360</f>
        <v>7068</v>
      </c>
      <c r="W650" s="257">
        <f t="shared" ref="W650:W657" si="2071">+V650*$X$1</f>
        <v>7068</v>
      </c>
      <c r="X650" s="127"/>
      <c r="Y650" s="122"/>
      <c r="Z650" s="128"/>
      <c r="AA650" s="129"/>
      <c r="AB650" s="178">
        <v>741</v>
      </c>
    </row>
    <row r="651" spans="1:34" ht="12" customHeight="1" x14ac:dyDescent="0.2">
      <c r="A651" s="4"/>
      <c r="B651" s="810" t="s">
        <v>574</v>
      </c>
      <c r="C651" s="811"/>
      <c r="D651" s="811"/>
      <c r="E651" s="812"/>
      <c r="F651" s="258">
        <f>19.7*X2</f>
        <v>25413</v>
      </c>
      <c r="G651" s="258">
        <f>+F651*$X$1</f>
        <v>25413</v>
      </c>
      <c r="H651" s="92">
        <f t="shared" si="2056"/>
        <v>30413</v>
      </c>
      <c r="I651" s="258">
        <f t="shared" si="2057"/>
        <v>30413</v>
      </c>
      <c r="J651" s="576">
        <f t="shared" si="2058"/>
        <v>26613</v>
      </c>
      <c r="K651" s="258">
        <f t="shared" si="2059"/>
        <v>26613</v>
      </c>
      <c r="L651" s="576">
        <f t="shared" si="2060"/>
        <v>26213</v>
      </c>
      <c r="M651" s="258">
        <f t="shared" si="2061"/>
        <v>26213</v>
      </c>
      <c r="N651" s="576">
        <f t="shared" si="2062"/>
        <v>26113</v>
      </c>
      <c r="O651" s="258">
        <f t="shared" si="2063"/>
        <v>26113</v>
      </c>
      <c r="P651" s="576">
        <f t="shared" si="2064"/>
        <v>26013</v>
      </c>
      <c r="Q651" s="258">
        <f t="shared" si="2065"/>
        <v>26013</v>
      </c>
      <c r="R651" s="576">
        <f t="shared" si="2066"/>
        <v>25913</v>
      </c>
      <c r="S651" s="258">
        <f t="shared" si="2067"/>
        <v>25913</v>
      </c>
      <c r="T651" s="576">
        <f t="shared" si="2068"/>
        <v>25863</v>
      </c>
      <c r="U651" s="258">
        <f t="shared" si="2069"/>
        <v>25863</v>
      </c>
      <c r="V651" s="576">
        <f t="shared" si="2070"/>
        <v>25773</v>
      </c>
      <c r="W651" s="258">
        <f t="shared" si="2071"/>
        <v>25773</v>
      </c>
      <c r="X651" s="127"/>
      <c r="Y651" s="122"/>
      <c r="Z651" s="128"/>
      <c r="AA651" s="129"/>
      <c r="AB651" s="178">
        <v>742</v>
      </c>
    </row>
    <row r="652" spans="1:34" ht="12" customHeight="1" x14ac:dyDescent="0.2">
      <c r="A652" s="4"/>
      <c r="B652" s="805" t="s">
        <v>575</v>
      </c>
      <c r="C652" s="806"/>
      <c r="D652" s="806"/>
      <c r="E652" s="807"/>
      <c r="F652" s="257">
        <f>20.2*X2</f>
        <v>26058</v>
      </c>
      <c r="G652" s="257">
        <f>+F652*$X$1</f>
        <v>26058</v>
      </c>
      <c r="H652" s="93">
        <f t="shared" si="2056"/>
        <v>31058</v>
      </c>
      <c r="I652" s="257">
        <f t="shared" si="2057"/>
        <v>31058</v>
      </c>
      <c r="J652" s="559">
        <f t="shared" si="2058"/>
        <v>27258</v>
      </c>
      <c r="K652" s="257">
        <f t="shared" si="2059"/>
        <v>27258</v>
      </c>
      <c r="L652" s="559">
        <f t="shared" si="2060"/>
        <v>26858</v>
      </c>
      <c r="M652" s="257">
        <f t="shared" si="2061"/>
        <v>26858</v>
      </c>
      <c r="N652" s="559">
        <f t="shared" si="2062"/>
        <v>26758</v>
      </c>
      <c r="O652" s="257">
        <f t="shared" si="2063"/>
        <v>26758</v>
      </c>
      <c r="P652" s="559">
        <f t="shared" si="2064"/>
        <v>26658</v>
      </c>
      <c r="Q652" s="257">
        <f t="shared" si="2065"/>
        <v>26658</v>
      </c>
      <c r="R652" s="559">
        <f t="shared" si="2066"/>
        <v>26558</v>
      </c>
      <c r="S652" s="257">
        <f t="shared" si="2067"/>
        <v>26558</v>
      </c>
      <c r="T652" s="559">
        <f t="shared" si="2068"/>
        <v>26508</v>
      </c>
      <c r="U652" s="257">
        <f t="shared" si="2069"/>
        <v>26508</v>
      </c>
      <c r="V652" s="559">
        <f t="shared" si="2070"/>
        <v>26418</v>
      </c>
      <c r="W652" s="257">
        <f t="shared" si="2071"/>
        <v>26418</v>
      </c>
      <c r="X652" s="127"/>
      <c r="Y652" s="122"/>
      <c r="Z652" s="128"/>
      <c r="AA652" s="129"/>
      <c r="AB652" s="178">
        <v>743</v>
      </c>
    </row>
    <row r="653" spans="1:34" ht="12" customHeight="1" x14ac:dyDescent="0.2">
      <c r="A653" s="4"/>
      <c r="B653" s="810" t="s">
        <v>644</v>
      </c>
      <c r="C653" s="811"/>
      <c r="D653" s="811"/>
      <c r="E653" s="812"/>
      <c r="F653" s="258">
        <f>17*X2</f>
        <v>21930</v>
      </c>
      <c r="G653" s="258">
        <f t="shared" ref="G653" si="2072">+F653*$X$1</f>
        <v>21930</v>
      </c>
      <c r="H653" s="92">
        <f t="shared" si="2056"/>
        <v>26930</v>
      </c>
      <c r="I653" s="258">
        <f t="shared" si="2057"/>
        <v>26930</v>
      </c>
      <c r="J653" s="576">
        <f t="shared" si="2058"/>
        <v>23130</v>
      </c>
      <c r="K653" s="258">
        <f t="shared" si="2059"/>
        <v>23130</v>
      </c>
      <c r="L653" s="576">
        <f t="shared" si="2060"/>
        <v>22730</v>
      </c>
      <c r="M653" s="258">
        <f t="shared" si="2061"/>
        <v>22730</v>
      </c>
      <c r="N653" s="576">
        <f t="shared" si="2062"/>
        <v>22630</v>
      </c>
      <c r="O653" s="258">
        <f t="shared" si="2063"/>
        <v>22630</v>
      </c>
      <c r="P653" s="576">
        <f t="shared" si="2064"/>
        <v>22530</v>
      </c>
      <c r="Q653" s="258">
        <f t="shared" si="2065"/>
        <v>22530</v>
      </c>
      <c r="R653" s="576">
        <f t="shared" si="2066"/>
        <v>22430</v>
      </c>
      <c r="S653" s="258">
        <f t="shared" si="2067"/>
        <v>22430</v>
      </c>
      <c r="T653" s="576">
        <f t="shared" si="2068"/>
        <v>22380</v>
      </c>
      <c r="U653" s="258">
        <f t="shared" si="2069"/>
        <v>22380</v>
      </c>
      <c r="V653" s="576">
        <f t="shared" si="2070"/>
        <v>22290</v>
      </c>
      <c r="W653" s="258">
        <f t="shared" si="2071"/>
        <v>22290</v>
      </c>
      <c r="X653" s="127"/>
      <c r="Y653" s="122"/>
      <c r="Z653" s="128"/>
      <c r="AA653" s="129"/>
      <c r="AB653" s="178">
        <v>744</v>
      </c>
    </row>
    <row r="654" spans="1:34" ht="12" customHeight="1" x14ac:dyDescent="0.2">
      <c r="A654" s="4"/>
      <c r="B654" s="805" t="s">
        <v>839</v>
      </c>
      <c r="C654" s="806"/>
      <c r="D654" s="806"/>
      <c r="E654" s="807"/>
      <c r="F654" s="257">
        <f>4.5*X2</f>
        <v>5805</v>
      </c>
      <c r="G654" s="257">
        <f t="shared" ref="G654" si="2073">+F654*$X$1</f>
        <v>5805</v>
      </c>
      <c r="H654" s="93">
        <f t="shared" si="2056"/>
        <v>10805</v>
      </c>
      <c r="I654" s="273">
        <f t="shared" si="2057"/>
        <v>10805</v>
      </c>
      <c r="J654" s="93">
        <f t="shared" si="2058"/>
        <v>7005</v>
      </c>
      <c r="K654" s="257">
        <f t="shared" si="2059"/>
        <v>7005</v>
      </c>
      <c r="L654" s="559">
        <f t="shared" si="2060"/>
        <v>6605</v>
      </c>
      <c r="M654" s="257">
        <f t="shared" si="2061"/>
        <v>6605</v>
      </c>
      <c r="N654" s="559">
        <f t="shared" si="2062"/>
        <v>6505</v>
      </c>
      <c r="O654" s="257">
        <f t="shared" si="2063"/>
        <v>6505</v>
      </c>
      <c r="P654" s="559">
        <f t="shared" si="2064"/>
        <v>6405</v>
      </c>
      <c r="Q654" s="257">
        <f t="shared" si="2065"/>
        <v>6405</v>
      </c>
      <c r="R654" s="559">
        <f t="shared" si="2066"/>
        <v>6305</v>
      </c>
      <c r="S654" s="257">
        <f t="shared" si="2067"/>
        <v>6305</v>
      </c>
      <c r="T654" s="559">
        <f t="shared" si="2068"/>
        <v>6255</v>
      </c>
      <c r="U654" s="257">
        <f t="shared" si="2069"/>
        <v>6255</v>
      </c>
      <c r="V654" s="559">
        <f t="shared" si="2070"/>
        <v>6165</v>
      </c>
      <c r="W654" s="257">
        <f t="shared" si="2071"/>
        <v>6165</v>
      </c>
      <c r="X654" s="127"/>
      <c r="Y654" s="122"/>
      <c r="Z654" s="128"/>
      <c r="AA654" s="129"/>
      <c r="AB654" s="178">
        <v>745</v>
      </c>
    </row>
    <row r="655" spans="1:34" ht="12" customHeight="1" x14ac:dyDescent="0.2">
      <c r="A655" s="4"/>
      <c r="B655" s="810" t="s">
        <v>883</v>
      </c>
      <c r="C655" s="811"/>
      <c r="D655" s="811"/>
      <c r="E655" s="812"/>
      <c r="F655" s="258">
        <f>6.49*X2</f>
        <v>8372.1</v>
      </c>
      <c r="G655" s="258">
        <f t="shared" ref="G655:G657" si="2074">+F655*$X$1</f>
        <v>8372.1</v>
      </c>
      <c r="H655" s="92">
        <f t="shared" si="2056"/>
        <v>13372.1</v>
      </c>
      <c r="I655" s="283">
        <f t="shared" si="2057"/>
        <v>13372.1</v>
      </c>
      <c r="J655" s="92">
        <f t="shared" si="2058"/>
        <v>9572.1</v>
      </c>
      <c r="K655" s="258">
        <f t="shared" si="2059"/>
        <v>9572.1</v>
      </c>
      <c r="L655" s="576">
        <f t="shared" si="2060"/>
        <v>9172.1</v>
      </c>
      <c r="M655" s="258">
        <f t="shared" si="2061"/>
        <v>9172.1</v>
      </c>
      <c r="N655" s="576">
        <f t="shared" si="2062"/>
        <v>9072.1</v>
      </c>
      <c r="O655" s="258">
        <f t="shared" si="2063"/>
        <v>9072.1</v>
      </c>
      <c r="P655" s="576">
        <f t="shared" si="2064"/>
        <v>8972.1</v>
      </c>
      <c r="Q655" s="258">
        <f t="shared" si="2065"/>
        <v>8972.1</v>
      </c>
      <c r="R655" s="576">
        <f t="shared" si="2066"/>
        <v>8872.1</v>
      </c>
      <c r="S655" s="258">
        <f t="shared" si="2067"/>
        <v>8872.1</v>
      </c>
      <c r="T655" s="576">
        <f t="shared" si="2068"/>
        <v>8822.1</v>
      </c>
      <c r="U655" s="258">
        <f t="shared" si="2069"/>
        <v>8822.1</v>
      </c>
      <c r="V655" s="576">
        <f t="shared" si="2070"/>
        <v>8732.1</v>
      </c>
      <c r="W655" s="258">
        <f t="shared" si="2071"/>
        <v>8732.1</v>
      </c>
      <c r="X655" s="127"/>
      <c r="Y655" s="122"/>
      <c r="Z655" s="128"/>
      <c r="AA655" s="129"/>
      <c r="AB655" s="178">
        <v>746</v>
      </c>
    </row>
    <row r="656" spans="1:34" ht="12" customHeight="1" x14ac:dyDescent="0.2">
      <c r="A656" s="4"/>
      <c r="B656" s="635" t="s">
        <v>996</v>
      </c>
      <c r="C656" s="690"/>
      <c r="D656" s="690"/>
      <c r="E656" s="691"/>
      <c r="F656" s="257">
        <f>21.16*X2</f>
        <v>27296.400000000001</v>
      </c>
      <c r="G656" s="257">
        <f t="shared" si="2074"/>
        <v>27296.400000000001</v>
      </c>
      <c r="H656" s="93">
        <f t="shared" si="2056"/>
        <v>32296.400000000001</v>
      </c>
      <c r="I656" s="273">
        <f t="shared" si="2057"/>
        <v>32296.400000000001</v>
      </c>
      <c r="J656" s="93">
        <f t="shared" ref="J656" si="2075">F656+1200</f>
        <v>28496.400000000001</v>
      </c>
      <c r="K656" s="257">
        <f t="shared" si="2059"/>
        <v>28496.400000000001</v>
      </c>
      <c r="L656" s="559">
        <f t="shared" si="2060"/>
        <v>28096.400000000001</v>
      </c>
      <c r="M656" s="257">
        <f t="shared" si="2061"/>
        <v>28096.400000000001</v>
      </c>
      <c r="N656" s="559">
        <f t="shared" si="2062"/>
        <v>27996.400000000001</v>
      </c>
      <c r="O656" s="257">
        <f t="shared" si="2063"/>
        <v>27996.400000000001</v>
      </c>
      <c r="P656" s="559">
        <f t="shared" si="2064"/>
        <v>27896.400000000001</v>
      </c>
      <c r="Q656" s="257">
        <f t="shared" si="2065"/>
        <v>27896.400000000001</v>
      </c>
      <c r="R656" s="559">
        <f t="shared" si="2066"/>
        <v>27796.400000000001</v>
      </c>
      <c r="S656" s="257">
        <f t="shared" si="2067"/>
        <v>27796.400000000001</v>
      </c>
      <c r="T656" s="559">
        <f t="shared" si="2068"/>
        <v>27746.400000000001</v>
      </c>
      <c r="U656" s="257">
        <f t="shared" si="2069"/>
        <v>27746.400000000001</v>
      </c>
      <c r="V656" s="559">
        <f t="shared" si="2070"/>
        <v>27656.400000000001</v>
      </c>
      <c r="W656" s="257">
        <f t="shared" si="2071"/>
        <v>27656.400000000001</v>
      </c>
      <c r="X656" s="127"/>
      <c r="Y656" s="122"/>
      <c r="Z656" s="128"/>
      <c r="AA656" s="129"/>
      <c r="AB656" s="178">
        <v>748</v>
      </c>
    </row>
    <row r="657" spans="1:34" ht="12" customHeight="1" x14ac:dyDescent="0.2">
      <c r="A657" s="4"/>
      <c r="B657" s="810" t="s">
        <v>875</v>
      </c>
      <c r="C657" s="811"/>
      <c r="D657" s="811"/>
      <c r="E657" s="812"/>
      <c r="F657" s="258">
        <f>4.1*X2</f>
        <v>5288.9999999999991</v>
      </c>
      <c r="G657" s="258">
        <f t="shared" si="2074"/>
        <v>5288.9999999999991</v>
      </c>
      <c r="H657" s="92">
        <f t="shared" si="2056"/>
        <v>10289</v>
      </c>
      <c r="I657" s="283">
        <f t="shared" si="2057"/>
        <v>10289</v>
      </c>
      <c r="J657" s="92">
        <f>F657+1200</f>
        <v>6488.9999999999991</v>
      </c>
      <c r="K657" s="258">
        <f t="shared" si="2059"/>
        <v>6488.9999999999991</v>
      </c>
      <c r="L657" s="576">
        <f t="shared" si="2060"/>
        <v>6088.9999999999991</v>
      </c>
      <c r="M657" s="258">
        <f t="shared" si="2061"/>
        <v>6088.9999999999991</v>
      </c>
      <c r="N657" s="576">
        <f t="shared" si="2062"/>
        <v>5988.9999999999991</v>
      </c>
      <c r="O657" s="258">
        <f t="shared" si="2063"/>
        <v>5988.9999999999991</v>
      </c>
      <c r="P657" s="576">
        <f t="shared" si="2064"/>
        <v>5888.9999999999991</v>
      </c>
      <c r="Q657" s="258">
        <f t="shared" si="2065"/>
        <v>5888.9999999999991</v>
      </c>
      <c r="R657" s="576">
        <f t="shared" si="2066"/>
        <v>5788.9999999999991</v>
      </c>
      <c r="S657" s="258">
        <f t="shared" si="2067"/>
        <v>5788.9999999999991</v>
      </c>
      <c r="T657" s="576">
        <f t="shared" si="2068"/>
        <v>5738.9999999999991</v>
      </c>
      <c r="U657" s="258">
        <f t="shared" si="2069"/>
        <v>5738.9999999999991</v>
      </c>
      <c r="V657" s="576">
        <f t="shared" si="2070"/>
        <v>5648.9999999999991</v>
      </c>
      <c r="W657" s="258">
        <f t="shared" si="2071"/>
        <v>5648.9999999999991</v>
      </c>
      <c r="X657" s="127"/>
      <c r="Y657" s="122"/>
      <c r="Z657" s="128"/>
      <c r="AA657" s="129"/>
      <c r="AB657" s="178">
        <v>760</v>
      </c>
    </row>
    <row r="658" spans="1:34" ht="12" customHeight="1" x14ac:dyDescent="0.2">
      <c r="A658" s="4"/>
      <c r="B658" s="671" t="s">
        <v>962</v>
      </c>
      <c r="C658" s="1184"/>
      <c r="D658" s="1184"/>
      <c r="E658" s="1184"/>
      <c r="F658" s="286">
        <v>1695</v>
      </c>
      <c r="G658" s="257">
        <f>+F658*$X$1</f>
        <v>1695</v>
      </c>
      <c r="H658" s="93"/>
      <c r="I658" s="273"/>
      <c r="J658" s="93"/>
      <c r="K658" s="273"/>
      <c r="L658" s="93"/>
      <c r="M658" s="273"/>
      <c r="N658" s="93"/>
      <c r="O658" s="273"/>
      <c r="P658" s="93"/>
      <c r="Q658" s="273"/>
      <c r="R658" s="93">
        <f t="shared" ref="R658" si="2076">F658+500</f>
        <v>2195</v>
      </c>
      <c r="S658" s="273">
        <f t="shared" ref="S658" si="2077">+R658*$X$1</f>
        <v>2195</v>
      </c>
      <c r="T658" s="93">
        <f t="shared" ref="T658" si="2078">F658+450</f>
        <v>2145</v>
      </c>
      <c r="U658" s="273">
        <f t="shared" ref="U658" si="2079">+T658*$X$1</f>
        <v>2145</v>
      </c>
      <c r="V658" s="93">
        <f t="shared" ref="V658" si="2080">F658+360</f>
        <v>2055</v>
      </c>
      <c r="W658" s="273">
        <f t="shared" ref="W658" si="2081">+V658*$X$1</f>
        <v>2055</v>
      </c>
      <c r="X658" s="127"/>
      <c r="Y658" s="122"/>
      <c r="Z658" s="128"/>
      <c r="AA658" s="129"/>
      <c r="AB658" s="353">
        <v>765</v>
      </c>
    </row>
    <row r="659" spans="1:34" ht="12" customHeight="1" x14ac:dyDescent="0.2">
      <c r="A659" s="4"/>
      <c r="B659" s="827" t="s">
        <v>553</v>
      </c>
      <c r="C659" s="828"/>
      <c r="D659" s="828"/>
      <c r="E659" s="828"/>
      <c r="F659" s="341"/>
      <c r="G659" s="341"/>
      <c r="H659" s="576">
        <v>1700</v>
      </c>
      <c r="I659" s="258">
        <f t="shared" ref="I659:K659" si="2082">+H659*$X$1</f>
        <v>1700</v>
      </c>
      <c r="J659" s="576">
        <v>900</v>
      </c>
      <c r="K659" s="258">
        <f t="shared" si="2082"/>
        <v>900</v>
      </c>
      <c r="L659" s="576">
        <v>700</v>
      </c>
      <c r="M659" s="258">
        <f t="shared" ref="M659" si="2083">+L659*$X$1</f>
        <v>700</v>
      </c>
      <c r="N659" s="576">
        <v>600</v>
      </c>
      <c r="O659" s="258">
        <f t="shared" ref="O659" si="2084">+N659*$X$1</f>
        <v>600</v>
      </c>
      <c r="P659" s="576">
        <v>550</v>
      </c>
      <c r="Q659" s="258">
        <f t="shared" ref="Q659" si="2085">+P659*$X$1</f>
        <v>550</v>
      </c>
      <c r="R659" s="576">
        <v>450</v>
      </c>
      <c r="S659" s="258">
        <f t="shared" ref="S659" si="2086">+R659*$X$1</f>
        <v>450</v>
      </c>
      <c r="T659" s="576">
        <v>390</v>
      </c>
      <c r="U659" s="258">
        <f t="shared" ref="U659" si="2087">+T659*$X$1</f>
        <v>390</v>
      </c>
      <c r="V659" s="576">
        <v>360</v>
      </c>
      <c r="W659" s="258">
        <f t="shared" ref="W659" si="2088">+V659*$X$1</f>
        <v>360</v>
      </c>
      <c r="X659" s="127"/>
      <c r="Y659" s="122"/>
      <c r="Z659" s="128"/>
      <c r="AA659" s="128"/>
      <c r="AB659" s="36"/>
    </row>
    <row r="660" spans="1:34" ht="13.5" customHeight="1" x14ac:dyDescent="0.2">
      <c r="A660" s="71"/>
      <c r="B660" s="98"/>
      <c r="C660" s="577"/>
      <c r="D660" s="577"/>
      <c r="E660" s="577"/>
      <c r="F660" s="298"/>
      <c r="G660" s="298"/>
      <c r="H660" s="106"/>
      <c r="I660" s="298"/>
      <c r="J660" s="106"/>
      <c r="K660" s="298"/>
      <c r="L660" s="106"/>
      <c r="M660" s="298"/>
      <c r="N660" s="106"/>
      <c r="O660" s="298"/>
      <c r="P660" s="106"/>
      <c r="Q660" s="298"/>
      <c r="R660" s="106"/>
      <c r="S660" s="298"/>
      <c r="T660" s="106"/>
      <c r="U660" s="298"/>
      <c r="V660" s="106"/>
      <c r="W660" s="298"/>
      <c r="X660" s="185"/>
      <c r="Y660" s="71"/>
      <c r="Z660" s="186"/>
      <c r="AA660" s="186"/>
      <c r="AB660" s="187"/>
    </row>
    <row r="661" spans="1:34" ht="14.25" customHeight="1" x14ac:dyDescent="0.2">
      <c r="B661" s="814" t="s">
        <v>751</v>
      </c>
      <c r="C661" s="815"/>
      <c r="D661" s="815"/>
      <c r="E661" s="815"/>
      <c r="F661" s="815"/>
      <c r="G661" s="815"/>
      <c r="H661" s="815"/>
      <c r="I661" s="815"/>
      <c r="J661" s="815"/>
      <c r="K661" s="815"/>
      <c r="L661" s="815"/>
      <c r="M661" s="815"/>
      <c r="N661" s="815"/>
      <c r="O661" s="815"/>
      <c r="P661" s="815"/>
      <c r="Q661" s="815"/>
      <c r="R661" s="815"/>
      <c r="S661" s="815"/>
      <c r="T661" s="815"/>
      <c r="U661" s="815"/>
      <c r="V661" s="815"/>
      <c r="W661" s="815"/>
      <c r="AB661" s="4"/>
      <c r="AF661" s="694"/>
      <c r="AG661" s="695"/>
      <c r="AH661" s="695"/>
    </row>
    <row r="662" spans="1:34" ht="12" customHeight="1" x14ac:dyDescent="0.2">
      <c r="B662" s="808" t="s">
        <v>11</v>
      </c>
      <c r="C662" s="808" t="s">
        <v>12</v>
      </c>
      <c r="D662" s="809"/>
      <c r="E662" s="809"/>
      <c r="F662" s="729" t="s">
        <v>265</v>
      </c>
      <c r="G662" s="729" t="s">
        <v>13</v>
      </c>
      <c r="H662" s="700" t="s">
        <v>743</v>
      </c>
      <c r="I662" s="700"/>
      <c r="J662" s="701"/>
      <c r="K662" s="701"/>
      <c r="L662" s="701"/>
      <c r="M662" s="701"/>
      <c r="N662" s="701"/>
      <c r="O662" s="701"/>
      <c r="P662" s="701"/>
      <c r="Q662" s="701"/>
      <c r="R662" s="701"/>
      <c r="S662" s="701"/>
      <c r="T662" s="701"/>
      <c r="U662" s="701"/>
      <c r="V662" s="701"/>
      <c r="W662" s="701"/>
      <c r="X662" s="647" t="s">
        <v>14</v>
      </c>
      <c r="Y662" s="648"/>
      <c r="Z662" s="648"/>
      <c r="AA662" s="648"/>
      <c r="AB662" s="692" t="s">
        <v>15</v>
      </c>
      <c r="AF662" s="694"/>
      <c r="AG662" s="695"/>
      <c r="AH662" s="695"/>
    </row>
    <row r="663" spans="1:34" ht="11.25" customHeight="1" x14ac:dyDescent="0.2">
      <c r="B663" s="809"/>
      <c r="C663" s="809"/>
      <c r="D663" s="809"/>
      <c r="E663" s="809"/>
      <c r="F663" s="730"/>
      <c r="G663" s="730"/>
      <c r="H663" s="414"/>
      <c r="I663" s="413" t="s">
        <v>266</v>
      </c>
      <c r="J663" s="414"/>
      <c r="K663" s="413" t="s">
        <v>267</v>
      </c>
      <c r="L663" s="414"/>
      <c r="M663" s="413" t="s">
        <v>519</v>
      </c>
      <c r="N663" s="414"/>
      <c r="O663" s="413" t="s">
        <v>17</v>
      </c>
      <c r="P663" s="414"/>
      <c r="Q663" s="413" t="s">
        <v>18</v>
      </c>
      <c r="R663" s="414"/>
      <c r="S663" s="413" t="s">
        <v>19</v>
      </c>
      <c r="T663" s="414"/>
      <c r="U663" s="413" t="s">
        <v>268</v>
      </c>
      <c r="V663" s="414"/>
      <c r="W663" s="413" t="s">
        <v>20</v>
      </c>
      <c r="X663" s="650"/>
      <c r="Y663" s="651"/>
      <c r="Z663" s="651"/>
      <c r="AA663" s="651"/>
      <c r="AB663" s="693"/>
    </row>
    <row r="664" spans="1:34" ht="12.6" customHeight="1" x14ac:dyDescent="0.2">
      <c r="A664" s="17"/>
      <c r="B664" s="986" t="s">
        <v>498</v>
      </c>
      <c r="C664" s="987"/>
      <c r="D664" s="987"/>
      <c r="E664" s="988"/>
      <c r="F664" s="283">
        <v>3816</v>
      </c>
      <c r="G664" s="272"/>
      <c r="H664" s="92"/>
      <c r="I664" s="283"/>
      <c r="J664" s="576">
        <f>F664+600</f>
        <v>4416</v>
      </c>
      <c r="K664" s="258">
        <f t="shared" ref="K664" si="2089">+J664*$X$1</f>
        <v>4416</v>
      </c>
      <c r="L664" s="576">
        <f>F664+550</f>
        <v>4366</v>
      </c>
      <c r="M664" s="258">
        <f t="shared" ref="M664" si="2090">+L664*$X$1</f>
        <v>4366</v>
      </c>
      <c r="N664" s="576">
        <f>F664+450</f>
        <v>4266</v>
      </c>
      <c r="O664" s="258">
        <f t="shared" ref="O664" si="2091">+N664*$X$1</f>
        <v>4266</v>
      </c>
      <c r="P664" s="576">
        <f>F664+410</f>
        <v>4226</v>
      </c>
      <c r="Q664" s="258">
        <f t="shared" ref="Q664" si="2092">+P664*$X$1</f>
        <v>4226</v>
      </c>
      <c r="R664" s="576">
        <f>F664+360</f>
        <v>4176</v>
      </c>
      <c r="S664" s="258">
        <f t="shared" ref="S664" si="2093">+R664*$X$1</f>
        <v>4176</v>
      </c>
      <c r="T664" s="576">
        <f>F664+320</f>
        <v>4136</v>
      </c>
      <c r="U664" s="258">
        <f t="shared" ref="U664" si="2094">+T664*$X$1</f>
        <v>4136</v>
      </c>
      <c r="V664" s="576">
        <f>F664+290</f>
        <v>4106</v>
      </c>
      <c r="W664" s="258">
        <f t="shared" ref="W664" si="2095">+V664*$X$1</f>
        <v>4106</v>
      </c>
      <c r="X664" s="130"/>
      <c r="Y664" s="131"/>
      <c r="Z664" s="131"/>
      <c r="AA664" s="131"/>
      <c r="AB664" s="367" t="s">
        <v>720</v>
      </c>
    </row>
    <row r="665" spans="1:34" ht="12.6" customHeight="1" x14ac:dyDescent="0.2">
      <c r="A665" s="17"/>
      <c r="B665" s="824" t="s">
        <v>923</v>
      </c>
      <c r="C665" s="825"/>
      <c r="D665" s="825"/>
      <c r="E665" s="826"/>
      <c r="F665" s="273">
        <v>4028</v>
      </c>
      <c r="G665" s="235"/>
      <c r="H665" s="93"/>
      <c r="I665" s="273"/>
      <c r="J665" s="559">
        <f>F665+600</f>
        <v>4628</v>
      </c>
      <c r="K665" s="257">
        <f t="shared" ref="K665" si="2096">+J665*$X$1</f>
        <v>4628</v>
      </c>
      <c r="L665" s="559">
        <f>F665+550</f>
        <v>4578</v>
      </c>
      <c r="M665" s="257">
        <f t="shared" ref="M665" si="2097">+L665*$X$1</f>
        <v>4578</v>
      </c>
      <c r="N665" s="559">
        <f>F665+450</f>
        <v>4478</v>
      </c>
      <c r="O665" s="257">
        <f t="shared" ref="O665" si="2098">+N665*$X$1</f>
        <v>4478</v>
      </c>
      <c r="P665" s="559">
        <f>F665+410</f>
        <v>4438</v>
      </c>
      <c r="Q665" s="257">
        <f t="shared" ref="Q665" si="2099">+P665*$X$1</f>
        <v>4438</v>
      </c>
      <c r="R665" s="559">
        <f>F665+360</f>
        <v>4388</v>
      </c>
      <c r="S665" s="257">
        <f t="shared" ref="S665" si="2100">+R665*$X$1</f>
        <v>4388</v>
      </c>
      <c r="T665" s="559">
        <f>F665+320</f>
        <v>4348</v>
      </c>
      <c r="U665" s="257">
        <f t="shared" ref="U665" si="2101">+T665*$X$1</f>
        <v>4348</v>
      </c>
      <c r="V665" s="559">
        <f>F665+290</f>
        <v>4318</v>
      </c>
      <c r="W665" s="257">
        <f t="shared" ref="W665" si="2102">+V665*$X$1</f>
        <v>4318</v>
      </c>
      <c r="X665" s="130"/>
      <c r="Y665" s="131"/>
      <c r="Z665" s="131"/>
      <c r="AA665" s="131"/>
      <c r="AB665" s="367" t="s">
        <v>940</v>
      </c>
    </row>
    <row r="666" spans="1:34" ht="12.6" customHeight="1" x14ac:dyDescent="0.2">
      <c r="A666" s="17"/>
      <c r="B666" s="824" t="s">
        <v>1024</v>
      </c>
      <c r="C666" s="825"/>
      <c r="D666" s="825"/>
      <c r="E666" s="826"/>
      <c r="F666" s="258">
        <f>16.82*X2</f>
        <v>21697.8</v>
      </c>
      <c r="G666" s="623"/>
      <c r="H666" s="576">
        <f>F666+1400</f>
        <v>23097.8</v>
      </c>
      <c r="I666" s="258">
        <f t="shared" ref="I666" si="2103">+H666*$X$1</f>
        <v>23097.8</v>
      </c>
      <c r="J666" s="576">
        <f>F666+600</f>
        <v>22297.8</v>
      </c>
      <c r="K666" s="258">
        <f t="shared" ref="K666" si="2104">+J666*$X$1</f>
        <v>22297.8</v>
      </c>
      <c r="L666" s="576">
        <f>F666+550</f>
        <v>22247.8</v>
      </c>
      <c r="M666" s="258">
        <f t="shared" ref="M666" si="2105">+L666*$X$1</f>
        <v>22247.8</v>
      </c>
      <c r="N666" s="576">
        <f>F666+450</f>
        <v>22147.8</v>
      </c>
      <c r="O666" s="258">
        <f t="shared" ref="O666" si="2106">+N666*$X$1</f>
        <v>22147.8</v>
      </c>
      <c r="P666" s="576">
        <f>F666+410</f>
        <v>22107.8</v>
      </c>
      <c r="Q666" s="258">
        <f t="shared" ref="Q666" si="2107">+P666*$X$1</f>
        <v>22107.8</v>
      </c>
      <c r="R666" s="576">
        <f>F666+360</f>
        <v>22057.8</v>
      </c>
      <c r="S666" s="258">
        <f t="shared" ref="S666" si="2108">+R666*$X$1</f>
        <v>22057.8</v>
      </c>
      <c r="T666" s="576">
        <f>F666+320</f>
        <v>22017.8</v>
      </c>
      <c r="U666" s="258">
        <f t="shared" ref="U666" si="2109">+T666*$X$1</f>
        <v>22017.8</v>
      </c>
      <c r="V666" s="576">
        <f>F666+290</f>
        <v>21987.8</v>
      </c>
      <c r="W666" s="258">
        <f t="shared" ref="W666" si="2110">+V666*$X$1</f>
        <v>21987.8</v>
      </c>
      <c r="X666" s="130"/>
      <c r="Y666" s="131"/>
      <c r="Z666" s="131"/>
      <c r="AA666" s="131"/>
      <c r="AB666" s="367" t="s">
        <v>1023</v>
      </c>
    </row>
    <row r="667" spans="1:34" ht="12.6" customHeight="1" x14ac:dyDescent="0.2">
      <c r="A667" s="17"/>
      <c r="B667" s="659" t="s">
        <v>360</v>
      </c>
      <c r="C667" s="822"/>
      <c r="D667" s="822"/>
      <c r="E667" s="823"/>
      <c r="F667" s="257">
        <v>1400</v>
      </c>
      <c r="G667" s="235"/>
      <c r="H667" s="557"/>
      <c r="I667" s="257"/>
      <c r="J667" s="557"/>
      <c r="K667" s="257"/>
      <c r="L667" s="557">
        <f>F667+550</f>
        <v>1950</v>
      </c>
      <c r="M667" s="257">
        <f t="shared" ref="M667" si="2111">+L667*$X$1</f>
        <v>1950</v>
      </c>
      <c r="N667" s="557">
        <f>F667+450</f>
        <v>1850</v>
      </c>
      <c r="O667" s="257">
        <f t="shared" ref="O667" si="2112">+N667*$X$1</f>
        <v>1850</v>
      </c>
      <c r="P667" s="557">
        <f>F667+410</f>
        <v>1810</v>
      </c>
      <c r="Q667" s="257">
        <f t="shared" ref="Q667" si="2113">+P667*$X$1</f>
        <v>1810</v>
      </c>
      <c r="R667" s="557">
        <f>F667+360</f>
        <v>1760</v>
      </c>
      <c r="S667" s="257">
        <f t="shared" ref="S667" si="2114">+R667*$X$1</f>
        <v>1760</v>
      </c>
      <c r="T667" s="557">
        <f>F667+320</f>
        <v>1720</v>
      </c>
      <c r="U667" s="257">
        <f t="shared" ref="U667" si="2115">+T667*$X$1</f>
        <v>1720</v>
      </c>
      <c r="V667" s="557">
        <f>F667+290</f>
        <v>1690</v>
      </c>
      <c r="W667" s="257">
        <f t="shared" ref="W667" si="2116">+V667*$X$1</f>
        <v>1690</v>
      </c>
      <c r="X667" s="130"/>
      <c r="Y667" s="131"/>
      <c r="Z667" s="131"/>
      <c r="AA667" s="131"/>
      <c r="AB667" s="30"/>
    </row>
    <row r="668" spans="1:34" ht="12.6" customHeight="1" x14ac:dyDescent="0.2">
      <c r="A668" s="17"/>
      <c r="B668" s="656" t="s">
        <v>1022</v>
      </c>
      <c r="C668" s="669"/>
      <c r="D668" s="669"/>
      <c r="E668" s="670"/>
      <c r="F668" s="283">
        <v>4028</v>
      </c>
      <c r="G668" s="272"/>
      <c r="H668" s="406">
        <f>F668+1400</f>
        <v>5428</v>
      </c>
      <c r="I668" s="258">
        <f t="shared" ref="I668" si="2117">+H668*$X$1</f>
        <v>5428</v>
      </c>
      <c r="J668" s="406">
        <f>F668+600</f>
        <v>4628</v>
      </c>
      <c r="K668" s="258">
        <f t="shared" ref="K668" si="2118">+J668*$X$1</f>
        <v>4628</v>
      </c>
      <c r="L668" s="406">
        <f>F668+550</f>
        <v>4578</v>
      </c>
      <c r="M668" s="258">
        <f t="shared" ref="M668" si="2119">+L668*$X$1</f>
        <v>4578</v>
      </c>
      <c r="N668" s="406">
        <f>F668+450</f>
        <v>4478</v>
      </c>
      <c r="O668" s="258">
        <f t="shared" ref="O668" si="2120">+N668*$X$1</f>
        <v>4478</v>
      </c>
      <c r="P668" s="406">
        <f>F668+410</f>
        <v>4438</v>
      </c>
      <c r="Q668" s="258">
        <f t="shared" ref="Q668" si="2121">+P668*$X$1</f>
        <v>4438</v>
      </c>
      <c r="R668" s="406">
        <f>F668+360</f>
        <v>4388</v>
      </c>
      <c r="S668" s="258">
        <f t="shared" ref="S668" si="2122">+R668*$X$1</f>
        <v>4388</v>
      </c>
      <c r="T668" s="406">
        <f>F668+320</f>
        <v>4348</v>
      </c>
      <c r="U668" s="258">
        <f t="shared" ref="U668" si="2123">+T668*$X$1</f>
        <v>4348</v>
      </c>
      <c r="V668" s="406">
        <f>F668+290</f>
        <v>4318</v>
      </c>
      <c r="W668" s="258">
        <f t="shared" ref="W668" si="2124">+V668*$X$1</f>
        <v>4318</v>
      </c>
      <c r="X668" s="130"/>
      <c r="Y668" s="131"/>
      <c r="Z668" s="131"/>
      <c r="AA668" s="131"/>
      <c r="AB668" s="353" t="s">
        <v>721</v>
      </c>
    </row>
    <row r="669" spans="1:34" ht="12.6" customHeight="1" x14ac:dyDescent="0.2">
      <c r="A669" s="17"/>
      <c r="B669" s="829" t="s">
        <v>269</v>
      </c>
      <c r="C669" s="830"/>
      <c r="D669" s="830"/>
      <c r="E669" s="831"/>
      <c r="F669" s="510">
        <v>3318</v>
      </c>
      <c r="G669" s="235"/>
      <c r="H669" s="557"/>
      <c r="I669" s="257"/>
      <c r="J669" s="557">
        <f t="shared" ref="J669:J675" si="2125">F669+600</f>
        <v>3918</v>
      </c>
      <c r="K669" s="257">
        <f t="shared" ref="K669:K675" si="2126">+J669*$X$1</f>
        <v>3918</v>
      </c>
      <c r="L669" s="557">
        <f t="shared" ref="L669:L675" si="2127">F669+550</f>
        <v>3868</v>
      </c>
      <c r="M669" s="257">
        <f t="shared" ref="M669:M675" si="2128">+L669*$X$1</f>
        <v>3868</v>
      </c>
      <c r="N669" s="557">
        <f t="shared" ref="N669:N675" si="2129">F669+450</f>
        <v>3768</v>
      </c>
      <c r="O669" s="257">
        <f t="shared" ref="O669:O675" si="2130">+N669*$X$1</f>
        <v>3768</v>
      </c>
      <c r="P669" s="557">
        <f t="shared" ref="P669:P675" si="2131">F669+410</f>
        <v>3728</v>
      </c>
      <c r="Q669" s="257">
        <f t="shared" ref="Q669:Q675" si="2132">+P669*$X$1</f>
        <v>3728</v>
      </c>
      <c r="R669" s="557">
        <f t="shared" ref="R669:R675" si="2133">F669+360</f>
        <v>3678</v>
      </c>
      <c r="S669" s="257">
        <f t="shared" ref="S669:S675" si="2134">+R669*$X$1</f>
        <v>3678</v>
      </c>
      <c r="T669" s="557">
        <f t="shared" ref="T669:T675" si="2135">F669+320</f>
        <v>3638</v>
      </c>
      <c r="U669" s="257">
        <f t="shared" ref="U669:U675" si="2136">+T669*$X$1</f>
        <v>3638</v>
      </c>
      <c r="V669" s="557">
        <f t="shared" ref="V669:V675" si="2137">F669+290</f>
        <v>3608</v>
      </c>
      <c r="W669" s="257">
        <f t="shared" ref="W669:W675" si="2138">+V669*$X$1</f>
        <v>3608</v>
      </c>
      <c r="X669" s="130"/>
      <c r="Y669" s="131"/>
      <c r="Z669" s="131"/>
      <c r="AA669" s="131"/>
      <c r="AB669" s="353" t="s">
        <v>800</v>
      </c>
    </row>
    <row r="670" spans="1:34" ht="12.6" customHeight="1" x14ac:dyDescent="0.2">
      <c r="A670" s="17"/>
      <c r="B670" s="662" t="s">
        <v>270</v>
      </c>
      <c r="C670" s="663"/>
      <c r="D670" s="663"/>
      <c r="E670" s="663"/>
      <c r="F670" s="258">
        <v>3075</v>
      </c>
      <c r="G670" s="272"/>
      <c r="H670" s="406"/>
      <c r="I670" s="258"/>
      <c r="J670" s="406">
        <f t="shared" si="2125"/>
        <v>3675</v>
      </c>
      <c r="K670" s="258">
        <f t="shared" si="2126"/>
        <v>3675</v>
      </c>
      <c r="L670" s="406">
        <f t="shared" si="2127"/>
        <v>3625</v>
      </c>
      <c r="M670" s="258">
        <f t="shared" si="2128"/>
        <v>3625</v>
      </c>
      <c r="N670" s="406">
        <f t="shared" si="2129"/>
        <v>3525</v>
      </c>
      <c r="O670" s="258">
        <f t="shared" si="2130"/>
        <v>3525</v>
      </c>
      <c r="P670" s="406">
        <f t="shared" si="2131"/>
        <v>3485</v>
      </c>
      <c r="Q670" s="258">
        <f t="shared" si="2132"/>
        <v>3485</v>
      </c>
      <c r="R670" s="406">
        <f t="shared" si="2133"/>
        <v>3435</v>
      </c>
      <c r="S670" s="258">
        <f t="shared" si="2134"/>
        <v>3435</v>
      </c>
      <c r="T670" s="406">
        <f t="shared" si="2135"/>
        <v>3395</v>
      </c>
      <c r="U670" s="258">
        <f t="shared" si="2136"/>
        <v>3395</v>
      </c>
      <c r="V670" s="406">
        <f t="shared" si="2137"/>
        <v>3365</v>
      </c>
      <c r="W670" s="258">
        <f t="shared" si="2138"/>
        <v>3365</v>
      </c>
      <c r="X670" s="130"/>
      <c r="Y670" s="131"/>
      <c r="Z670" s="131"/>
      <c r="AA670" s="131"/>
      <c r="AB670" s="353" t="s">
        <v>722</v>
      </c>
    </row>
    <row r="671" spans="1:34" ht="12.6" customHeight="1" x14ac:dyDescent="0.2">
      <c r="A671" s="17"/>
      <c r="B671" s="676" t="s">
        <v>708</v>
      </c>
      <c r="C671" s="677"/>
      <c r="D671" s="677"/>
      <c r="E671" s="678"/>
      <c r="F671" s="273">
        <v>7740</v>
      </c>
      <c r="G671" s="235"/>
      <c r="H671" s="534">
        <f>F671+1400</f>
        <v>9140</v>
      </c>
      <c r="I671" s="257">
        <f t="shared" ref="I671:I672" si="2139">+H671*$X$1</f>
        <v>9140</v>
      </c>
      <c r="J671" s="534">
        <f t="shared" si="2125"/>
        <v>8340</v>
      </c>
      <c r="K671" s="257">
        <f t="shared" si="2126"/>
        <v>8340</v>
      </c>
      <c r="L671" s="534">
        <f t="shared" si="2127"/>
        <v>8290</v>
      </c>
      <c r="M671" s="257">
        <f t="shared" si="2128"/>
        <v>8290</v>
      </c>
      <c r="N671" s="534">
        <f t="shared" si="2129"/>
        <v>8190</v>
      </c>
      <c r="O671" s="257">
        <f t="shared" si="2130"/>
        <v>8190</v>
      </c>
      <c r="P671" s="534">
        <f t="shared" si="2131"/>
        <v>8150</v>
      </c>
      <c r="Q671" s="257">
        <f t="shared" si="2132"/>
        <v>8150</v>
      </c>
      <c r="R671" s="534">
        <f t="shared" si="2133"/>
        <v>8100</v>
      </c>
      <c r="S671" s="257">
        <f t="shared" si="2134"/>
        <v>8100</v>
      </c>
      <c r="T671" s="534">
        <f t="shared" si="2135"/>
        <v>8060</v>
      </c>
      <c r="U671" s="257">
        <f t="shared" si="2136"/>
        <v>8060</v>
      </c>
      <c r="V671" s="534">
        <f t="shared" si="2137"/>
        <v>8030</v>
      </c>
      <c r="W671" s="257">
        <f t="shared" si="2138"/>
        <v>8030</v>
      </c>
      <c r="X671" s="130"/>
      <c r="Y671" s="131"/>
      <c r="Z671" s="131"/>
      <c r="AA671" s="131"/>
      <c r="AB671" s="30"/>
    </row>
    <row r="672" spans="1:34" ht="12.6" customHeight="1" x14ac:dyDescent="0.2">
      <c r="A672" s="17"/>
      <c r="B672" s="656" t="s">
        <v>457</v>
      </c>
      <c r="C672" s="669"/>
      <c r="D672" s="669"/>
      <c r="E672" s="670"/>
      <c r="F672" s="283">
        <v>7420</v>
      </c>
      <c r="G672" s="272"/>
      <c r="H672" s="406">
        <f>F672+1400</f>
        <v>8820</v>
      </c>
      <c r="I672" s="258">
        <f t="shared" si="2139"/>
        <v>8820</v>
      </c>
      <c r="J672" s="406">
        <f t="shared" si="2125"/>
        <v>8020</v>
      </c>
      <c r="K672" s="258">
        <f t="shared" si="2126"/>
        <v>8020</v>
      </c>
      <c r="L672" s="406">
        <f t="shared" si="2127"/>
        <v>7970</v>
      </c>
      <c r="M672" s="258">
        <f t="shared" si="2128"/>
        <v>7970</v>
      </c>
      <c r="N672" s="406">
        <f t="shared" si="2129"/>
        <v>7870</v>
      </c>
      <c r="O672" s="258">
        <f t="shared" si="2130"/>
        <v>7870</v>
      </c>
      <c r="P672" s="406">
        <f t="shared" si="2131"/>
        <v>7830</v>
      </c>
      <c r="Q672" s="258">
        <f t="shared" si="2132"/>
        <v>7830</v>
      </c>
      <c r="R672" s="406">
        <f t="shared" si="2133"/>
        <v>7780</v>
      </c>
      <c r="S672" s="258">
        <f t="shared" si="2134"/>
        <v>7780</v>
      </c>
      <c r="T672" s="406">
        <f t="shared" si="2135"/>
        <v>7740</v>
      </c>
      <c r="U672" s="258">
        <f t="shared" si="2136"/>
        <v>7740</v>
      </c>
      <c r="V672" s="406">
        <f t="shared" si="2137"/>
        <v>7710</v>
      </c>
      <c r="W672" s="258">
        <f t="shared" si="2138"/>
        <v>7710</v>
      </c>
      <c r="X672" s="130"/>
      <c r="Y672" s="131"/>
      <c r="Z672" s="131"/>
      <c r="AA672" s="131"/>
      <c r="AB672" s="30"/>
    </row>
    <row r="673" spans="1:34" ht="12.6" customHeight="1" x14ac:dyDescent="0.2">
      <c r="A673" s="4"/>
      <c r="B673" s="805" t="s">
        <v>404</v>
      </c>
      <c r="C673" s="707"/>
      <c r="D673" s="707"/>
      <c r="E673" s="708"/>
      <c r="F673" s="257">
        <v>1900</v>
      </c>
      <c r="G673" s="235"/>
      <c r="H673" s="534"/>
      <c r="I673" s="257"/>
      <c r="J673" s="534">
        <f t="shared" si="2125"/>
        <v>2500</v>
      </c>
      <c r="K673" s="257">
        <f t="shared" si="2126"/>
        <v>2500</v>
      </c>
      <c r="L673" s="534">
        <f t="shared" si="2127"/>
        <v>2450</v>
      </c>
      <c r="M673" s="257">
        <f t="shared" si="2128"/>
        <v>2450</v>
      </c>
      <c r="N673" s="534">
        <f t="shared" si="2129"/>
        <v>2350</v>
      </c>
      <c r="O673" s="257">
        <f t="shared" si="2130"/>
        <v>2350</v>
      </c>
      <c r="P673" s="534">
        <f t="shared" si="2131"/>
        <v>2310</v>
      </c>
      <c r="Q673" s="257">
        <f t="shared" si="2132"/>
        <v>2310</v>
      </c>
      <c r="R673" s="534">
        <f t="shared" si="2133"/>
        <v>2260</v>
      </c>
      <c r="S673" s="257">
        <f t="shared" si="2134"/>
        <v>2260</v>
      </c>
      <c r="T673" s="534">
        <f t="shared" si="2135"/>
        <v>2220</v>
      </c>
      <c r="U673" s="257">
        <f t="shared" si="2136"/>
        <v>2220</v>
      </c>
      <c r="V673" s="534">
        <f t="shared" si="2137"/>
        <v>2190</v>
      </c>
      <c r="W673" s="257">
        <f t="shared" si="2138"/>
        <v>2190</v>
      </c>
      <c r="X673" s="130"/>
      <c r="Y673" s="119"/>
      <c r="Z673" s="132"/>
      <c r="AA673" s="132"/>
      <c r="AB673" s="353" t="s">
        <v>403</v>
      </c>
    </row>
    <row r="674" spans="1:34" ht="12.6" customHeight="1" x14ac:dyDescent="0.2">
      <c r="A674" s="4"/>
      <c r="B674" s="810" t="s">
        <v>402</v>
      </c>
      <c r="C674" s="669"/>
      <c r="D674" s="669"/>
      <c r="E674" s="670"/>
      <c r="F674" s="258">
        <v>1900</v>
      </c>
      <c r="G674" s="272"/>
      <c r="H674" s="406"/>
      <c r="I674" s="258"/>
      <c r="J674" s="406">
        <f t="shared" si="2125"/>
        <v>2500</v>
      </c>
      <c r="K674" s="258">
        <f t="shared" si="2126"/>
        <v>2500</v>
      </c>
      <c r="L674" s="406">
        <f t="shared" si="2127"/>
        <v>2450</v>
      </c>
      <c r="M674" s="258">
        <f t="shared" si="2128"/>
        <v>2450</v>
      </c>
      <c r="N674" s="406">
        <f t="shared" si="2129"/>
        <v>2350</v>
      </c>
      <c r="O674" s="258">
        <f t="shared" si="2130"/>
        <v>2350</v>
      </c>
      <c r="P674" s="406">
        <f t="shared" si="2131"/>
        <v>2310</v>
      </c>
      <c r="Q674" s="258">
        <f t="shared" si="2132"/>
        <v>2310</v>
      </c>
      <c r="R674" s="406">
        <f t="shared" si="2133"/>
        <v>2260</v>
      </c>
      <c r="S674" s="258">
        <f t="shared" si="2134"/>
        <v>2260</v>
      </c>
      <c r="T674" s="406">
        <f t="shared" si="2135"/>
        <v>2220</v>
      </c>
      <c r="U674" s="258">
        <f t="shared" si="2136"/>
        <v>2220</v>
      </c>
      <c r="V674" s="406">
        <f t="shared" si="2137"/>
        <v>2190</v>
      </c>
      <c r="W674" s="258">
        <f t="shared" si="2138"/>
        <v>2190</v>
      </c>
      <c r="X674" s="130"/>
      <c r="Y674" s="119"/>
      <c r="Z674" s="132"/>
      <c r="AA674" s="132"/>
      <c r="AB674" s="353" t="s">
        <v>399</v>
      </c>
    </row>
    <row r="675" spans="1:34" ht="12.6" customHeight="1" x14ac:dyDescent="0.2">
      <c r="A675" s="4"/>
      <c r="B675" s="805" t="s">
        <v>400</v>
      </c>
      <c r="C675" s="707"/>
      <c r="D675" s="707"/>
      <c r="E675" s="708"/>
      <c r="F675" s="257">
        <v>2800</v>
      </c>
      <c r="G675" s="235"/>
      <c r="H675" s="534"/>
      <c r="I675" s="257"/>
      <c r="J675" s="534">
        <f t="shared" si="2125"/>
        <v>3400</v>
      </c>
      <c r="K675" s="257">
        <f t="shared" si="2126"/>
        <v>3400</v>
      </c>
      <c r="L675" s="534">
        <f t="shared" si="2127"/>
        <v>3350</v>
      </c>
      <c r="M675" s="257">
        <f t="shared" si="2128"/>
        <v>3350</v>
      </c>
      <c r="N675" s="534">
        <f t="shared" si="2129"/>
        <v>3250</v>
      </c>
      <c r="O675" s="257">
        <f t="shared" si="2130"/>
        <v>3250</v>
      </c>
      <c r="P675" s="534">
        <f t="shared" si="2131"/>
        <v>3210</v>
      </c>
      <c r="Q675" s="257">
        <f t="shared" si="2132"/>
        <v>3210</v>
      </c>
      <c r="R675" s="534">
        <f t="shared" si="2133"/>
        <v>3160</v>
      </c>
      <c r="S675" s="257">
        <f t="shared" si="2134"/>
        <v>3160</v>
      </c>
      <c r="T675" s="534">
        <f t="shared" si="2135"/>
        <v>3120</v>
      </c>
      <c r="U675" s="257">
        <f t="shared" si="2136"/>
        <v>3120</v>
      </c>
      <c r="V675" s="534">
        <f t="shared" si="2137"/>
        <v>3090</v>
      </c>
      <c r="W675" s="257">
        <f t="shared" si="2138"/>
        <v>3090</v>
      </c>
      <c r="X675" s="130"/>
      <c r="Y675" s="119"/>
      <c r="Z675" s="132"/>
      <c r="AA675" s="132"/>
      <c r="AB675" s="353" t="s">
        <v>401</v>
      </c>
    </row>
    <row r="676" spans="1:34" ht="12.6" customHeight="1" x14ac:dyDescent="0.2">
      <c r="A676" s="4"/>
      <c r="B676" s="635" t="s">
        <v>963</v>
      </c>
      <c r="C676" s="636"/>
      <c r="D676" s="636"/>
      <c r="E676" s="637"/>
      <c r="F676" s="258">
        <v>2800</v>
      </c>
      <c r="G676" s="272"/>
      <c r="H676" s="574"/>
      <c r="I676" s="258"/>
      <c r="J676" s="574">
        <f t="shared" ref="J676" si="2140">F676+600</f>
        <v>3400</v>
      </c>
      <c r="K676" s="258">
        <f t="shared" ref="K676" si="2141">+J676*$X$1</f>
        <v>3400</v>
      </c>
      <c r="L676" s="574">
        <f t="shared" ref="L676" si="2142">F676+550</f>
        <v>3350</v>
      </c>
      <c r="M676" s="258">
        <f t="shared" ref="M676" si="2143">+L676*$X$1</f>
        <v>3350</v>
      </c>
      <c r="N676" s="574">
        <f t="shared" ref="N676" si="2144">F676+450</f>
        <v>3250</v>
      </c>
      <c r="O676" s="258">
        <f t="shared" ref="O676" si="2145">+N676*$X$1</f>
        <v>3250</v>
      </c>
      <c r="P676" s="574">
        <f t="shared" ref="P676" si="2146">F676+410</f>
        <v>3210</v>
      </c>
      <c r="Q676" s="258">
        <f t="shared" ref="Q676" si="2147">+P676*$X$1</f>
        <v>3210</v>
      </c>
      <c r="R676" s="574">
        <f t="shared" ref="R676" si="2148">F676+360</f>
        <v>3160</v>
      </c>
      <c r="S676" s="258">
        <f t="shared" ref="S676" si="2149">+R676*$X$1</f>
        <v>3160</v>
      </c>
      <c r="T676" s="574">
        <f t="shared" ref="T676" si="2150">F676+320</f>
        <v>3120</v>
      </c>
      <c r="U676" s="258">
        <f t="shared" ref="U676" si="2151">+T676*$X$1</f>
        <v>3120</v>
      </c>
      <c r="V676" s="574">
        <f t="shared" ref="V676" si="2152">F676+290</f>
        <v>3090</v>
      </c>
      <c r="W676" s="258">
        <f t="shared" ref="W676" si="2153">+V676*$X$1</f>
        <v>3090</v>
      </c>
      <c r="X676" s="130"/>
      <c r="Y676" s="119"/>
      <c r="Z676" s="132"/>
      <c r="AA676" s="132"/>
      <c r="AB676" s="353"/>
    </row>
    <row r="677" spans="1:34" ht="12.6" customHeight="1" x14ac:dyDescent="0.2">
      <c r="A677" s="4"/>
      <c r="B677" s="802" t="s">
        <v>271</v>
      </c>
      <c r="C677" s="798"/>
      <c r="D677" s="798"/>
      <c r="E677" s="798"/>
      <c r="F677" s="342"/>
      <c r="G677" s="87"/>
      <c r="H677" s="559"/>
      <c r="I677" s="559"/>
      <c r="J677" s="559"/>
      <c r="K677" s="559"/>
      <c r="L677" s="559"/>
      <c r="M677" s="559"/>
      <c r="N677" s="559"/>
      <c r="O677" s="559"/>
      <c r="P677" s="559"/>
      <c r="Q677" s="559"/>
      <c r="R677" s="559"/>
      <c r="S677" s="559"/>
      <c r="T677" s="559"/>
      <c r="U677" s="559"/>
      <c r="V677" s="559"/>
      <c r="W677" s="559"/>
      <c r="X677" s="127"/>
      <c r="Y677" s="122"/>
      <c r="Z677" s="128"/>
      <c r="AA677" s="129"/>
      <c r="AB677" s="353">
        <v>986</v>
      </c>
    </row>
    <row r="678" spans="1:34" ht="12.6" customHeight="1" x14ac:dyDescent="0.2">
      <c r="A678" s="4"/>
      <c r="B678" s="803" t="s">
        <v>329</v>
      </c>
      <c r="C678" s="679"/>
      <c r="D678" s="679"/>
      <c r="E678" s="679"/>
      <c r="F678" s="90"/>
      <c r="G678" s="85"/>
      <c r="H678" s="574"/>
      <c r="I678" s="574"/>
      <c r="J678" s="574"/>
      <c r="K678" s="574"/>
      <c r="L678" s="574"/>
      <c r="M678" s="574"/>
      <c r="N678" s="574"/>
      <c r="O678" s="574"/>
      <c r="P678" s="574"/>
      <c r="Q678" s="574"/>
      <c r="R678" s="574"/>
      <c r="S678" s="574"/>
      <c r="T678" s="574"/>
      <c r="U678" s="574"/>
      <c r="V678" s="574"/>
      <c r="W678" s="574"/>
      <c r="X678" s="127"/>
      <c r="Y678" s="122"/>
      <c r="Z678" s="128"/>
      <c r="AA678" s="129"/>
      <c r="AB678" s="353">
        <v>987</v>
      </c>
    </row>
    <row r="679" spans="1:34" ht="12.6" customHeight="1" x14ac:dyDescent="0.2">
      <c r="A679" s="4"/>
      <c r="B679" s="802" t="s">
        <v>272</v>
      </c>
      <c r="C679" s="655"/>
      <c r="D679" s="655"/>
      <c r="E679" s="655"/>
      <c r="F679" s="559"/>
      <c r="G679" s="87"/>
      <c r="H679" s="559"/>
      <c r="I679" s="559"/>
      <c r="J679" s="559"/>
      <c r="K679" s="559"/>
      <c r="L679" s="559"/>
      <c r="M679" s="559"/>
      <c r="N679" s="559"/>
      <c r="O679" s="559"/>
      <c r="P679" s="559"/>
      <c r="Q679" s="559"/>
      <c r="R679" s="559"/>
      <c r="S679" s="559"/>
      <c r="T679" s="559"/>
      <c r="U679" s="559"/>
      <c r="V679" s="559"/>
      <c r="W679" s="559"/>
      <c r="X679" s="127"/>
      <c r="Y679" s="122"/>
      <c r="Z679" s="128"/>
      <c r="AA679" s="129"/>
      <c r="AB679" s="353">
        <v>989</v>
      </c>
    </row>
    <row r="680" spans="1:34" ht="13.5" customHeight="1" x14ac:dyDescent="0.2">
      <c r="A680" s="4"/>
      <c r="B680" s="98"/>
      <c r="C680" s="184"/>
      <c r="D680" s="184"/>
      <c r="E680" s="184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85"/>
      <c r="Y680" s="71"/>
      <c r="Z680" s="186"/>
      <c r="AA680" s="186"/>
      <c r="AB680" s="36"/>
    </row>
    <row r="681" spans="1:34" ht="15.75" customHeight="1" x14ac:dyDescent="0.2">
      <c r="B681" s="814" t="s">
        <v>273</v>
      </c>
      <c r="C681" s="815"/>
      <c r="D681" s="815"/>
      <c r="E681" s="815"/>
      <c r="F681" s="815"/>
      <c r="G681" s="815"/>
      <c r="H681" s="815"/>
      <c r="I681" s="815"/>
      <c r="J681" s="815"/>
      <c r="K681" s="815"/>
      <c r="L681" s="815"/>
      <c r="M681" s="815"/>
      <c r="N681" s="815"/>
      <c r="O681" s="815"/>
      <c r="P681" s="815"/>
      <c r="Q681" s="815"/>
      <c r="R681" s="815"/>
      <c r="S681" s="815"/>
      <c r="T681" s="870"/>
      <c r="U681" s="870"/>
      <c r="V681" s="871"/>
      <c r="W681" s="871"/>
      <c r="AB681" s="4"/>
    </row>
    <row r="682" spans="1:34" ht="14.25" customHeight="1" x14ac:dyDescent="0.2">
      <c r="B682" s="808" t="s">
        <v>11</v>
      </c>
      <c r="C682" s="808" t="s">
        <v>12</v>
      </c>
      <c r="D682" s="809"/>
      <c r="E682" s="809"/>
      <c r="F682" s="729" t="s">
        <v>265</v>
      </c>
      <c r="G682" s="729" t="s">
        <v>13</v>
      </c>
      <c r="H682" s="700" t="s">
        <v>742</v>
      </c>
      <c r="I682" s="700"/>
      <c r="J682" s="701"/>
      <c r="K682" s="701"/>
      <c r="L682" s="701"/>
      <c r="M682" s="701"/>
      <c r="N682" s="701"/>
      <c r="O682" s="701"/>
      <c r="P682" s="701"/>
      <c r="Q682" s="701"/>
      <c r="R682" s="701"/>
      <c r="S682" s="701"/>
      <c r="T682" s="701"/>
      <c r="U682" s="701"/>
      <c r="V682" s="701"/>
      <c r="W682" s="701"/>
      <c r="X682" s="647" t="s">
        <v>14</v>
      </c>
      <c r="Y682" s="817"/>
      <c r="Z682" s="817"/>
      <c r="AA682" s="818"/>
      <c r="AB682" s="692" t="s">
        <v>15</v>
      </c>
      <c r="AF682" s="694" t="s">
        <v>3</v>
      </c>
      <c r="AG682" s="695"/>
      <c r="AH682" s="695"/>
    </row>
    <row r="683" spans="1:34" ht="12" customHeight="1" x14ac:dyDescent="0.2">
      <c r="B683" s="809"/>
      <c r="C683" s="809"/>
      <c r="D683" s="809"/>
      <c r="E683" s="809"/>
      <c r="F683" s="730"/>
      <c r="G683" s="730"/>
      <c r="H683" s="412"/>
      <c r="I683" s="413" t="s">
        <v>517</v>
      </c>
      <c r="J683" s="412"/>
      <c r="K683" s="413" t="s">
        <v>266</v>
      </c>
      <c r="L683" s="413"/>
      <c r="M683" s="413" t="s">
        <v>267</v>
      </c>
      <c r="N683" s="413"/>
      <c r="O683" s="413" t="s">
        <v>519</v>
      </c>
      <c r="P683" s="413"/>
      <c r="Q683" s="413" t="s">
        <v>17</v>
      </c>
      <c r="R683" s="413"/>
      <c r="S683" s="413" t="s">
        <v>18</v>
      </c>
      <c r="T683" s="413"/>
      <c r="U683" s="413" t="s">
        <v>19</v>
      </c>
      <c r="V683" s="413"/>
      <c r="W683" s="413" t="s">
        <v>520</v>
      </c>
      <c r="X683" s="819"/>
      <c r="Y683" s="820"/>
      <c r="Z683" s="820"/>
      <c r="AA683" s="821"/>
      <c r="AB683" s="693"/>
    </row>
    <row r="684" spans="1:34" ht="12.6" customHeight="1" x14ac:dyDescent="0.2">
      <c r="B684" s="813" t="s">
        <v>693</v>
      </c>
      <c r="C684" s="813"/>
      <c r="D684" s="813"/>
      <c r="E684" s="813"/>
      <c r="F684" s="586">
        <f>21.73*X2</f>
        <v>28031.7</v>
      </c>
      <c r="G684" s="273">
        <f>+F684*$X$1</f>
        <v>28031.7</v>
      </c>
      <c r="H684" s="93">
        <f>F684+4000</f>
        <v>32031.7</v>
      </c>
      <c r="I684" s="273">
        <f t="shared" ref="I684" si="2154">+H684*$X$1</f>
        <v>32031.7</v>
      </c>
      <c r="J684" s="68">
        <f>F684+1000</f>
        <v>29031.7</v>
      </c>
      <c r="K684" s="257">
        <f>+J684*$X$1</f>
        <v>29031.7</v>
      </c>
      <c r="L684" s="559">
        <f>F684+650</f>
        <v>28681.7</v>
      </c>
      <c r="M684" s="257">
        <f>+L684*$X$1</f>
        <v>28681.7</v>
      </c>
      <c r="N684" s="559">
        <f>F684+500</f>
        <v>28531.7</v>
      </c>
      <c r="O684" s="257">
        <f>+N684*$X$1</f>
        <v>28531.7</v>
      </c>
      <c r="P684" s="559">
        <f>F684+400</f>
        <v>28431.7</v>
      </c>
      <c r="Q684" s="257">
        <f>+P684*$X$1</f>
        <v>28431.7</v>
      </c>
      <c r="R684" s="559">
        <f>F684+330</f>
        <v>28361.7</v>
      </c>
      <c r="S684" s="257">
        <f>+R684*$X$1</f>
        <v>28361.7</v>
      </c>
      <c r="T684" s="559">
        <f>F684+280</f>
        <v>28311.7</v>
      </c>
      <c r="U684" s="257">
        <f>+T684*$X$1</f>
        <v>28311.7</v>
      </c>
      <c r="V684" s="559">
        <f>F684+230</f>
        <v>28261.7</v>
      </c>
      <c r="W684" s="257">
        <f>+V684*$X$1</f>
        <v>28261.7</v>
      </c>
      <c r="X684" s="403"/>
      <c r="Y684" s="124"/>
      <c r="Z684" s="122"/>
      <c r="AA684" s="125"/>
      <c r="AB684" s="373" t="s">
        <v>694</v>
      </c>
    </row>
    <row r="685" spans="1:34" ht="12.6" customHeight="1" x14ac:dyDescent="0.2">
      <c r="B685" s="803" t="s">
        <v>274</v>
      </c>
      <c r="C685" s="803"/>
      <c r="D685" s="803"/>
      <c r="E685" s="803"/>
      <c r="F685" s="400"/>
      <c r="G685" s="576"/>
      <c r="H685" s="95"/>
      <c r="I685" s="95"/>
      <c r="J685" s="576"/>
      <c r="K685" s="576"/>
      <c r="L685" s="576"/>
      <c r="M685" s="576"/>
      <c r="N685" s="104"/>
      <c r="O685" s="576"/>
      <c r="P685" s="576"/>
      <c r="Q685" s="576"/>
      <c r="R685" s="576"/>
      <c r="S685" s="576"/>
      <c r="T685" s="576"/>
      <c r="U685" s="576"/>
      <c r="V685" s="251"/>
      <c r="W685" s="506"/>
      <c r="X685" s="122"/>
      <c r="Y685" s="122"/>
      <c r="Z685" s="122"/>
      <c r="AA685" s="125"/>
      <c r="AB685" s="372" t="s">
        <v>275</v>
      </c>
    </row>
    <row r="686" spans="1:34" ht="12.6" customHeight="1" x14ac:dyDescent="0.2">
      <c r="B686" s="802" t="s">
        <v>276</v>
      </c>
      <c r="C686" s="802"/>
      <c r="D686" s="802"/>
      <c r="E686" s="802"/>
      <c r="F686" s="105"/>
      <c r="G686" s="559"/>
      <c r="H686" s="91"/>
      <c r="I686" s="91"/>
      <c r="J686" s="559"/>
      <c r="K686" s="559"/>
      <c r="L686" s="559"/>
      <c r="M686" s="559"/>
      <c r="N686" s="103"/>
      <c r="O686" s="559"/>
      <c r="P686" s="559"/>
      <c r="Q686" s="559"/>
      <c r="R686" s="559"/>
      <c r="S686" s="559"/>
      <c r="T686" s="559"/>
      <c r="U686" s="559"/>
      <c r="V686" s="252"/>
      <c r="W686" s="507"/>
      <c r="X686" s="122"/>
      <c r="Y686" s="122"/>
      <c r="Z686" s="122"/>
      <c r="AA686" s="125"/>
      <c r="AB686" s="372" t="s">
        <v>277</v>
      </c>
    </row>
    <row r="687" spans="1:34" ht="12.6" customHeight="1" x14ac:dyDescent="0.2">
      <c r="B687" s="803" t="s">
        <v>658</v>
      </c>
      <c r="C687" s="803"/>
      <c r="D687" s="803"/>
      <c r="E687" s="803"/>
      <c r="F687" s="402">
        <f>20.59*X2</f>
        <v>26561.1</v>
      </c>
      <c r="G687" s="258">
        <f>+F687*$X$1</f>
        <v>26561.1</v>
      </c>
      <c r="H687" s="576">
        <f>F687+4000</f>
        <v>30561.1</v>
      </c>
      <c r="I687" s="258">
        <f t="shared" ref="I687" si="2155">+H687*$X$1</f>
        <v>30561.1</v>
      </c>
      <c r="J687" s="576">
        <f>F687+1000</f>
        <v>27561.1</v>
      </c>
      <c r="K687" s="258">
        <f t="shared" ref="K687" si="2156">+J687*$X$1</f>
        <v>27561.1</v>
      </c>
      <c r="L687" s="576">
        <f>F687+700</f>
        <v>27261.1</v>
      </c>
      <c r="M687" s="258">
        <f t="shared" ref="M687" si="2157">+L687*$X$1</f>
        <v>27261.1</v>
      </c>
      <c r="N687" s="576">
        <f>F687+600</f>
        <v>27161.1</v>
      </c>
      <c r="O687" s="258">
        <f t="shared" ref="O687" si="2158">+N687*$X$1</f>
        <v>27161.1</v>
      </c>
      <c r="P687" s="576">
        <f>F687+500</f>
        <v>27061.1</v>
      </c>
      <c r="Q687" s="258">
        <f t="shared" ref="Q687" si="2159">+P687*$X$1</f>
        <v>27061.1</v>
      </c>
      <c r="R687" s="576">
        <f>F687+430</f>
        <v>26991.1</v>
      </c>
      <c r="S687" s="258">
        <f t="shared" ref="S687" si="2160">+R687*$X$1</f>
        <v>26991.1</v>
      </c>
      <c r="T687" s="576">
        <f>F687+370</f>
        <v>26931.1</v>
      </c>
      <c r="U687" s="258">
        <f t="shared" ref="U687" si="2161">+T687*$X$1</f>
        <v>26931.1</v>
      </c>
      <c r="V687" s="576">
        <f>F687+310</f>
        <v>26871.1</v>
      </c>
      <c r="W687" s="258">
        <f t="shared" ref="W687" si="2162">+V687*$X$1</f>
        <v>26871.1</v>
      </c>
      <c r="X687" s="397"/>
      <c r="Y687" s="124"/>
      <c r="Z687" s="122"/>
      <c r="AA687" s="125"/>
      <c r="AB687" s="372" t="s">
        <v>659</v>
      </c>
    </row>
    <row r="688" spans="1:34" ht="12.6" customHeight="1" x14ac:dyDescent="0.2">
      <c r="B688" s="802" t="s">
        <v>794</v>
      </c>
      <c r="C688" s="802"/>
      <c r="D688" s="802"/>
      <c r="E688" s="802"/>
      <c r="F688" s="401">
        <f>22.35*X2</f>
        <v>28831.500000000004</v>
      </c>
      <c r="G688" s="257">
        <f>+F688*$X$1</f>
        <v>28831.500000000004</v>
      </c>
      <c r="H688" s="93"/>
      <c r="I688" s="273"/>
      <c r="J688" s="93">
        <f>F688+1200</f>
        <v>30031.500000000004</v>
      </c>
      <c r="K688" s="273">
        <f t="shared" ref="K688:K689" si="2163">+J688*$X$1</f>
        <v>30031.500000000004</v>
      </c>
      <c r="L688" s="93">
        <f>F688+900</f>
        <v>29731.500000000004</v>
      </c>
      <c r="M688" s="273">
        <f t="shared" ref="M688:M689" si="2164">+L688*$X$1</f>
        <v>29731.500000000004</v>
      </c>
      <c r="N688" s="93">
        <f>F688+700</f>
        <v>29531.500000000004</v>
      </c>
      <c r="O688" s="273">
        <f t="shared" ref="O688:O689" si="2165">+N688*$X$1</f>
        <v>29531.500000000004</v>
      </c>
      <c r="P688" s="93">
        <f>F688+620</f>
        <v>29451.500000000004</v>
      </c>
      <c r="Q688" s="273">
        <f t="shared" ref="Q688:Q689" si="2166">+P688*$X$1</f>
        <v>29451.500000000004</v>
      </c>
      <c r="R688" s="93"/>
      <c r="S688" s="273"/>
      <c r="T688" s="93"/>
      <c r="U688" s="273"/>
      <c r="V688" s="93"/>
      <c r="W688" s="273"/>
      <c r="X688" s="454"/>
      <c r="Y688" s="124"/>
      <c r="Z688" s="122"/>
      <c r="AA688" s="125"/>
      <c r="AB688" s="372" t="s">
        <v>793</v>
      </c>
    </row>
    <row r="689" spans="1:38" ht="12.6" customHeight="1" x14ac:dyDescent="0.2">
      <c r="B689" s="803" t="s">
        <v>660</v>
      </c>
      <c r="C689" s="803"/>
      <c r="D689" s="803"/>
      <c r="E689" s="803"/>
      <c r="F689" s="402">
        <f>38.5*X2</f>
        <v>49665</v>
      </c>
      <c r="G689" s="258">
        <f>+F689*$X$1</f>
        <v>49665</v>
      </c>
      <c r="H689" s="576">
        <f>F689+4000</f>
        <v>53665</v>
      </c>
      <c r="I689" s="258">
        <f t="shared" ref="I689" si="2167">+H689*$X$1</f>
        <v>53665</v>
      </c>
      <c r="J689" s="576">
        <f>F689+1000</f>
        <v>50665</v>
      </c>
      <c r="K689" s="258">
        <f t="shared" si="2163"/>
        <v>50665</v>
      </c>
      <c r="L689" s="576">
        <f>F689+700</f>
        <v>50365</v>
      </c>
      <c r="M689" s="258">
        <f t="shared" si="2164"/>
        <v>50365</v>
      </c>
      <c r="N689" s="576">
        <f>F689+600</f>
        <v>50265</v>
      </c>
      <c r="O689" s="258">
        <f t="shared" si="2165"/>
        <v>50265</v>
      </c>
      <c r="P689" s="576">
        <f>F689+500</f>
        <v>50165</v>
      </c>
      <c r="Q689" s="258">
        <f t="shared" si="2166"/>
        <v>50165</v>
      </c>
      <c r="R689" s="576">
        <f>F689+430</f>
        <v>50095</v>
      </c>
      <c r="S689" s="258">
        <f t="shared" ref="S689" si="2168">+R689*$X$1</f>
        <v>50095</v>
      </c>
      <c r="T689" s="576">
        <f>F689+370</f>
        <v>50035</v>
      </c>
      <c r="U689" s="258">
        <f t="shared" ref="U689" si="2169">+T689*$X$1</f>
        <v>50035</v>
      </c>
      <c r="V689" s="576">
        <f>F689+310</f>
        <v>49975</v>
      </c>
      <c r="W689" s="258">
        <f t="shared" ref="W689" si="2170">+V689*$X$1</f>
        <v>49975</v>
      </c>
      <c r="X689" s="397"/>
      <c r="Y689" s="124"/>
      <c r="Z689" s="122"/>
      <c r="AA689" s="125"/>
      <c r="AB689" s="372" t="s">
        <v>661</v>
      </c>
    </row>
    <row r="690" spans="1:38" ht="12.6" customHeight="1" x14ac:dyDescent="0.2">
      <c r="B690" s="802" t="s">
        <v>278</v>
      </c>
      <c r="C690" s="802"/>
      <c r="D690" s="802"/>
      <c r="E690" s="802"/>
      <c r="F690" s="105"/>
      <c r="G690" s="559"/>
      <c r="H690" s="91"/>
      <c r="I690" s="91"/>
      <c r="J690" s="559"/>
      <c r="K690" s="559"/>
      <c r="L690" s="559"/>
      <c r="M690" s="559"/>
      <c r="N690" s="559"/>
      <c r="O690" s="559"/>
      <c r="P690" s="103"/>
      <c r="Q690" s="559"/>
      <c r="R690" s="103"/>
      <c r="S690" s="559"/>
      <c r="T690" s="103"/>
      <c r="U690" s="559"/>
      <c r="V690" s="252"/>
      <c r="W690" s="509"/>
      <c r="X690" s="150"/>
      <c r="Y690" s="150"/>
      <c r="Z690" s="150"/>
      <c r="AA690" s="151"/>
      <c r="AB690" s="372" t="s">
        <v>279</v>
      </c>
    </row>
    <row r="691" spans="1:38" ht="12.6" customHeight="1" x14ac:dyDescent="0.2">
      <c r="B691" s="803" t="s">
        <v>280</v>
      </c>
      <c r="C691" s="803"/>
      <c r="D691" s="803"/>
      <c r="E691" s="803"/>
      <c r="F691" s="400"/>
      <c r="G691" s="576"/>
      <c r="H691" s="95"/>
      <c r="I691" s="95"/>
      <c r="J691" s="563"/>
      <c r="K691" s="563"/>
      <c r="L691" s="563"/>
      <c r="M691" s="563"/>
      <c r="N691" s="563"/>
      <c r="O691" s="563"/>
      <c r="P691" s="104"/>
      <c r="Q691" s="563"/>
      <c r="R691" s="104"/>
      <c r="S691" s="563"/>
      <c r="T691" s="104"/>
      <c r="U691" s="563"/>
      <c r="V691" s="251"/>
      <c r="W691" s="508"/>
      <c r="X691" s="150"/>
      <c r="Y691" s="150"/>
      <c r="Z691" s="150"/>
      <c r="AA691" s="151"/>
      <c r="AB691" s="372" t="s">
        <v>281</v>
      </c>
    </row>
    <row r="692" spans="1:38" ht="12.6" customHeight="1" x14ac:dyDescent="0.2">
      <c r="B692" s="802" t="s">
        <v>282</v>
      </c>
      <c r="C692" s="802"/>
      <c r="D692" s="802"/>
      <c r="E692" s="802"/>
      <c r="F692" s="105"/>
      <c r="G692" s="559"/>
      <c r="H692" s="91"/>
      <c r="I692" s="91"/>
      <c r="J692" s="559"/>
      <c r="K692" s="559"/>
      <c r="L692" s="559"/>
      <c r="M692" s="559"/>
      <c r="N692" s="559"/>
      <c r="O692" s="559"/>
      <c r="P692" s="103"/>
      <c r="Q692" s="559"/>
      <c r="R692" s="103"/>
      <c r="S692" s="559"/>
      <c r="T692" s="103"/>
      <c r="U692" s="559"/>
      <c r="V692" s="252"/>
      <c r="W692" s="509"/>
      <c r="X692" s="124"/>
      <c r="Y692" s="124"/>
      <c r="Z692" s="124"/>
      <c r="AA692" s="124"/>
      <c r="AB692" s="372" t="s">
        <v>385</v>
      </c>
    </row>
    <row r="693" spans="1:38" ht="12.6" customHeight="1" x14ac:dyDescent="0.2">
      <c r="B693" s="803" t="s">
        <v>666</v>
      </c>
      <c r="C693" s="803"/>
      <c r="D693" s="803"/>
      <c r="E693" s="803"/>
      <c r="F693" s="402">
        <f>36*X2</f>
        <v>46440</v>
      </c>
      <c r="G693" s="258">
        <f t="shared" ref="G693:G695" si="2171">+F693*$X$1</f>
        <v>46440</v>
      </c>
      <c r="H693" s="92">
        <f>F693+5000</f>
        <v>51440</v>
      </c>
      <c r="I693" s="283">
        <f t="shared" ref="I693" si="2172">+H693*$X$1</f>
        <v>51440</v>
      </c>
      <c r="J693" s="92">
        <f>F693+1000</f>
        <v>47440</v>
      </c>
      <c r="K693" s="283">
        <f t="shared" ref="K693" si="2173">+J693*$X$1</f>
        <v>47440</v>
      </c>
      <c r="L693" s="92"/>
      <c r="M693" s="283"/>
      <c r="N693" s="92"/>
      <c r="O693" s="283"/>
      <c r="P693" s="92"/>
      <c r="Q693" s="283"/>
      <c r="R693" s="92"/>
      <c r="S693" s="283"/>
      <c r="T693" s="92"/>
      <c r="U693" s="283"/>
      <c r="V693" s="92"/>
      <c r="W693" s="283"/>
      <c r="X693" s="399"/>
      <c r="Y693" s="124"/>
      <c r="Z693" s="122"/>
      <c r="AA693" s="125"/>
      <c r="AB693" s="372" t="s">
        <v>667</v>
      </c>
    </row>
    <row r="694" spans="1:38" s="1" customFormat="1" ht="12.6" customHeight="1" x14ac:dyDescent="0.2">
      <c r="A694" s="18"/>
      <c r="B694" s="654" t="s">
        <v>184</v>
      </c>
      <c r="C694" s="655"/>
      <c r="D694" s="655"/>
      <c r="E694" s="655"/>
      <c r="F694" s="257">
        <v>4780</v>
      </c>
      <c r="G694" s="259">
        <f t="shared" si="2171"/>
        <v>4780</v>
      </c>
      <c r="H694" s="559"/>
      <c r="I694" s="257"/>
      <c r="J694" s="68"/>
      <c r="K694" s="257"/>
      <c r="L694" s="559"/>
      <c r="M694" s="257"/>
      <c r="N694" s="559"/>
      <c r="O694" s="257"/>
      <c r="P694" s="559">
        <f t="shared" ref="P694:P701" si="2174">F694+400</f>
        <v>5180</v>
      </c>
      <c r="Q694" s="257">
        <f t="shared" ref="Q694:Q701" si="2175">+P694*$X$1</f>
        <v>5180</v>
      </c>
      <c r="R694" s="559">
        <f t="shared" ref="R694:R701" si="2176">F694+330</f>
        <v>5110</v>
      </c>
      <c r="S694" s="257">
        <f t="shared" ref="S694:S701" si="2177">+R694*$X$1</f>
        <v>5110</v>
      </c>
      <c r="T694" s="559">
        <f t="shared" ref="T694:T701" si="2178">F694+280</f>
        <v>5060</v>
      </c>
      <c r="U694" s="257">
        <f t="shared" ref="U694:U701" si="2179">+T694*$X$1</f>
        <v>5060</v>
      </c>
      <c r="V694" s="559">
        <f t="shared" ref="V694:V701" si="2180">F694+220</f>
        <v>5000</v>
      </c>
      <c r="W694" s="257">
        <f t="shared" ref="W694:W701" si="2181">+V694*$X$1</f>
        <v>5000</v>
      </c>
      <c r="X694" s="697"/>
      <c r="Y694" s="849"/>
      <c r="Z694" s="849"/>
      <c r="AA694" s="681"/>
      <c r="AB694" s="178">
        <v>965</v>
      </c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s="1" customFormat="1" ht="12.6" customHeight="1" x14ac:dyDescent="0.2">
      <c r="A695" s="18"/>
      <c r="B695" s="656" t="s">
        <v>185</v>
      </c>
      <c r="C695" s="669"/>
      <c r="D695" s="669"/>
      <c r="E695" s="670"/>
      <c r="F695" s="258">
        <v>7340</v>
      </c>
      <c r="G695" s="260">
        <f t="shared" si="2171"/>
        <v>7340</v>
      </c>
      <c r="H695" s="563"/>
      <c r="I695" s="258"/>
      <c r="J695" s="82"/>
      <c r="K695" s="258"/>
      <c r="L695" s="563"/>
      <c r="M695" s="258"/>
      <c r="N695" s="563"/>
      <c r="O695" s="258"/>
      <c r="P695" s="563">
        <f t="shared" si="2174"/>
        <v>7740</v>
      </c>
      <c r="Q695" s="258">
        <f t="shared" si="2175"/>
        <v>7740</v>
      </c>
      <c r="R695" s="563">
        <f t="shared" si="2176"/>
        <v>7670</v>
      </c>
      <c r="S695" s="258">
        <f t="shared" si="2177"/>
        <v>7670</v>
      </c>
      <c r="T695" s="563">
        <f t="shared" si="2178"/>
        <v>7620</v>
      </c>
      <c r="U695" s="258">
        <f t="shared" si="2179"/>
        <v>7620</v>
      </c>
      <c r="V695" s="563">
        <f t="shared" si="2180"/>
        <v>7560</v>
      </c>
      <c r="W695" s="258">
        <f t="shared" si="2181"/>
        <v>7560</v>
      </c>
      <c r="X695" s="141"/>
      <c r="Y695" s="142"/>
      <c r="Z695" s="142"/>
      <c r="AA695" s="143"/>
      <c r="AB695" s="365">
        <v>967</v>
      </c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1" customFormat="1" ht="12.6" customHeight="1" x14ac:dyDescent="0.2">
      <c r="A696" s="18"/>
      <c r="B696" s="659" t="s">
        <v>323</v>
      </c>
      <c r="C696" s="707"/>
      <c r="D696" s="707"/>
      <c r="E696" s="708"/>
      <c r="F696" s="257">
        <v>4485</v>
      </c>
      <c r="G696" s="259">
        <f t="shared" ref="G696" si="2182">+F696*$X$1</f>
        <v>4485</v>
      </c>
      <c r="H696" s="559"/>
      <c r="I696" s="257"/>
      <c r="J696" s="68"/>
      <c r="K696" s="257"/>
      <c r="L696" s="559"/>
      <c r="M696" s="257"/>
      <c r="N696" s="559"/>
      <c r="O696" s="257"/>
      <c r="P696" s="559">
        <f t="shared" si="2174"/>
        <v>4885</v>
      </c>
      <c r="Q696" s="257">
        <f t="shared" si="2175"/>
        <v>4885</v>
      </c>
      <c r="R696" s="559">
        <f t="shared" si="2176"/>
        <v>4815</v>
      </c>
      <c r="S696" s="257">
        <f t="shared" si="2177"/>
        <v>4815</v>
      </c>
      <c r="T696" s="559">
        <f t="shared" si="2178"/>
        <v>4765</v>
      </c>
      <c r="U696" s="257">
        <f t="shared" si="2179"/>
        <v>4765</v>
      </c>
      <c r="V696" s="559">
        <f t="shared" si="2180"/>
        <v>4705</v>
      </c>
      <c r="W696" s="257">
        <f t="shared" si="2181"/>
        <v>4705</v>
      </c>
      <c r="X696" s="697"/>
      <c r="Y696" s="849"/>
      <c r="Z696" s="849"/>
      <c r="AA696" s="681"/>
      <c r="AB696" s="365">
        <v>968</v>
      </c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s="1" customFormat="1" ht="12.6" customHeight="1" x14ac:dyDescent="0.2">
      <c r="A697" s="18"/>
      <c r="B697" s="645" t="s">
        <v>186</v>
      </c>
      <c r="C697" s="646"/>
      <c r="D697" s="646"/>
      <c r="E697" s="646"/>
      <c r="F697" s="258">
        <v>12106</v>
      </c>
      <c r="G697" s="260">
        <f t="shared" ref="G697" si="2183">+F697*$X$1</f>
        <v>12106</v>
      </c>
      <c r="H697" s="563"/>
      <c r="I697" s="258"/>
      <c r="J697" s="82"/>
      <c r="K697" s="258"/>
      <c r="L697" s="563"/>
      <c r="M697" s="258"/>
      <c r="N697" s="563"/>
      <c r="O697" s="258"/>
      <c r="P697" s="563">
        <f t="shared" si="2174"/>
        <v>12506</v>
      </c>
      <c r="Q697" s="258">
        <f t="shared" si="2175"/>
        <v>12506</v>
      </c>
      <c r="R697" s="563">
        <f t="shared" si="2176"/>
        <v>12436</v>
      </c>
      <c r="S697" s="258">
        <f t="shared" si="2177"/>
        <v>12436</v>
      </c>
      <c r="T697" s="563">
        <f t="shared" si="2178"/>
        <v>12386</v>
      </c>
      <c r="U697" s="258">
        <f t="shared" si="2179"/>
        <v>12386</v>
      </c>
      <c r="V697" s="563">
        <f t="shared" si="2180"/>
        <v>12326</v>
      </c>
      <c r="W697" s="258">
        <f t="shared" si="2181"/>
        <v>12326</v>
      </c>
      <c r="X697" s="697"/>
      <c r="Y697" s="849"/>
      <c r="Z697" s="849"/>
      <c r="AA697" s="681"/>
      <c r="AB697" s="365">
        <v>969</v>
      </c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s="1" customFormat="1" ht="12.6" customHeight="1" x14ac:dyDescent="0.2">
      <c r="A698" s="18"/>
      <c r="B698" s="659" t="s">
        <v>340</v>
      </c>
      <c r="C698" s="707"/>
      <c r="D698" s="707"/>
      <c r="E698" s="708"/>
      <c r="F698" s="257">
        <v>11100</v>
      </c>
      <c r="G698" s="259">
        <f t="shared" ref="G698" si="2184">+F698*$X$1</f>
        <v>11100</v>
      </c>
      <c r="H698" s="559"/>
      <c r="I698" s="257"/>
      <c r="J698" s="68"/>
      <c r="K698" s="257"/>
      <c r="L698" s="559"/>
      <c r="M698" s="257"/>
      <c r="N698" s="559"/>
      <c r="O698" s="257"/>
      <c r="P698" s="559">
        <f t="shared" si="2174"/>
        <v>11500</v>
      </c>
      <c r="Q698" s="257">
        <f t="shared" si="2175"/>
        <v>11500</v>
      </c>
      <c r="R698" s="559">
        <f t="shared" si="2176"/>
        <v>11430</v>
      </c>
      <c r="S698" s="257">
        <f t="shared" si="2177"/>
        <v>11430</v>
      </c>
      <c r="T698" s="559">
        <f t="shared" si="2178"/>
        <v>11380</v>
      </c>
      <c r="U698" s="257">
        <f t="shared" si="2179"/>
        <v>11380</v>
      </c>
      <c r="V698" s="559">
        <f t="shared" si="2180"/>
        <v>11320</v>
      </c>
      <c r="W698" s="257">
        <f t="shared" si="2181"/>
        <v>11320</v>
      </c>
      <c r="X698" s="200"/>
      <c r="Y698" s="202"/>
      <c r="Z698" s="202"/>
      <c r="AA698" s="201"/>
      <c r="AB698" s="365" t="s">
        <v>410</v>
      </c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s="1" customFormat="1" ht="12.6" customHeight="1" x14ac:dyDescent="0.2">
      <c r="A699" s="18"/>
      <c r="B699" s="645" t="s">
        <v>187</v>
      </c>
      <c r="C699" s="646"/>
      <c r="D699" s="646"/>
      <c r="E699" s="646"/>
      <c r="F699" s="258">
        <v>3090</v>
      </c>
      <c r="G699" s="260">
        <f t="shared" ref="G699" si="2185">+F699*$X$1</f>
        <v>3090</v>
      </c>
      <c r="H699" s="563"/>
      <c r="I699" s="258"/>
      <c r="J699" s="82"/>
      <c r="K699" s="258"/>
      <c r="L699" s="563"/>
      <c r="M699" s="258"/>
      <c r="N699" s="563"/>
      <c r="O699" s="258"/>
      <c r="P699" s="563">
        <f t="shared" si="2174"/>
        <v>3490</v>
      </c>
      <c r="Q699" s="258">
        <f t="shared" si="2175"/>
        <v>3490</v>
      </c>
      <c r="R699" s="563">
        <f t="shared" si="2176"/>
        <v>3420</v>
      </c>
      <c r="S699" s="258">
        <f t="shared" si="2177"/>
        <v>3420</v>
      </c>
      <c r="T699" s="563">
        <f t="shared" si="2178"/>
        <v>3370</v>
      </c>
      <c r="U699" s="258">
        <f t="shared" si="2179"/>
        <v>3370</v>
      </c>
      <c r="V699" s="563">
        <f t="shared" si="2180"/>
        <v>3310</v>
      </c>
      <c r="W699" s="258">
        <f t="shared" si="2181"/>
        <v>3310</v>
      </c>
      <c r="X699" s="697"/>
      <c r="Y699" s="849"/>
      <c r="Z699" s="849"/>
      <c r="AA699" s="681"/>
      <c r="AB699" s="365">
        <v>970</v>
      </c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s="1" customFormat="1" ht="12.6" customHeight="1" x14ac:dyDescent="0.2">
      <c r="A700" s="18"/>
      <c r="B700" s="654" t="s">
        <v>188</v>
      </c>
      <c r="C700" s="655"/>
      <c r="D700" s="655"/>
      <c r="E700" s="655"/>
      <c r="F700" s="257">
        <v>3193</v>
      </c>
      <c r="G700" s="259">
        <f t="shared" ref="G700" si="2186">+F700*$X$1</f>
        <v>3193</v>
      </c>
      <c r="H700" s="559"/>
      <c r="I700" s="257"/>
      <c r="J700" s="68"/>
      <c r="K700" s="257"/>
      <c r="L700" s="559"/>
      <c r="M700" s="257"/>
      <c r="N700" s="559"/>
      <c r="O700" s="257"/>
      <c r="P700" s="559">
        <f t="shared" si="2174"/>
        <v>3593</v>
      </c>
      <c r="Q700" s="257">
        <f t="shared" si="2175"/>
        <v>3593</v>
      </c>
      <c r="R700" s="559">
        <f t="shared" si="2176"/>
        <v>3523</v>
      </c>
      <c r="S700" s="257">
        <f t="shared" si="2177"/>
        <v>3523</v>
      </c>
      <c r="T700" s="559">
        <f t="shared" si="2178"/>
        <v>3473</v>
      </c>
      <c r="U700" s="257">
        <f t="shared" si="2179"/>
        <v>3473</v>
      </c>
      <c r="V700" s="559">
        <f t="shared" si="2180"/>
        <v>3413</v>
      </c>
      <c r="W700" s="257">
        <f t="shared" si="2181"/>
        <v>3413</v>
      </c>
      <c r="X700" s="697"/>
      <c r="Y700" s="849"/>
      <c r="Z700" s="849"/>
      <c r="AA700" s="681"/>
      <c r="AB700" s="365">
        <v>971</v>
      </c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s="1" customFormat="1" ht="12.6" customHeight="1" x14ac:dyDescent="0.2">
      <c r="A701" s="18"/>
      <c r="B701" s="656" t="s">
        <v>341</v>
      </c>
      <c r="C701" s="669"/>
      <c r="D701" s="669"/>
      <c r="E701" s="670"/>
      <c r="F701" s="258">
        <v>5394</v>
      </c>
      <c r="G701" s="260">
        <f t="shared" ref="G701" si="2187">+F701*$X$1</f>
        <v>5394</v>
      </c>
      <c r="H701" s="563"/>
      <c r="I701" s="258"/>
      <c r="J701" s="82"/>
      <c r="K701" s="258"/>
      <c r="L701" s="563"/>
      <c r="M701" s="258"/>
      <c r="N701" s="563"/>
      <c r="O701" s="258"/>
      <c r="P701" s="563">
        <f t="shared" si="2174"/>
        <v>5794</v>
      </c>
      <c r="Q701" s="258">
        <f t="shared" si="2175"/>
        <v>5794</v>
      </c>
      <c r="R701" s="563">
        <f t="shared" si="2176"/>
        <v>5724</v>
      </c>
      <c r="S701" s="258">
        <f t="shared" si="2177"/>
        <v>5724</v>
      </c>
      <c r="T701" s="563">
        <f t="shared" si="2178"/>
        <v>5674</v>
      </c>
      <c r="U701" s="258">
        <f t="shared" si="2179"/>
        <v>5674</v>
      </c>
      <c r="V701" s="563">
        <f t="shared" si="2180"/>
        <v>5614</v>
      </c>
      <c r="W701" s="258">
        <f t="shared" si="2181"/>
        <v>5614</v>
      </c>
      <c r="X701" s="141"/>
      <c r="Y701" s="142"/>
      <c r="Z701" s="142"/>
      <c r="AA701" s="143"/>
      <c r="AB701" s="365">
        <v>972</v>
      </c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s="1" customFormat="1" ht="12.6" customHeight="1" x14ac:dyDescent="0.2">
      <c r="A702" s="18"/>
      <c r="B702" s="654" t="s">
        <v>189</v>
      </c>
      <c r="C702" s="655"/>
      <c r="D702" s="655"/>
      <c r="E702" s="655"/>
      <c r="F702" s="559"/>
      <c r="G702" s="559"/>
      <c r="H702" s="252"/>
      <c r="I702" s="252"/>
      <c r="J702" s="68"/>
      <c r="K702" s="559"/>
      <c r="L702" s="559"/>
      <c r="M702" s="559"/>
      <c r="N702" s="559"/>
      <c r="O702" s="559"/>
      <c r="P702" s="559"/>
      <c r="Q702" s="559"/>
      <c r="R702" s="559"/>
      <c r="S702" s="559"/>
      <c r="T702" s="559"/>
      <c r="U702" s="559"/>
      <c r="V702" s="559"/>
      <c r="W702" s="559"/>
      <c r="X702" s="718"/>
      <c r="Y702" s="719"/>
      <c r="Z702" s="719"/>
      <c r="AA702" s="720"/>
      <c r="AB702" s="178">
        <v>980</v>
      </c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s="1" customFormat="1" ht="12.6" customHeight="1" x14ac:dyDescent="0.2">
      <c r="A703" s="18"/>
      <c r="B703" s="645" t="s">
        <v>190</v>
      </c>
      <c r="C703" s="679"/>
      <c r="D703" s="679"/>
      <c r="E703" s="679"/>
      <c r="F703" s="92"/>
      <c r="G703" s="563"/>
      <c r="H703" s="251"/>
      <c r="I703" s="251"/>
      <c r="J703" s="82"/>
      <c r="K703" s="563"/>
      <c r="L703" s="563"/>
      <c r="M703" s="563"/>
      <c r="N703" s="563"/>
      <c r="O703" s="563"/>
      <c r="P703" s="563"/>
      <c r="Q703" s="563"/>
      <c r="R703" s="563"/>
      <c r="S703" s="563"/>
      <c r="T703" s="563"/>
      <c r="U703" s="563"/>
      <c r="V703" s="563"/>
      <c r="W703" s="563"/>
      <c r="X703" s="718"/>
      <c r="Y703" s="719"/>
      <c r="Z703" s="719"/>
      <c r="AA703" s="720"/>
      <c r="AB703" s="178">
        <v>981</v>
      </c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s="1" customFormat="1" ht="12.6" customHeight="1" x14ac:dyDescent="0.2">
      <c r="A704" s="18"/>
      <c r="B704" s="659" t="s">
        <v>426</v>
      </c>
      <c r="C704" s="660"/>
      <c r="D704" s="660"/>
      <c r="E704" s="661"/>
      <c r="F704" s="93"/>
      <c r="G704" s="559"/>
      <c r="H704" s="252"/>
      <c r="I704" s="252"/>
      <c r="J704" s="68"/>
      <c r="K704" s="559"/>
      <c r="L704" s="559"/>
      <c r="M704" s="559"/>
      <c r="N704" s="559"/>
      <c r="O704" s="559"/>
      <c r="P704" s="559"/>
      <c r="Q704" s="559"/>
      <c r="R704" s="559"/>
      <c r="S704" s="559"/>
      <c r="T704" s="559"/>
      <c r="U704" s="559"/>
      <c r="V704" s="559"/>
      <c r="W704" s="559"/>
      <c r="X704" s="718"/>
      <c r="Y704" s="719"/>
      <c r="Z704" s="719"/>
      <c r="AA704" s="720"/>
      <c r="AB704" s="178">
        <v>982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56" t="s">
        <v>459</v>
      </c>
      <c r="C705" s="705"/>
      <c r="D705" s="705"/>
      <c r="E705" s="706"/>
      <c r="F705" s="92"/>
      <c r="G705" s="563"/>
      <c r="H705" s="251"/>
      <c r="I705" s="251"/>
      <c r="J705" s="82"/>
      <c r="K705" s="563"/>
      <c r="L705" s="563"/>
      <c r="M705" s="563"/>
      <c r="N705" s="563"/>
      <c r="O705" s="563"/>
      <c r="P705" s="563"/>
      <c r="Q705" s="563"/>
      <c r="R705" s="563"/>
      <c r="S705" s="563"/>
      <c r="T705" s="563"/>
      <c r="U705" s="563"/>
      <c r="V705" s="563"/>
      <c r="W705" s="563"/>
      <c r="X705" s="718"/>
      <c r="Y705" s="719"/>
      <c r="Z705" s="719"/>
      <c r="AA705" s="720"/>
      <c r="AB705" s="178">
        <v>983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59" t="s">
        <v>191</v>
      </c>
      <c r="C706" s="660"/>
      <c r="D706" s="660"/>
      <c r="E706" s="661"/>
      <c r="F706" s="559"/>
      <c r="G706" s="559"/>
      <c r="H706" s="252"/>
      <c r="I706" s="252"/>
      <c r="J706" s="68"/>
      <c r="K706" s="559"/>
      <c r="L706" s="559"/>
      <c r="M706" s="559"/>
      <c r="N706" s="559"/>
      <c r="O706" s="559"/>
      <c r="P706" s="559"/>
      <c r="Q706" s="559"/>
      <c r="R706" s="559"/>
      <c r="S706" s="559"/>
      <c r="T706" s="559"/>
      <c r="U706" s="559"/>
      <c r="V706" s="559"/>
      <c r="W706" s="559"/>
      <c r="X706" s="718"/>
      <c r="Y706" s="719"/>
      <c r="Z706" s="719"/>
      <c r="AA706" s="720"/>
      <c r="AB706" s="178">
        <v>984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56" t="s">
        <v>192</v>
      </c>
      <c r="C707" s="705"/>
      <c r="D707" s="705"/>
      <c r="E707" s="706"/>
      <c r="F707" s="563"/>
      <c r="G707" s="563"/>
      <c r="H707" s="251"/>
      <c r="I707" s="251"/>
      <c r="J707" s="82"/>
      <c r="K707" s="563"/>
      <c r="L707" s="563"/>
      <c r="M707" s="563"/>
      <c r="N707" s="563"/>
      <c r="O707" s="563"/>
      <c r="P707" s="563"/>
      <c r="Q707" s="563"/>
      <c r="R707" s="563"/>
      <c r="S707" s="563"/>
      <c r="T707" s="563"/>
      <c r="U707" s="563"/>
      <c r="V707" s="563"/>
      <c r="W707" s="563"/>
      <c r="X707" s="718"/>
      <c r="Y707" s="719"/>
      <c r="Z707" s="719"/>
      <c r="AA707" s="720"/>
      <c r="AB707" s="178">
        <v>985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96" t="s">
        <v>865</v>
      </c>
      <c r="C708" s="636"/>
      <c r="D708" s="636"/>
      <c r="E708" s="637"/>
      <c r="F708" s="274">
        <f>21.75*X2</f>
        <v>28057.5</v>
      </c>
      <c r="G708" s="257">
        <f>+F708*$X$1</f>
        <v>28057.5</v>
      </c>
      <c r="H708" s="559">
        <f>F708+3000</f>
        <v>31057.5</v>
      </c>
      <c r="I708" s="257">
        <f t="shared" ref="I708" si="2188">+H708*$X$1</f>
        <v>31057.5</v>
      </c>
      <c r="J708" s="559">
        <f>F708+900</f>
        <v>28957.5</v>
      </c>
      <c r="K708" s="257">
        <f t="shared" ref="K708" si="2189">+J708*$X$1</f>
        <v>28957.5</v>
      </c>
      <c r="L708" s="559">
        <f>F708+700</f>
        <v>28757.5</v>
      </c>
      <c r="M708" s="257">
        <f t="shared" ref="M708" si="2190">+L708*$X$1</f>
        <v>28757.5</v>
      </c>
      <c r="N708" s="559">
        <f>F708+500</f>
        <v>28557.5</v>
      </c>
      <c r="O708" s="257">
        <f t="shared" ref="O708" si="2191">+N708*$X$1</f>
        <v>28557.5</v>
      </c>
      <c r="P708" s="559">
        <f>F708+400</f>
        <v>28457.5</v>
      </c>
      <c r="Q708" s="257">
        <f t="shared" ref="Q708" si="2192">+P708*$X$1</f>
        <v>28457.5</v>
      </c>
      <c r="R708" s="559">
        <f>F708+330</f>
        <v>28387.5</v>
      </c>
      <c r="S708" s="257">
        <f t="shared" ref="S708" si="2193">+R708*$X$1</f>
        <v>28387.5</v>
      </c>
      <c r="T708" s="559">
        <f>F708+280</f>
        <v>28337.5</v>
      </c>
      <c r="U708" s="257">
        <f t="shared" ref="U708" si="2194">+T708*$X$1</f>
        <v>28337.5</v>
      </c>
      <c r="V708" s="559">
        <f>F708+220</f>
        <v>28277.5</v>
      </c>
      <c r="W708" s="257">
        <f t="shared" ref="W708" si="2195">+V708*$X$1</f>
        <v>28277.5</v>
      </c>
      <c r="X708" s="697"/>
      <c r="Y708" s="680"/>
      <c r="Z708" s="680"/>
      <c r="AA708" s="681"/>
      <c r="AB708" s="178">
        <v>990</v>
      </c>
      <c r="AC708" s="4"/>
      <c r="AD708" s="4"/>
      <c r="AE708" s="4"/>
      <c r="AF708" s="4"/>
      <c r="AG708" s="4"/>
      <c r="AH708" s="116"/>
      <c r="AI708" s="4"/>
      <c r="AJ708" s="4"/>
      <c r="AK708" s="4"/>
      <c r="AL708" s="4"/>
    </row>
    <row r="709" spans="1:38" ht="12.6" customHeight="1" x14ac:dyDescent="0.2">
      <c r="B709" s="803" t="s">
        <v>663</v>
      </c>
      <c r="C709" s="803"/>
      <c r="D709" s="803"/>
      <c r="E709" s="803"/>
      <c r="F709" s="303">
        <f>21.16*X2</f>
        <v>27296.400000000001</v>
      </c>
      <c r="G709" s="258">
        <f>+F709*$X$1</f>
        <v>27296.400000000001</v>
      </c>
      <c r="H709" s="563">
        <f>F709+4500</f>
        <v>31796.400000000001</v>
      </c>
      <c r="I709" s="258">
        <f t="shared" ref="I709:I710" si="2196">+H709*$X$1</f>
        <v>31796.400000000001</v>
      </c>
      <c r="J709" s="563">
        <f>F709+1500</f>
        <v>28796.400000000001</v>
      </c>
      <c r="K709" s="258">
        <f t="shared" ref="K709:K710" si="2197">+J709*$X$1</f>
        <v>28796.400000000001</v>
      </c>
      <c r="L709" s="563">
        <f>F709+1200</f>
        <v>28496.400000000001</v>
      </c>
      <c r="M709" s="258">
        <f t="shared" ref="M709:M710" si="2198">+L709*$X$1</f>
        <v>28496.400000000001</v>
      </c>
      <c r="N709" s="563">
        <f>F709+900</f>
        <v>28196.400000000001</v>
      </c>
      <c r="O709" s="258">
        <f t="shared" ref="O709:O710" si="2199">+N709*$X$1</f>
        <v>28196.400000000001</v>
      </c>
      <c r="P709" s="563">
        <f>F709+750</f>
        <v>28046.400000000001</v>
      </c>
      <c r="Q709" s="258">
        <f t="shared" ref="Q709:Q710" si="2200">+P709*$X$1</f>
        <v>28046.400000000001</v>
      </c>
      <c r="R709" s="563">
        <f>F709+650</f>
        <v>27946.400000000001</v>
      </c>
      <c r="S709" s="258">
        <f t="shared" ref="S709:S710" si="2201">+R709*$X$1</f>
        <v>27946.400000000001</v>
      </c>
      <c r="T709" s="563">
        <f>F709+500</f>
        <v>27796.400000000001</v>
      </c>
      <c r="U709" s="258">
        <f t="shared" ref="U709:U710" si="2202">+T709*$X$1</f>
        <v>27796.400000000001</v>
      </c>
      <c r="V709" s="563">
        <f>F709+400</f>
        <v>27696.400000000001</v>
      </c>
      <c r="W709" s="258">
        <f t="shared" ref="W709:W710" si="2203">+V709*$X$1</f>
        <v>27696.400000000001</v>
      </c>
      <c r="X709" s="399"/>
      <c r="Y709" s="124"/>
      <c r="Z709" s="122"/>
      <c r="AA709" s="125"/>
      <c r="AB709" s="372" t="s">
        <v>662</v>
      </c>
    </row>
    <row r="710" spans="1:38" s="1" customFormat="1" ht="12.6" customHeight="1" x14ac:dyDescent="0.2">
      <c r="A710" s="18"/>
      <c r="B710" s="696" t="s">
        <v>841</v>
      </c>
      <c r="C710" s="636"/>
      <c r="D710" s="636"/>
      <c r="E710" s="637"/>
      <c r="F710" s="274">
        <f>18.44*X2</f>
        <v>23787.600000000002</v>
      </c>
      <c r="G710" s="257">
        <f>+F710*$X$1</f>
        <v>23787.600000000002</v>
      </c>
      <c r="H710" s="559">
        <f>F710+3000</f>
        <v>26787.600000000002</v>
      </c>
      <c r="I710" s="257">
        <f t="shared" si="2196"/>
        <v>26787.600000000002</v>
      </c>
      <c r="J710" s="559">
        <f>F710+900</f>
        <v>24687.600000000002</v>
      </c>
      <c r="K710" s="257">
        <f t="shared" si="2197"/>
        <v>24687.600000000002</v>
      </c>
      <c r="L710" s="559">
        <f>F710+700</f>
        <v>24487.600000000002</v>
      </c>
      <c r="M710" s="257">
        <f t="shared" si="2198"/>
        <v>24487.600000000002</v>
      </c>
      <c r="N710" s="559">
        <f>F710+500</f>
        <v>24287.600000000002</v>
      </c>
      <c r="O710" s="257">
        <f t="shared" si="2199"/>
        <v>24287.600000000002</v>
      </c>
      <c r="P710" s="559">
        <f>F710+400</f>
        <v>24187.600000000002</v>
      </c>
      <c r="Q710" s="257">
        <f t="shared" si="2200"/>
        <v>24187.600000000002</v>
      </c>
      <c r="R710" s="559">
        <f>F710+330</f>
        <v>24117.600000000002</v>
      </c>
      <c r="S710" s="257">
        <f t="shared" si="2201"/>
        <v>24117.600000000002</v>
      </c>
      <c r="T710" s="559">
        <f>F710+280</f>
        <v>24067.600000000002</v>
      </c>
      <c r="U710" s="257">
        <f t="shared" si="2202"/>
        <v>24067.600000000002</v>
      </c>
      <c r="V710" s="559">
        <f>F710+220</f>
        <v>24007.600000000002</v>
      </c>
      <c r="W710" s="257">
        <f t="shared" si="2203"/>
        <v>24007.600000000002</v>
      </c>
      <c r="X710" s="697"/>
      <c r="Y710" s="680"/>
      <c r="Z710" s="680"/>
      <c r="AA710" s="681"/>
      <c r="AB710" s="178">
        <v>993</v>
      </c>
      <c r="AC710" s="4"/>
      <c r="AD710" s="4"/>
      <c r="AE710" s="4"/>
      <c r="AF710" s="4"/>
      <c r="AG710" s="4"/>
      <c r="AH710" s="116"/>
      <c r="AI710" s="4"/>
      <c r="AJ710" s="4"/>
      <c r="AK710" s="4"/>
      <c r="AL710" s="4"/>
    </row>
    <row r="711" spans="1:38" ht="12.6" customHeight="1" x14ac:dyDescent="0.2">
      <c r="B711" s="803" t="s">
        <v>664</v>
      </c>
      <c r="C711" s="803"/>
      <c r="D711" s="803"/>
      <c r="E711" s="803"/>
      <c r="F711" s="303">
        <f>31.8*X2</f>
        <v>41022</v>
      </c>
      <c r="G711" s="258">
        <f t="shared" ref="G711:G730" si="2204">+F711*$X$1</f>
        <v>41022</v>
      </c>
      <c r="H711" s="406">
        <f>F711+4500</f>
        <v>45522</v>
      </c>
      <c r="I711" s="258">
        <f t="shared" ref="I711" si="2205">+H711*$X$1</f>
        <v>45522</v>
      </c>
      <c r="J711" s="406">
        <f>F711+1500</f>
        <v>42522</v>
      </c>
      <c r="K711" s="258">
        <f t="shared" ref="K711" si="2206">+J711*$X$1</f>
        <v>42522</v>
      </c>
      <c r="L711" s="406">
        <f>F711+1200</f>
        <v>42222</v>
      </c>
      <c r="M711" s="258">
        <f t="shared" ref="M711:M712" si="2207">+L711*$X$1</f>
        <v>42222</v>
      </c>
      <c r="N711" s="406">
        <f>F711+900</f>
        <v>41922</v>
      </c>
      <c r="O711" s="258">
        <f t="shared" ref="O711:O712" si="2208">+N711*$X$1</f>
        <v>41922</v>
      </c>
      <c r="P711" s="406">
        <f>F711+750</f>
        <v>41772</v>
      </c>
      <c r="Q711" s="258">
        <f t="shared" ref="Q711:Q712" si="2209">+P711*$X$1</f>
        <v>41772</v>
      </c>
      <c r="R711" s="406">
        <f>F711+650</f>
        <v>41672</v>
      </c>
      <c r="S711" s="258">
        <f t="shared" ref="S711:S716" si="2210">+R711*$X$1</f>
        <v>41672</v>
      </c>
      <c r="T711" s="406">
        <f>F711+500</f>
        <v>41522</v>
      </c>
      <c r="U711" s="258">
        <f t="shared" ref="U711:U716" si="2211">+T711*$X$1</f>
        <v>41522</v>
      </c>
      <c r="V711" s="406">
        <f>F711+400</f>
        <v>41422</v>
      </c>
      <c r="W711" s="258">
        <f t="shared" ref="W711:W716" si="2212">+V711*$X$1</f>
        <v>41422</v>
      </c>
      <c r="X711" s="399"/>
      <c r="Y711" s="124"/>
      <c r="Z711" s="122"/>
      <c r="AA711" s="125"/>
      <c r="AB711" s="372" t="s">
        <v>665</v>
      </c>
    </row>
    <row r="712" spans="1:38" s="1" customFormat="1" ht="12.6" customHeight="1" x14ac:dyDescent="0.2">
      <c r="A712" s="18"/>
      <c r="B712" s="659" t="s">
        <v>193</v>
      </c>
      <c r="C712" s="822"/>
      <c r="D712" s="822"/>
      <c r="E712" s="823"/>
      <c r="F712" s="257">
        <v>1400</v>
      </c>
      <c r="G712" s="273">
        <f t="shared" ref="G712" si="2213">+F712*$X$1</f>
        <v>1400</v>
      </c>
      <c r="H712" s="534"/>
      <c r="I712" s="257"/>
      <c r="J712" s="534"/>
      <c r="K712" s="257"/>
      <c r="L712" s="534">
        <f>F712+700</f>
        <v>2100</v>
      </c>
      <c r="M712" s="257">
        <f t="shared" si="2207"/>
        <v>2100</v>
      </c>
      <c r="N712" s="534">
        <f>F712+500</f>
        <v>1900</v>
      </c>
      <c r="O712" s="257">
        <f t="shared" si="2208"/>
        <v>1900</v>
      </c>
      <c r="P712" s="534">
        <f>F712+400</f>
        <v>1800</v>
      </c>
      <c r="Q712" s="257">
        <f t="shared" si="2209"/>
        <v>1800</v>
      </c>
      <c r="R712" s="534">
        <f>F712+330</f>
        <v>1730</v>
      </c>
      <c r="S712" s="257">
        <f t="shared" si="2210"/>
        <v>1730</v>
      </c>
      <c r="T712" s="534">
        <f>F712+280</f>
        <v>1680</v>
      </c>
      <c r="U712" s="257">
        <f t="shared" si="2211"/>
        <v>1680</v>
      </c>
      <c r="V712" s="534">
        <f>F712+220</f>
        <v>1620</v>
      </c>
      <c r="W712" s="257">
        <f t="shared" si="2212"/>
        <v>1620</v>
      </c>
      <c r="X712" s="697"/>
      <c r="Y712" s="680"/>
      <c r="Z712" s="680"/>
      <c r="AA712" s="681"/>
      <c r="AB712" s="178">
        <v>1001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56" t="s">
        <v>194</v>
      </c>
      <c r="C713" s="657"/>
      <c r="D713" s="657"/>
      <c r="E713" s="658"/>
      <c r="F713" s="283">
        <v>1400</v>
      </c>
      <c r="G713" s="258">
        <f>+F713*$X$1</f>
        <v>1400</v>
      </c>
      <c r="H713" s="550"/>
      <c r="I713" s="536"/>
      <c r="J713" s="536"/>
      <c r="K713" s="536"/>
      <c r="L713" s="406"/>
      <c r="M713" s="258"/>
      <c r="N713" s="406"/>
      <c r="O713" s="258"/>
      <c r="P713" s="406"/>
      <c r="Q713" s="258"/>
      <c r="R713" s="406">
        <f>F713+330</f>
        <v>1730</v>
      </c>
      <c r="S713" s="258">
        <f t="shared" si="2210"/>
        <v>1730</v>
      </c>
      <c r="T713" s="406">
        <f>F713+280</f>
        <v>1680</v>
      </c>
      <c r="U713" s="258">
        <f t="shared" si="2211"/>
        <v>1680</v>
      </c>
      <c r="V713" s="406">
        <f>F713+220</f>
        <v>1620</v>
      </c>
      <c r="W713" s="258">
        <f t="shared" si="2212"/>
        <v>1620</v>
      </c>
      <c r="X713" s="697"/>
      <c r="Y713" s="680"/>
      <c r="Z713" s="680"/>
      <c r="AA713" s="681"/>
      <c r="AB713" s="178">
        <v>1002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953" t="s">
        <v>582</v>
      </c>
      <c r="C714" s="954"/>
      <c r="D714" s="954"/>
      <c r="E714" s="955"/>
      <c r="F714" s="259">
        <v>1400</v>
      </c>
      <c r="G714" s="259">
        <f>+F714*$X$1</f>
        <v>1400</v>
      </c>
      <c r="H714" s="551"/>
      <c r="I714" s="616"/>
      <c r="J714" s="616"/>
      <c r="K714" s="616"/>
      <c r="L714" s="102"/>
      <c r="M714" s="259"/>
      <c r="N714" s="102"/>
      <c r="O714" s="259"/>
      <c r="P714" s="102"/>
      <c r="Q714" s="259"/>
      <c r="R714" s="102">
        <f>F714+330</f>
        <v>1730</v>
      </c>
      <c r="S714" s="259">
        <f t="shared" si="2210"/>
        <v>1730</v>
      </c>
      <c r="T714" s="102">
        <f>F714+280</f>
        <v>1680</v>
      </c>
      <c r="U714" s="259">
        <f t="shared" si="2211"/>
        <v>1680</v>
      </c>
      <c r="V714" s="102">
        <f>F714+220</f>
        <v>1620</v>
      </c>
      <c r="W714" s="259">
        <f t="shared" si="2212"/>
        <v>1620</v>
      </c>
      <c r="X714" s="697"/>
      <c r="Y714" s="680"/>
      <c r="Z714" s="680"/>
      <c r="AA714" s="681"/>
      <c r="AB714" s="178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45" t="s">
        <v>628</v>
      </c>
      <c r="C715" s="646"/>
      <c r="D715" s="646"/>
      <c r="E715" s="646"/>
      <c r="F715" s="258">
        <v>1650</v>
      </c>
      <c r="G715" s="258">
        <f>+F715*$X$1</f>
        <v>1650</v>
      </c>
      <c r="H715" s="619"/>
      <c r="I715" s="619"/>
      <c r="J715" s="619"/>
      <c r="K715" s="619"/>
      <c r="L715" s="576"/>
      <c r="M715" s="258"/>
      <c r="N715" s="576"/>
      <c r="O715" s="258"/>
      <c r="P715" s="576"/>
      <c r="Q715" s="258"/>
      <c r="R715" s="576">
        <f>F715+330</f>
        <v>1980</v>
      </c>
      <c r="S715" s="258">
        <f t="shared" si="2210"/>
        <v>1980</v>
      </c>
      <c r="T715" s="576">
        <f>F715+280</f>
        <v>1930</v>
      </c>
      <c r="U715" s="258">
        <f t="shared" si="2211"/>
        <v>1930</v>
      </c>
      <c r="V715" s="576">
        <f>F715+220</f>
        <v>1870</v>
      </c>
      <c r="W715" s="258">
        <f t="shared" si="2212"/>
        <v>1870</v>
      </c>
      <c r="X715" s="697"/>
      <c r="Y715" s="849"/>
      <c r="Z715" s="849"/>
      <c r="AA715" s="681"/>
      <c r="AB715" s="178">
        <v>1004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54" t="s">
        <v>627</v>
      </c>
      <c r="C716" s="654"/>
      <c r="D716" s="654"/>
      <c r="E716" s="654"/>
      <c r="F716" s="257">
        <v>1650</v>
      </c>
      <c r="G716" s="257">
        <f>+F716*$X$1</f>
        <v>1650</v>
      </c>
      <c r="H716" s="270"/>
      <c r="I716" s="617"/>
      <c r="J716" s="617"/>
      <c r="K716" s="617"/>
      <c r="L716" s="559"/>
      <c r="M716" s="257"/>
      <c r="N716" s="559"/>
      <c r="O716" s="257"/>
      <c r="P716" s="559"/>
      <c r="Q716" s="257"/>
      <c r="R716" s="559">
        <f>F716+330</f>
        <v>1980</v>
      </c>
      <c r="S716" s="257">
        <f t="shared" si="2210"/>
        <v>1980</v>
      </c>
      <c r="T716" s="559">
        <f>F716+280</f>
        <v>1930</v>
      </c>
      <c r="U716" s="257">
        <f t="shared" si="2211"/>
        <v>1930</v>
      </c>
      <c r="V716" s="559">
        <f>F716+220</f>
        <v>1870</v>
      </c>
      <c r="W716" s="257">
        <f t="shared" si="2212"/>
        <v>1870</v>
      </c>
      <c r="X716" s="697"/>
      <c r="Y716" s="680"/>
      <c r="Z716" s="680"/>
      <c r="AA716" s="681"/>
      <c r="AB716" s="178">
        <v>1005</v>
      </c>
      <c r="AC716" s="4"/>
      <c r="AD716" s="4"/>
      <c r="AE716" s="4"/>
      <c r="AF716" s="4"/>
      <c r="AG716" s="4"/>
      <c r="AH716" s="116"/>
      <c r="AI716" s="4"/>
      <c r="AJ716" s="4"/>
      <c r="AK716" s="4"/>
      <c r="AL716" s="4"/>
    </row>
    <row r="717" spans="1:38" s="1" customFormat="1" ht="12.6" customHeight="1" x14ac:dyDescent="0.2">
      <c r="A717" s="18"/>
      <c r="B717" s="645" t="s">
        <v>195</v>
      </c>
      <c r="C717" s="646"/>
      <c r="D717" s="646"/>
      <c r="E717" s="646"/>
      <c r="F717" s="258"/>
      <c r="G717" s="258"/>
      <c r="H717" s="619"/>
      <c r="I717" s="619"/>
      <c r="J717" s="619"/>
      <c r="K717" s="619"/>
      <c r="L717" s="619"/>
      <c r="M717" s="619"/>
      <c r="N717" s="576"/>
      <c r="O717" s="258"/>
      <c r="P717" s="576"/>
      <c r="Q717" s="258"/>
      <c r="R717" s="576"/>
      <c r="S717" s="258"/>
      <c r="T717" s="576"/>
      <c r="U717" s="258"/>
      <c r="V717" s="576"/>
      <c r="W717" s="258"/>
      <c r="X717" s="697"/>
      <c r="Y717" s="680"/>
      <c r="Z717" s="680"/>
      <c r="AA717" s="681"/>
      <c r="AB717" s="178">
        <v>1006</v>
      </c>
      <c r="AC717" s="4"/>
      <c r="AD717" s="4"/>
      <c r="AE717" s="4"/>
      <c r="AF717" s="4"/>
      <c r="AG717" s="4"/>
      <c r="AH717" s="116"/>
      <c r="AI717" s="4"/>
      <c r="AJ717" s="4"/>
      <c r="AK717" s="4"/>
      <c r="AL717" s="4"/>
    </row>
    <row r="718" spans="1:38" s="1" customFormat="1" ht="12.6" customHeight="1" x14ac:dyDescent="0.2">
      <c r="A718" s="18"/>
      <c r="B718" s="654" t="s">
        <v>510</v>
      </c>
      <c r="C718" s="655"/>
      <c r="D718" s="655"/>
      <c r="E718" s="655"/>
      <c r="F718" s="257">
        <v>9700</v>
      </c>
      <c r="G718" s="257">
        <f t="shared" si="2204"/>
        <v>9700</v>
      </c>
      <c r="H718" s="559">
        <f>F718+3000</f>
        <v>12700</v>
      </c>
      <c r="I718" s="257">
        <f t="shared" ref="I718" si="2214">+H718*$X$1</f>
        <v>12700</v>
      </c>
      <c r="J718" s="559">
        <f>F718+900</f>
        <v>10600</v>
      </c>
      <c r="K718" s="257">
        <f t="shared" ref="K718" si="2215">+J718*$X$1</f>
        <v>10600</v>
      </c>
      <c r="L718" s="559">
        <f>F718+700</f>
        <v>10400</v>
      </c>
      <c r="M718" s="257">
        <f t="shared" ref="M718" si="2216">+L718*$X$1</f>
        <v>10400</v>
      </c>
      <c r="N718" s="559">
        <f>F718+500</f>
        <v>10200</v>
      </c>
      <c r="O718" s="257">
        <f t="shared" ref="O718" si="2217">+N718*$X$1</f>
        <v>10200</v>
      </c>
      <c r="P718" s="559">
        <f>F718+400</f>
        <v>10100</v>
      </c>
      <c r="Q718" s="257">
        <f t="shared" ref="Q718" si="2218">+P718*$X$1</f>
        <v>10100</v>
      </c>
      <c r="R718" s="559">
        <f>F718+330</f>
        <v>10030</v>
      </c>
      <c r="S718" s="257">
        <f t="shared" ref="S718" si="2219">+R718*$X$1</f>
        <v>10030</v>
      </c>
      <c r="T718" s="559">
        <f>F718+280</f>
        <v>9980</v>
      </c>
      <c r="U718" s="257">
        <f t="shared" ref="U718" si="2220">+T718*$X$1</f>
        <v>9980</v>
      </c>
      <c r="V718" s="559">
        <f>F718+220</f>
        <v>9920</v>
      </c>
      <c r="W718" s="257">
        <f t="shared" ref="W718" si="2221">+V718*$X$1</f>
        <v>9920</v>
      </c>
      <c r="X718" s="697"/>
      <c r="Y718" s="680"/>
      <c r="Z718" s="680"/>
      <c r="AA718" s="681"/>
      <c r="AB718" s="178">
        <v>1010</v>
      </c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96"/>
      <c r="C719" s="618"/>
      <c r="D719" s="618"/>
      <c r="E719" s="618"/>
      <c r="F719" s="298"/>
      <c r="G719" s="620"/>
      <c r="H719" s="106"/>
      <c r="I719" s="298"/>
      <c r="J719" s="106"/>
      <c r="K719" s="298"/>
      <c r="L719" s="106"/>
      <c r="M719" s="298"/>
      <c r="N719" s="106"/>
      <c r="O719" s="298"/>
      <c r="P719" s="106"/>
      <c r="Q719" s="298"/>
      <c r="R719" s="106"/>
      <c r="S719" s="298"/>
      <c r="T719" s="106"/>
      <c r="U719" s="298"/>
      <c r="V719" s="106"/>
      <c r="W719" s="298"/>
      <c r="X719" s="615"/>
      <c r="Y719" s="615"/>
      <c r="Z719" s="615"/>
      <c r="AA719" s="615"/>
      <c r="AB719" s="621"/>
      <c r="AC719" s="4"/>
      <c r="AD719" s="4"/>
      <c r="AE719" s="4"/>
      <c r="AF719" s="4"/>
      <c r="AG719" s="4"/>
      <c r="AH719" s="116"/>
      <c r="AI719" s="4"/>
      <c r="AJ719" s="4"/>
      <c r="AK719" s="4"/>
      <c r="AL719" s="4"/>
    </row>
    <row r="720" spans="1:38" s="1" customFormat="1" ht="12.6" customHeight="1" x14ac:dyDescent="0.2">
      <c r="A720" s="18"/>
      <c r="B720" s="496"/>
      <c r="C720" s="618"/>
      <c r="D720" s="618"/>
      <c r="E720" s="618"/>
      <c r="F720" s="298"/>
      <c r="G720" s="620"/>
      <c r="H720" s="106"/>
      <c r="I720" s="298"/>
      <c r="J720" s="106"/>
      <c r="K720" s="298"/>
      <c r="L720" s="106"/>
      <c r="M720" s="298"/>
      <c r="N720" s="106"/>
      <c r="O720" s="298"/>
      <c r="P720" s="106"/>
      <c r="Q720" s="298"/>
      <c r="R720" s="106"/>
      <c r="S720" s="298"/>
      <c r="T720" s="106"/>
      <c r="U720" s="298"/>
      <c r="V720" s="106"/>
      <c r="W720" s="298"/>
      <c r="X720" s="615"/>
      <c r="Y720" s="615"/>
      <c r="Z720" s="615"/>
      <c r="AA720" s="615"/>
      <c r="AB720" s="621"/>
      <c r="AC720" s="4"/>
      <c r="AD720" s="4"/>
      <c r="AE720" s="4"/>
      <c r="AF720" s="4"/>
      <c r="AG720" s="4"/>
      <c r="AH720" s="116"/>
      <c r="AI720" s="4"/>
      <c r="AJ720" s="4"/>
      <c r="AK720" s="4"/>
      <c r="AL720" s="4"/>
    </row>
    <row r="721" spans="1:38" s="1" customFormat="1" ht="12.6" customHeight="1" x14ac:dyDescent="0.2">
      <c r="A721" s="18"/>
      <c r="B721" s="496"/>
      <c r="C721" s="618"/>
      <c r="D721" s="618"/>
      <c r="E721" s="618"/>
      <c r="F721" s="298"/>
      <c r="G721" s="620"/>
      <c r="H721" s="106"/>
      <c r="I721" s="298"/>
      <c r="J721" s="106"/>
      <c r="K721" s="298"/>
      <c r="L721" s="106"/>
      <c r="M721" s="298"/>
      <c r="N721" s="106"/>
      <c r="O721" s="298"/>
      <c r="P721" s="106"/>
      <c r="Q721" s="298"/>
      <c r="R721" s="106"/>
      <c r="S721" s="298"/>
      <c r="T721" s="106"/>
      <c r="U721" s="298"/>
      <c r="V721" s="106"/>
      <c r="W721" s="298"/>
      <c r="X721" s="615"/>
      <c r="Y721" s="615"/>
      <c r="Z721" s="615"/>
      <c r="AA721" s="615"/>
      <c r="AB721" s="621"/>
      <c r="AC721" s="4"/>
      <c r="AD721" s="4"/>
      <c r="AE721" s="4"/>
      <c r="AF721" s="4"/>
      <c r="AG721" s="4"/>
      <c r="AH721" s="116"/>
      <c r="AI721" s="4"/>
      <c r="AJ721" s="4"/>
      <c r="AK721" s="4"/>
      <c r="AL721" s="4"/>
    </row>
    <row r="722" spans="1:38" ht="14.25" customHeight="1" x14ac:dyDescent="0.2">
      <c r="B722" s="808" t="s">
        <v>11</v>
      </c>
      <c r="C722" s="808" t="s">
        <v>12</v>
      </c>
      <c r="D722" s="809"/>
      <c r="E722" s="809"/>
      <c r="F722" s="729" t="s">
        <v>265</v>
      </c>
      <c r="G722" s="729" t="s">
        <v>13</v>
      </c>
      <c r="H722" s="700" t="s">
        <v>742</v>
      </c>
      <c r="I722" s="700"/>
      <c r="J722" s="701"/>
      <c r="K722" s="701"/>
      <c r="L722" s="701"/>
      <c r="M722" s="701"/>
      <c r="N722" s="701"/>
      <c r="O722" s="701"/>
      <c r="P722" s="701"/>
      <c r="Q722" s="701"/>
      <c r="R722" s="701"/>
      <c r="S722" s="701"/>
      <c r="T722" s="701"/>
      <c r="U722" s="701"/>
      <c r="V722" s="701"/>
      <c r="W722" s="701"/>
      <c r="X722" s="647" t="s">
        <v>14</v>
      </c>
      <c r="Y722" s="817"/>
      <c r="Z722" s="817"/>
      <c r="AA722" s="818"/>
      <c r="AB722" s="692" t="s">
        <v>15</v>
      </c>
      <c r="AF722" s="694" t="s">
        <v>3</v>
      </c>
      <c r="AG722" s="695"/>
      <c r="AH722" s="695"/>
    </row>
    <row r="723" spans="1:38" ht="12" customHeight="1" x14ac:dyDescent="0.2">
      <c r="B723" s="809"/>
      <c r="C723" s="809"/>
      <c r="D723" s="809"/>
      <c r="E723" s="809"/>
      <c r="F723" s="730"/>
      <c r="G723" s="730"/>
      <c r="H723" s="412"/>
      <c r="I723" s="413" t="s">
        <v>517</v>
      </c>
      <c r="J723" s="412"/>
      <c r="K723" s="413" t="s">
        <v>266</v>
      </c>
      <c r="L723" s="413"/>
      <c r="M723" s="413" t="s">
        <v>267</v>
      </c>
      <c r="N723" s="413"/>
      <c r="O723" s="413" t="s">
        <v>519</v>
      </c>
      <c r="P723" s="413"/>
      <c r="Q723" s="413" t="s">
        <v>17</v>
      </c>
      <c r="R723" s="413"/>
      <c r="S723" s="413" t="s">
        <v>18</v>
      </c>
      <c r="T723" s="413"/>
      <c r="U723" s="413" t="s">
        <v>19</v>
      </c>
      <c r="V723" s="413"/>
      <c r="W723" s="413" t="s">
        <v>520</v>
      </c>
      <c r="X723" s="819"/>
      <c r="Y723" s="820"/>
      <c r="Z723" s="820"/>
      <c r="AA723" s="821"/>
      <c r="AB723" s="693"/>
    </row>
    <row r="724" spans="1:38" s="1" customFormat="1" ht="12.6" customHeight="1" x14ac:dyDescent="0.2">
      <c r="A724" s="18"/>
      <c r="B724" s="645" t="s">
        <v>511</v>
      </c>
      <c r="C724" s="646"/>
      <c r="D724" s="646"/>
      <c r="E724" s="646"/>
      <c r="F724" s="258">
        <v>23995</v>
      </c>
      <c r="G724" s="258">
        <f>+F724*$X$1</f>
        <v>23995</v>
      </c>
      <c r="H724" s="576">
        <f>F724+3000</f>
        <v>26995</v>
      </c>
      <c r="I724" s="258">
        <f>+H724*$X$1</f>
        <v>26995</v>
      </c>
      <c r="J724" s="576">
        <f>F724+900</f>
        <v>24895</v>
      </c>
      <c r="K724" s="258">
        <f>+J724*$X$1</f>
        <v>24895</v>
      </c>
      <c r="L724" s="576">
        <f>F724+700</f>
        <v>24695</v>
      </c>
      <c r="M724" s="258">
        <f>+L724*$X$1</f>
        <v>24695</v>
      </c>
      <c r="N724" s="576">
        <f>F724+500</f>
        <v>24495</v>
      </c>
      <c r="O724" s="258">
        <f>+N724*$X$1</f>
        <v>24495</v>
      </c>
      <c r="P724" s="576">
        <f>F724+400</f>
        <v>24395</v>
      </c>
      <c r="Q724" s="258">
        <f>+P724*$X$1</f>
        <v>24395</v>
      </c>
      <c r="R724" s="576">
        <f>F724+330</f>
        <v>24325</v>
      </c>
      <c r="S724" s="258">
        <f>+R724*$X$1</f>
        <v>24325</v>
      </c>
      <c r="T724" s="576">
        <f>F724+280</f>
        <v>24275</v>
      </c>
      <c r="U724" s="258">
        <f>+T724*$X$1</f>
        <v>24275</v>
      </c>
      <c r="V724" s="576">
        <f>F724+220</f>
        <v>24215</v>
      </c>
      <c r="W724" s="258">
        <f>+V724*$X$1</f>
        <v>24215</v>
      </c>
      <c r="X724" s="697"/>
      <c r="Y724" s="680"/>
      <c r="Z724" s="680"/>
      <c r="AA724" s="681"/>
      <c r="AB724" s="178">
        <v>1011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s="1" customFormat="1" ht="12.6" customHeight="1" x14ac:dyDescent="0.2">
      <c r="A725" s="18"/>
      <c r="B725" s="824" t="s">
        <v>866</v>
      </c>
      <c r="C725" s="825"/>
      <c r="D725" s="825"/>
      <c r="E725" s="826"/>
      <c r="F725" s="302">
        <f>9.45*X2</f>
        <v>12190.499999999998</v>
      </c>
      <c r="G725" s="273">
        <f>+F725*$X$1</f>
        <v>12190.499999999998</v>
      </c>
      <c r="H725" s="93"/>
      <c r="I725" s="257"/>
      <c r="J725" s="559">
        <f>F725+2000</f>
        <v>14190.499999999998</v>
      </c>
      <c r="K725" s="257">
        <f t="shared" ref="K725" si="2222">+J725*$X$1</f>
        <v>14190.499999999998</v>
      </c>
      <c r="L725" s="559">
        <f>F725+1500</f>
        <v>13690.499999999998</v>
      </c>
      <c r="M725" s="257">
        <f t="shared" ref="M725:M726" si="2223">+L725*$X$1</f>
        <v>13690.499999999998</v>
      </c>
      <c r="N725" s="559">
        <f>F725+1200</f>
        <v>13390.499999999998</v>
      </c>
      <c r="O725" s="257">
        <f t="shared" ref="O725:O726" si="2224">+N725*$X$1</f>
        <v>13390.499999999998</v>
      </c>
      <c r="P725" s="559">
        <f>F725+1050</f>
        <v>13240.499999999998</v>
      </c>
      <c r="Q725" s="257">
        <f t="shared" ref="Q725:Q726" si="2225">+P725*$X$1</f>
        <v>13240.499999999998</v>
      </c>
      <c r="R725" s="559">
        <f>F725+950</f>
        <v>13140.499999999998</v>
      </c>
      <c r="S725" s="257">
        <f t="shared" ref="S725:S726" si="2226">+R725*$X$1</f>
        <v>13140.499999999998</v>
      </c>
      <c r="T725" s="559">
        <f>F725+800</f>
        <v>12990.499999999998</v>
      </c>
      <c r="U725" s="257">
        <f t="shared" ref="U725:U726" si="2227">+T725*$X$1</f>
        <v>12990.499999999998</v>
      </c>
      <c r="V725" s="559">
        <f>F725+650</f>
        <v>12840.499999999998</v>
      </c>
      <c r="W725" s="257">
        <f t="shared" ref="W725:W726" si="2228">+V725*$X$1</f>
        <v>12840.499999999998</v>
      </c>
      <c r="X725" s="697"/>
      <c r="Y725" s="680"/>
      <c r="Z725" s="680"/>
      <c r="AA725" s="681"/>
      <c r="AB725" s="178">
        <v>1020</v>
      </c>
      <c r="AC725" s="4"/>
      <c r="AD725" s="4"/>
      <c r="AE725" s="4"/>
      <c r="AF725" s="4"/>
      <c r="AG725" s="4"/>
      <c r="AH725" s="116"/>
      <c r="AI725" s="4"/>
      <c r="AJ725" s="4"/>
      <c r="AK725" s="4"/>
      <c r="AL725" s="4"/>
    </row>
    <row r="726" spans="1:38" ht="12.6" customHeight="1" x14ac:dyDescent="0.2">
      <c r="B726" s="803" t="s">
        <v>597</v>
      </c>
      <c r="C726" s="803"/>
      <c r="D726" s="803"/>
      <c r="E726" s="803"/>
      <c r="F726" s="258">
        <f>3.04*X2</f>
        <v>3921.6</v>
      </c>
      <c r="G726" s="258">
        <f t="shared" si="2204"/>
        <v>3921.6</v>
      </c>
      <c r="H726" s="95"/>
      <c r="I726" s="95"/>
      <c r="J726" s="251"/>
      <c r="K726" s="251"/>
      <c r="L726" s="576">
        <f>F726+700</f>
        <v>4621.6000000000004</v>
      </c>
      <c r="M726" s="258">
        <f t="shared" si="2223"/>
        <v>4621.6000000000004</v>
      </c>
      <c r="N726" s="576">
        <f>F726+500</f>
        <v>4421.6000000000004</v>
      </c>
      <c r="O726" s="258">
        <f t="shared" si="2224"/>
        <v>4421.6000000000004</v>
      </c>
      <c r="P726" s="576">
        <f>F726+400</f>
        <v>4321.6000000000004</v>
      </c>
      <c r="Q726" s="258">
        <f t="shared" si="2225"/>
        <v>4321.6000000000004</v>
      </c>
      <c r="R726" s="576">
        <f>F726+330</f>
        <v>4251.6000000000004</v>
      </c>
      <c r="S726" s="258">
        <f t="shared" si="2226"/>
        <v>4251.6000000000004</v>
      </c>
      <c r="T726" s="576">
        <f>F726+280</f>
        <v>4201.6000000000004</v>
      </c>
      <c r="U726" s="258">
        <f t="shared" si="2227"/>
        <v>4201.6000000000004</v>
      </c>
      <c r="V726" s="576">
        <f>F726+220</f>
        <v>4141.6000000000004</v>
      </c>
      <c r="W726" s="258">
        <f t="shared" si="2228"/>
        <v>4141.6000000000004</v>
      </c>
      <c r="X726" s="374"/>
      <c r="Y726" s="124"/>
      <c r="Z726" s="122"/>
      <c r="AA726" s="125"/>
      <c r="AB726" s="372" t="s">
        <v>598</v>
      </c>
    </row>
    <row r="727" spans="1:38" ht="12.6" customHeight="1" x14ac:dyDescent="0.2">
      <c r="B727" s="802" t="s">
        <v>447</v>
      </c>
      <c r="C727" s="802"/>
      <c r="D727" s="802"/>
      <c r="E727" s="802"/>
      <c r="F727" s="257">
        <f>4.1*X2</f>
        <v>5288.9999999999991</v>
      </c>
      <c r="G727" s="257">
        <f t="shared" si="2204"/>
        <v>5288.9999999999991</v>
      </c>
      <c r="H727" s="91"/>
      <c r="I727" s="91"/>
      <c r="J727" s="559">
        <f>F727+1000</f>
        <v>6288.9999999999991</v>
      </c>
      <c r="K727" s="257">
        <f t="shared" ref="K727:K730" si="2229">+J727*$X$1</f>
        <v>6288.9999999999991</v>
      </c>
      <c r="L727" s="559">
        <f>F727+600</f>
        <v>5888.9999999999991</v>
      </c>
      <c r="M727" s="257">
        <f t="shared" ref="M727:M730" si="2230">+L727*$X$1</f>
        <v>5888.9999999999991</v>
      </c>
      <c r="N727" s="559">
        <f>F727+380</f>
        <v>5668.9999999999991</v>
      </c>
      <c r="O727" s="257">
        <f t="shared" ref="O727:O730" si="2231">+N727*$X$1</f>
        <v>5668.9999999999991</v>
      </c>
      <c r="P727" s="559">
        <f>F727+270</f>
        <v>5558.9999999999991</v>
      </c>
      <c r="Q727" s="257">
        <f t="shared" ref="Q727:Q730" si="2232">+P727*$X$1</f>
        <v>5558.9999999999991</v>
      </c>
      <c r="R727" s="559">
        <f>F727+180</f>
        <v>5468.9999999999991</v>
      </c>
      <c r="S727" s="257">
        <f t="shared" ref="S727:S730" si="2233">+R727*$X$1</f>
        <v>5468.9999999999991</v>
      </c>
      <c r="T727" s="559">
        <f>F727+140</f>
        <v>5428.9999999999991</v>
      </c>
      <c r="U727" s="257">
        <f t="shared" ref="U727:U730" si="2234">+T727*$X$1</f>
        <v>5428.9999999999991</v>
      </c>
      <c r="V727" s="559">
        <f>F727+110</f>
        <v>5398.9999999999991</v>
      </c>
      <c r="W727" s="257">
        <f t="shared" ref="W727:W730" si="2235">+V727*$X$1</f>
        <v>5398.9999999999991</v>
      </c>
      <c r="X727" s="216"/>
      <c r="Y727" s="124"/>
      <c r="Z727" s="122"/>
      <c r="AA727" s="125"/>
      <c r="AB727" s="372" t="s">
        <v>382</v>
      </c>
    </row>
    <row r="728" spans="1:38" s="1" customFormat="1" ht="12.6" customHeight="1" x14ac:dyDescent="0.2">
      <c r="A728" s="18"/>
      <c r="B728" s="696" t="s">
        <v>987</v>
      </c>
      <c r="C728" s="636"/>
      <c r="D728" s="636"/>
      <c r="E728" s="637"/>
      <c r="F728" s="258">
        <f>12.67*X2</f>
        <v>16344.3</v>
      </c>
      <c r="G728" s="258">
        <f t="shared" ref="G728" si="2236">+F728*$X$1</f>
        <v>16344.3</v>
      </c>
      <c r="H728" s="576">
        <f>F728+3000</f>
        <v>19344.3</v>
      </c>
      <c r="I728" s="258">
        <f t="shared" ref="I728" si="2237">+H728*$X$1</f>
        <v>19344.3</v>
      </c>
      <c r="J728" s="576">
        <f>F728+900</f>
        <v>17244.3</v>
      </c>
      <c r="K728" s="258">
        <f t="shared" ref="K728" si="2238">+J728*$X$1</f>
        <v>17244.3</v>
      </c>
      <c r="L728" s="576">
        <f>F728+700</f>
        <v>17044.3</v>
      </c>
      <c r="M728" s="258">
        <f t="shared" ref="M728" si="2239">+L728*$X$1</f>
        <v>17044.3</v>
      </c>
      <c r="N728" s="576">
        <f>F728+500</f>
        <v>16844.3</v>
      </c>
      <c r="O728" s="258">
        <f t="shared" ref="O728" si="2240">+N728*$X$1</f>
        <v>16844.3</v>
      </c>
      <c r="P728" s="576">
        <f>F728+400</f>
        <v>16744.3</v>
      </c>
      <c r="Q728" s="258">
        <f t="shared" ref="Q728" si="2241">+P728*$X$1</f>
        <v>16744.3</v>
      </c>
      <c r="R728" s="576">
        <f>F728+330</f>
        <v>16674.3</v>
      </c>
      <c r="S728" s="258">
        <f t="shared" ref="S728" si="2242">+R728*$X$1</f>
        <v>16674.3</v>
      </c>
      <c r="T728" s="576">
        <f>F728+280</f>
        <v>16624.3</v>
      </c>
      <c r="U728" s="258">
        <f t="shared" ref="U728" si="2243">+T728*$X$1</f>
        <v>16624.3</v>
      </c>
      <c r="V728" s="576">
        <f>F728+220</f>
        <v>16564.3</v>
      </c>
      <c r="W728" s="258">
        <f t="shared" ref="W728" si="2244">+V728*$X$1</f>
        <v>16564.3</v>
      </c>
      <c r="X728" s="697"/>
      <c r="Y728" s="680"/>
      <c r="Z728" s="680"/>
      <c r="AA728" s="681"/>
      <c r="AB728" s="178">
        <v>10505</v>
      </c>
      <c r="AC728" s="4"/>
      <c r="AD728" s="4"/>
      <c r="AE728" s="4"/>
      <c r="AF728" s="4"/>
      <c r="AG728" s="4"/>
      <c r="AH728" s="116"/>
      <c r="AI728" s="4"/>
      <c r="AJ728" s="4"/>
      <c r="AK728" s="4"/>
      <c r="AL728" s="4"/>
    </row>
    <row r="729" spans="1:38" s="1" customFormat="1" ht="12.6" customHeight="1" x14ac:dyDescent="0.2">
      <c r="A729" s="18"/>
      <c r="B729" s="659" t="s">
        <v>864</v>
      </c>
      <c r="C729" s="707"/>
      <c r="D729" s="707"/>
      <c r="E729" s="708"/>
      <c r="F729" s="257">
        <f>22.49*X2</f>
        <v>29012.1</v>
      </c>
      <c r="G729" s="257">
        <f t="shared" ref="G729" si="2245">+F729*$X$1</f>
        <v>29012.1</v>
      </c>
      <c r="H729" s="559">
        <f>F729+3000</f>
        <v>32012.1</v>
      </c>
      <c r="I729" s="257">
        <f t="shared" ref="I729:I730" si="2246">+H729*$X$1</f>
        <v>32012.1</v>
      </c>
      <c r="J729" s="559">
        <f>F729+900</f>
        <v>29912.1</v>
      </c>
      <c r="K729" s="257">
        <f t="shared" si="2229"/>
        <v>29912.1</v>
      </c>
      <c r="L729" s="559">
        <f>F729+700</f>
        <v>29712.1</v>
      </c>
      <c r="M729" s="257">
        <f t="shared" si="2230"/>
        <v>29712.1</v>
      </c>
      <c r="N729" s="559">
        <f>F729+500</f>
        <v>29512.1</v>
      </c>
      <c r="O729" s="257">
        <f t="shared" si="2231"/>
        <v>29512.1</v>
      </c>
      <c r="P729" s="559">
        <f>F729+400</f>
        <v>29412.1</v>
      </c>
      <c r="Q729" s="257">
        <f t="shared" si="2232"/>
        <v>29412.1</v>
      </c>
      <c r="R729" s="559">
        <f>F729+330</f>
        <v>29342.1</v>
      </c>
      <c r="S729" s="257">
        <f t="shared" si="2233"/>
        <v>29342.1</v>
      </c>
      <c r="T729" s="559">
        <f>F729+280</f>
        <v>29292.1</v>
      </c>
      <c r="U729" s="257">
        <f t="shared" si="2234"/>
        <v>29292.1</v>
      </c>
      <c r="V729" s="559">
        <f>F729+220</f>
        <v>29232.1</v>
      </c>
      <c r="W729" s="257">
        <f t="shared" si="2235"/>
        <v>29232.1</v>
      </c>
      <c r="X729" s="697"/>
      <c r="Y729" s="680"/>
      <c r="Z729" s="680"/>
      <c r="AA729" s="681"/>
      <c r="AB729" s="178">
        <v>10506</v>
      </c>
      <c r="AC729" s="4"/>
      <c r="AD729" s="4"/>
      <c r="AE729" s="4"/>
      <c r="AF729" s="4"/>
      <c r="AG729" s="4"/>
      <c r="AH729" s="116"/>
      <c r="AI729" s="4"/>
      <c r="AJ729" s="4"/>
      <c r="AK729" s="4"/>
      <c r="AL729" s="4"/>
    </row>
    <row r="730" spans="1:38" s="1" customFormat="1" ht="12.6" customHeight="1" x14ac:dyDescent="0.2">
      <c r="A730" s="18"/>
      <c r="B730" s="656" t="s">
        <v>840</v>
      </c>
      <c r="C730" s="669"/>
      <c r="D730" s="669"/>
      <c r="E730" s="670"/>
      <c r="F730" s="258">
        <f>29.6*X2</f>
        <v>38184</v>
      </c>
      <c r="G730" s="258">
        <f t="shared" si="2204"/>
        <v>38184</v>
      </c>
      <c r="H730" s="576">
        <f>F730+3000</f>
        <v>41184</v>
      </c>
      <c r="I730" s="258">
        <f t="shared" si="2246"/>
        <v>41184</v>
      </c>
      <c r="J730" s="576">
        <f>F730+900</f>
        <v>39084</v>
      </c>
      <c r="K730" s="258">
        <f t="shared" si="2229"/>
        <v>39084</v>
      </c>
      <c r="L730" s="576">
        <f>F730+700</f>
        <v>38884</v>
      </c>
      <c r="M730" s="258">
        <f t="shared" si="2230"/>
        <v>38884</v>
      </c>
      <c r="N730" s="576">
        <f>F730+500</f>
        <v>38684</v>
      </c>
      <c r="O730" s="258">
        <f t="shared" si="2231"/>
        <v>38684</v>
      </c>
      <c r="P730" s="576">
        <f>F730+400</f>
        <v>38584</v>
      </c>
      <c r="Q730" s="258">
        <f t="shared" si="2232"/>
        <v>38584</v>
      </c>
      <c r="R730" s="576">
        <f>F730+330</f>
        <v>38514</v>
      </c>
      <c r="S730" s="258">
        <f t="shared" si="2233"/>
        <v>38514</v>
      </c>
      <c r="T730" s="576">
        <f>F730+280</f>
        <v>38464</v>
      </c>
      <c r="U730" s="258">
        <f t="shared" si="2234"/>
        <v>38464</v>
      </c>
      <c r="V730" s="576">
        <f>F730+220</f>
        <v>38404</v>
      </c>
      <c r="W730" s="258">
        <f t="shared" si="2235"/>
        <v>38404</v>
      </c>
      <c r="X730" s="697"/>
      <c r="Y730" s="680"/>
      <c r="Z730" s="680"/>
      <c r="AA730" s="681"/>
      <c r="AB730" s="178">
        <v>10507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96" t="s">
        <v>988</v>
      </c>
      <c r="C731" s="636"/>
      <c r="D731" s="636"/>
      <c r="E731" s="637"/>
      <c r="F731" s="257">
        <f>27*X2</f>
        <v>34830</v>
      </c>
      <c r="G731" s="257">
        <f t="shared" ref="G731" si="2247">+F731*$X$1</f>
        <v>34830</v>
      </c>
      <c r="H731" s="559">
        <f>F731+6000</f>
        <v>40830</v>
      </c>
      <c r="I731" s="257">
        <f t="shared" ref="I731" si="2248">+H731*$X$1</f>
        <v>40830</v>
      </c>
      <c r="J731" s="559">
        <f>F731+3000</f>
        <v>37830</v>
      </c>
      <c r="K731" s="257">
        <f t="shared" ref="K731" si="2249">+J731*$X$1</f>
        <v>37830</v>
      </c>
      <c r="L731" s="559">
        <f>F731+2000</f>
        <v>36830</v>
      </c>
      <c r="M731" s="257">
        <f t="shared" ref="M731" si="2250">+L731*$X$1</f>
        <v>36830</v>
      </c>
      <c r="N731" s="559">
        <f>F731+1800</f>
        <v>36630</v>
      </c>
      <c r="O731" s="257">
        <f t="shared" ref="O731" si="2251">+N731*$X$1</f>
        <v>36630</v>
      </c>
      <c r="P731" s="559">
        <f>F731+1600</f>
        <v>36430</v>
      </c>
      <c r="Q731" s="257">
        <f t="shared" ref="Q731" si="2252">+P731*$X$1</f>
        <v>36430</v>
      </c>
      <c r="R731" s="559">
        <f>F731+1400</f>
        <v>36230</v>
      </c>
      <c r="S731" s="257">
        <f t="shared" ref="S731" si="2253">+R731*$X$1</f>
        <v>36230</v>
      </c>
      <c r="T731" s="559">
        <f>F731+1200</f>
        <v>36030</v>
      </c>
      <c r="U731" s="257">
        <f t="shared" ref="U731" si="2254">+T731*$X$1</f>
        <v>36030</v>
      </c>
      <c r="V731" s="559">
        <f>F731+900</f>
        <v>35730</v>
      </c>
      <c r="W731" s="257">
        <f t="shared" ref="W731" si="2255">+V731*$X$1</f>
        <v>35730</v>
      </c>
      <c r="X731" s="697"/>
      <c r="Y731" s="680"/>
      <c r="Z731" s="680"/>
      <c r="AA731" s="681"/>
      <c r="AB731" s="178">
        <v>10508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ht="12.6" customHeight="1" x14ac:dyDescent="0.2">
      <c r="A732" s="10"/>
      <c r="B732" s="850" t="s">
        <v>283</v>
      </c>
      <c r="C732" s="850"/>
      <c r="D732" s="850"/>
      <c r="E732" s="850"/>
      <c r="F732" s="258">
        <f>35.1*X2</f>
        <v>45279</v>
      </c>
      <c r="G732" s="258">
        <f t="shared" ref="G732" si="2256">+F732*$X$1</f>
        <v>45279</v>
      </c>
      <c r="H732" s="95"/>
      <c r="I732" s="95"/>
      <c r="J732" s="82">
        <f>F732+900</f>
        <v>46179</v>
      </c>
      <c r="K732" s="258">
        <f>+J732*$X$1</f>
        <v>46179</v>
      </c>
      <c r="L732" s="576">
        <f>F732+500</f>
        <v>45779</v>
      </c>
      <c r="M732" s="258">
        <f t="shared" ref="M732" si="2257">+L732*$X$1</f>
        <v>45779</v>
      </c>
      <c r="N732" s="576">
        <f>F732+300</f>
        <v>45579</v>
      </c>
      <c r="O732" s="258">
        <f t="shared" ref="O732" si="2258">+N732*$X$1</f>
        <v>45579</v>
      </c>
      <c r="P732" s="576">
        <f>F732+190</f>
        <v>45469</v>
      </c>
      <c r="Q732" s="258">
        <f t="shared" ref="Q732" si="2259">+P732*$X$1</f>
        <v>45469</v>
      </c>
      <c r="R732" s="576">
        <f>F732+150</f>
        <v>45429</v>
      </c>
      <c r="S732" s="258">
        <f t="shared" ref="S732" si="2260">+R732*$X$1</f>
        <v>45429</v>
      </c>
      <c r="T732" s="576">
        <f>F732+120</f>
        <v>45399</v>
      </c>
      <c r="U732" s="258">
        <f t="shared" ref="U732" si="2261">+T732*$X$1</f>
        <v>45399</v>
      </c>
      <c r="V732" s="576"/>
      <c r="W732" s="258"/>
      <c r="X732" s="122"/>
      <c r="Y732" s="126"/>
      <c r="Z732" s="122"/>
      <c r="AA732" s="125"/>
      <c r="AB732" s="372" t="s">
        <v>395</v>
      </c>
    </row>
    <row r="733" spans="1:38" ht="12.6" customHeight="1" x14ac:dyDescent="0.2">
      <c r="A733" s="10"/>
      <c r="B733" s="934" t="s">
        <v>394</v>
      </c>
      <c r="C733" s="934"/>
      <c r="D733" s="934"/>
      <c r="E733" s="934"/>
      <c r="F733" s="257"/>
      <c r="G733" s="257"/>
      <c r="H733" s="91"/>
      <c r="I733" s="91"/>
      <c r="J733" s="559"/>
      <c r="K733" s="257"/>
      <c r="L733" s="559"/>
      <c r="M733" s="257"/>
      <c r="N733" s="559"/>
      <c r="O733" s="257"/>
      <c r="P733" s="559"/>
      <c r="Q733" s="257"/>
      <c r="R733" s="559"/>
      <c r="S733" s="257"/>
      <c r="T733" s="559"/>
      <c r="U733" s="257"/>
      <c r="V733" s="587"/>
      <c r="W733" s="509"/>
      <c r="X733" s="122"/>
      <c r="Y733" s="126"/>
      <c r="Z733" s="122"/>
      <c r="AA733" s="125"/>
      <c r="AB733" s="372" t="s">
        <v>284</v>
      </c>
    </row>
    <row r="734" spans="1:38" s="1" customFormat="1" ht="12.6" customHeight="1" x14ac:dyDescent="0.2">
      <c r="A734" s="18"/>
      <c r="B734" s="645" t="s">
        <v>925</v>
      </c>
      <c r="C734" s="646"/>
      <c r="D734" s="646"/>
      <c r="E734" s="646"/>
      <c r="F734" s="258">
        <v>25940</v>
      </c>
      <c r="G734" s="258">
        <f t="shared" ref="G734" si="2262">+F734*$X$1</f>
        <v>25940</v>
      </c>
      <c r="H734" s="576"/>
      <c r="I734" s="258"/>
      <c r="J734" s="82"/>
      <c r="K734" s="258"/>
      <c r="L734" s="576">
        <f>F734+600</f>
        <v>26540</v>
      </c>
      <c r="M734" s="258">
        <f t="shared" ref="M734:M735" si="2263">+L734*$X$1</f>
        <v>26540</v>
      </c>
      <c r="N734" s="576">
        <f>F734+380</f>
        <v>26320</v>
      </c>
      <c r="O734" s="258">
        <f t="shared" ref="O734:O735" si="2264">+N734*$X$1</f>
        <v>26320</v>
      </c>
      <c r="P734" s="576">
        <f>F734+270</f>
        <v>26210</v>
      </c>
      <c r="Q734" s="258">
        <f t="shared" ref="Q734:Q735" si="2265">+P734*$X$1</f>
        <v>26210</v>
      </c>
      <c r="R734" s="576">
        <f>F734+180</f>
        <v>26120</v>
      </c>
      <c r="S734" s="258">
        <f t="shared" ref="S734:S735" si="2266">+R734*$X$1</f>
        <v>26120</v>
      </c>
      <c r="T734" s="576">
        <f>F734+140</f>
        <v>26080</v>
      </c>
      <c r="U734" s="258">
        <f t="shared" ref="U734:U735" si="2267">+T734*$X$1</f>
        <v>26080</v>
      </c>
      <c r="V734" s="576">
        <f>F734+110</f>
        <v>26050</v>
      </c>
      <c r="W734" s="258">
        <f t="shared" ref="W734:W735" si="2268">+V734*$X$1</f>
        <v>26050</v>
      </c>
      <c r="X734" s="697"/>
      <c r="Y734" s="680"/>
      <c r="Z734" s="680"/>
      <c r="AA734" s="681"/>
      <c r="AB734" s="178" t="s">
        <v>780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s="1" customFormat="1" ht="12.6" customHeight="1" x14ac:dyDescent="0.2">
      <c r="A735" s="18"/>
      <c r="B735" s="654" t="s">
        <v>924</v>
      </c>
      <c r="C735" s="655"/>
      <c r="D735" s="655"/>
      <c r="E735" s="655"/>
      <c r="F735" s="257">
        <v>14073</v>
      </c>
      <c r="G735" s="257">
        <f t="shared" ref="G735" si="2269">+F735*$X$1</f>
        <v>14073</v>
      </c>
      <c r="H735" s="559"/>
      <c r="I735" s="257"/>
      <c r="J735" s="68"/>
      <c r="K735" s="257"/>
      <c r="L735" s="559">
        <f>F735+600</f>
        <v>14673</v>
      </c>
      <c r="M735" s="257">
        <f t="shared" si="2263"/>
        <v>14673</v>
      </c>
      <c r="N735" s="559">
        <f>F735+380</f>
        <v>14453</v>
      </c>
      <c r="O735" s="257">
        <f t="shared" si="2264"/>
        <v>14453</v>
      </c>
      <c r="P735" s="559">
        <f>F735+270</f>
        <v>14343</v>
      </c>
      <c r="Q735" s="257">
        <f t="shared" si="2265"/>
        <v>14343</v>
      </c>
      <c r="R735" s="559">
        <f>F735+180</f>
        <v>14253</v>
      </c>
      <c r="S735" s="257">
        <f t="shared" si="2266"/>
        <v>14253</v>
      </c>
      <c r="T735" s="559">
        <f>F735+140</f>
        <v>14213</v>
      </c>
      <c r="U735" s="257">
        <f t="shared" si="2267"/>
        <v>14213</v>
      </c>
      <c r="V735" s="559">
        <f>F735+110</f>
        <v>14183</v>
      </c>
      <c r="W735" s="257">
        <f t="shared" si="2268"/>
        <v>14183</v>
      </c>
      <c r="X735" s="697"/>
      <c r="Y735" s="680"/>
      <c r="Z735" s="680"/>
      <c r="AA735" s="681"/>
      <c r="AB735" s="178" t="s">
        <v>781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ht="12.6" customHeight="1" x14ac:dyDescent="0.2">
      <c r="A736" s="188"/>
      <c r="B736" s="803" t="s">
        <v>490</v>
      </c>
      <c r="C736" s="646"/>
      <c r="D736" s="646"/>
      <c r="E736" s="646"/>
      <c r="F736" s="258">
        <v>18624</v>
      </c>
      <c r="G736" s="258">
        <f t="shared" ref="G736" si="2270">+F736*$X$1</f>
        <v>18624</v>
      </c>
      <c r="H736" s="251"/>
      <c r="I736" s="251"/>
      <c r="J736" s="576">
        <f>F736+1000</f>
        <v>19624</v>
      </c>
      <c r="K736" s="258">
        <f t="shared" ref="K736" si="2271">+J736*$X$1</f>
        <v>19624</v>
      </c>
      <c r="L736" s="576">
        <f t="shared" ref="L736" si="2272">F736+800</f>
        <v>19424</v>
      </c>
      <c r="M736" s="258">
        <f t="shared" ref="M736:M739" si="2273">+L736*$X$1</f>
        <v>19424</v>
      </c>
      <c r="N736" s="576">
        <f t="shared" ref="N736" si="2274">F736+700</f>
        <v>19324</v>
      </c>
      <c r="O736" s="258">
        <f t="shared" ref="O736:O739" si="2275">+N736*$X$1</f>
        <v>19324</v>
      </c>
      <c r="P736" s="576">
        <f t="shared" ref="P736" si="2276">F736+600</f>
        <v>19224</v>
      </c>
      <c r="Q736" s="258">
        <f t="shared" ref="Q736:Q739" si="2277">+P736*$X$1</f>
        <v>19224</v>
      </c>
      <c r="R736" s="576">
        <f t="shared" ref="R736" si="2278">F736+500</f>
        <v>19124</v>
      </c>
      <c r="S736" s="258">
        <f t="shared" ref="S736:S739" si="2279">+R736*$X$1</f>
        <v>19124</v>
      </c>
      <c r="T736" s="576">
        <f t="shared" ref="T736" si="2280">F736+450</f>
        <v>19074</v>
      </c>
      <c r="U736" s="258">
        <f t="shared" ref="U736:U739" si="2281">+T736*$X$1</f>
        <v>19074</v>
      </c>
      <c r="V736" s="588"/>
      <c r="W736" s="258"/>
      <c r="X736" s="275"/>
      <c r="Y736" s="275"/>
      <c r="Z736" s="275"/>
      <c r="AA736" s="275"/>
      <c r="AB736" s="372" t="s">
        <v>602</v>
      </c>
    </row>
    <row r="737" spans="1:34" ht="12.6" customHeight="1" x14ac:dyDescent="0.2">
      <c r="A737" s="188"/>
      <c r="B737" s="813" t="s">
        <v>378</v>
      </c>
      <c r="C737" s="714"/>
      <c r="D737" s="714"/>
      <c r="E737" s="714"/>
      <c r="F737" s="257">
        <v>20890</v>
      </c>
      <c r="G737" s="257">
        <f t="shared" ref="G737:G742" si="2282">+F737*$X$1</f>
        <v>20890</v>
      </c>
      <c r="H737" s="252"/>
      <c r="I737" s="252"/>
      <c r="J737" s="559"/>
      <c r="K737" s="257"/>
      <c r="L737" s="559">
        <f>F737+600</f>
        <v>21490</v>
      </c>
      <c r="M737" s="257">
        <f t="shared" si="2273"/>
        <v>21490</v>
      </c>
      <c r="N737" s="559">
        <f>F737+380</f>
        <v>21270</v>
      </c>
      <c r="O737" s="257">
        <f t="shared" si="2275"/>
        <v>21270</v>
      </c>
      <c r="P737" s="559">
        <f>F737+270</f>
        <v>21160</v>
      </c>
      <c r="Q737" s="257">
        <f t="shared" si="2277"/>
        <v>21160</v>
      </c>
      <c r="R737" s="559">
        <f>F737+180</f>
        <v>21070</v>
      </c>
      <c r="S737" s="257">
        <f t="shared" si="2279"/>
        <v>21070</v>
      </c>
      <c r="T737" s="559">
        <f>F737+140</f>
        <v>21030</v>
      </c>
      <c r="U737" s="257">
        <f t="shared" si="2281"/>
        <v>21030</v>
      </c>
      <c r="V737" s="559">
        <f>F737+110</f>
        <v>21000</v>
      </c>
      <c r="W737" s="257">
        <f t="shared" ref="W737:W739" si="2283">+V737*$X$1</f>
        <v>21000</v>
      </c>
      <c r="X737" s="139"/>
      <c r="Y737" s="139"/>
      <c r="Z737" s="139"/>
      <c r="AA737" s="139"/>
      <c r="AB737" s="372" t="s">
        <v>381</v>
      </c>
    </row>
    <row r="738" spans="1:34" ht="12.6" customHeight="1" x14ac:dyDescent="0.2">
      <c r="A738" s="188"/>
      <c r="B738" s="816" t="s">
        <v>489</v>
      </c>
      <c r="C738" s="797"/>
      <c r="D738" s="797"/>
      <c r="E738" s="797"/>
      <c r="F738" s="258">
        <v>21780</v>
      </c>
      <c r="G738" s="258">
        <f t="shared" ref="G738:G739" si="2284">+F738*$X$1</f>
        <v>21780</v>
      </c>
      <c r="H738" s="576">
        <f>F738+3000</f>
        <v>24780</v>
      </c>
      <c r="I738" s="258">
        <f t="shared" ref="I738" si="2285">+H738*$X$1</f>
        <v>24780</v>
      </c>
      <c r="J738" s="576">
        <f t="shared" ref="J738:J744" si="2286">F738+1000</f>
        <v>22780</v>
      </c>
      <c r="K738" s="258">
        <f t="shared" ref="K738" si="2287">+J738*$X$1</f>
        <v>22780</v>
      </c>
      <c r="L738" s="576">
        <f>F738+600</f>
        <v>22380</v>
      </c>
      <c r="M738" s="258">
        <f t="shared" si="2273"/>
        <v>22380</v>
      </c>
      <c r="N738" s="576">
        <f>F738+380</f>
        <v>22160</v>
      </c>
      <c r="O738" s="258">
        <f t="shared" si="2275"/>
        <v>22160</v>
      </c>
      <c r="P738" s="576">
        <f>F738+270</f>
        <v>22050</v>
      </c>
      <c r="Q738" s="258">
        <f t="shared" si="2277"/>
        <v>22050</v>
      </c>
      <c r="R738" s="576">
        <f>F738+180</f>
        <v>21960</v>
      </c>
      <c r="S738" s="258">
        <f t="shared" si="2279"/>
        <v>21960</v>
      </c>
      <c r="T738" s="576">
        <f>F738+140</f>
        <v>21920</v>
      </c>
      <c r="U738" s="258">
        <f t="shared" si="2281"/>
        <v>21920</v>
      </c>
      <c r="V738" s="576">
        <f>F738+110</f>
        <v>21890</v>
      </c>
      <c r="W738" s="258">
        <f t="shared" si="2283"/>
        <v>21890</v>
      </c>
      <c r="X738" s="275"/>
      <c r="Y738" s="275"/>
      <c r="Z738" s="275"/>
      <c r="AA738" s="275"/>
      <c r="AB738" s="372" t="s">
        <v>491</v>
      </c>
    </row>
    <row r="739" spans="1:34" ht="12.6" customHeight="1" x14ac:dyDescent="0.2">
      <c r="A739" s="188"/>
      <c r="B739" s="813" t="s">
        <v>696</v>
      </c>
      <c r="C739" s="714"/>
      <c r="D739" s="714"/>
      <c r="E739" s="714"/>
      <c r="F739" s="257">
        <v>21603</v>
      </c>
      <c r="G739" s="257">
        <f t="shared" si="2284"/>
        <v>21603</v>
      </c>
      <c r="H739" s="559">
        <f>F739+3000</f>
        <v>24603</v>
      </c>
      <c r="I739" s="257">
        <f t="shared" ref="I739" si="2288">+H739*$X$1</f>
        <v>24603</v>
      </c>
      <c r="J739" s="559">
        <f t="shared" si="2286"/>
        <v>22603</v>
      </c>
      <c r="K739" s="257">
        <f t="shared" ref="K739:K744" si="2289">+J739*$X$1</f>
        <v>22603</v>
      </c>
      <c r="L739" s="559">
        <f>F739+600</f>
        <v>22203</v>
      </c>
      <c r="M739" s="257">
        <f t="shared" si="2273"/>
        <v>22203</v>
      </c>
      <c r="N739" s="559">
        <f>F739+380</f>
        <v>21983</v>
      </c>
      <c r="O739" s="257">
        <f t="shared" si="2275"/>
        <v>21983</v>
      </c>
      <c r="P739" s="559">
        <f>F739+270</f>
        <v>21873</v>
      </c>
      <c r="Q739" s="257">
        <f t="shared" si="2277"/>
        <v>21873</v>
      </c>
      <c r="R739" s="559">
        <f>F739+180</f>
        <v>21783</v>
      </c>
      <c r="S739" s="257">
        <f t="shared" si="2279"/>
        <v>21783</v>
      </c>
      <c r="T739" s="559">
        <f>F739+140</f>
        <v>21743</v>
      </c>
      <c r="U739" s="257">
        <f t="shared" si="2281"/>
        <v>21743</v>
      </c>
      <c r="V739" s="559">
        <f>F739+110</f>
        <v>21713</v>
      </c>
      <c r="W739" s="257">
        <f t="shared" si="2283"/>
        <v>21713</v>
      </c>
      <c r="X739" s="404"/>
      <c r="Y739" s="404"/>
      <c r="Z739" s="404"/>
      <c r="AA739" s="404"/>
      <c r="AB739" s="372" t="s">
        <v>697</v>
      </c>
    </row>
    <row r="740" spans="1:34" ht="12.6" customHeight="1" x14ac:dyDescent="0.2">
      <c r="A740" s="188"/>
      <c r="B740" s="816" t="s">
        <v>377</v>
      </c>
      <c r="C740" s="797"/>
      <c r="D740" s="797"/>
      <c r="E740" s="797"/>
      <c r="F740" s="258">
        <v>23148</v>
      </c>
      <c r="G740" s="258">
        <f t="shared" si="2282"/>
        <v>23148</v>
      </c>
      <c r="H740" s="251"/>
      <c r="I740" s="251"/>
      <c r="J740" s="92">
        <f t="shared" si="2286"/>
        <v>24148</v>
      </c>
      <c r="K740" s="283">
        <f t="shared" si="2289"/>
        <v>24148</v>
      </c>
      <c r="L740" s="92">
        <f t="shared" ref="L740:L744" si="2290">F740+800</f>
        <v>23948</v>
      </c>
      <c r="M740" s="283">
        <f t="shared" ref="M740:M744" si="2291">+L740*$X$1</f>
        <v>23948</v>
      </c>
      <c r="N740" s="92">
        <f t="shared" ref="N740:N744" si="2292">F740+700</f>
        <v>23848</v>
      </c>
      <c r="O740" s="283">
        <f t="shared" ref="O740:O744" si="2293">+N740*$X$1</f>
        <v>23848</v>
      </c>
      <c r="P740" s="92">
        <f t="shared" ref="P740:P744" si="2294">F740+600</f>
        <v>23748</v>
      </c>
      <c r="Q740" s="283">
        <f t="shared" ref="Q740:Q744" si="2295">+P740*$X$1</f>
        <v>23748</v>
      </c>
      <c r="R740" s="92">
        <f t="shared" ref="R740:R744" si="2296">F740+500</f>
        <v>23648</v>
      </c>
      <c r="S740" s="283">
        <f t="shared" ref="S740:S744" si="2297">+R740*$X$1</f>
        <v>23648</v>
      </c>
      <c r="T740" s="92">
        <f t="shared" ref="T740:T744" si="2298">F740+450</f>
        <v>23598</v>
      </c>
      <c r="U740" s="283">
        <f t="shared" ref="U740:U744" si="2299">+T740*$X$1</f>
        <v>23598</v>
      </c>
      <c r="V740" s="437"/>
      <c r="W740" s="258"/>
      <c r="X740" s="139"/>
      <c r="Y740" s="139"/>
      <c r="Z740" s="139"/>
      <c r="AA740" s="139"/>
      <c r="AB740" s="372" t="s">
        <v>380</v>
      </c>
    </row>
    <row r="741" spans="1:34" ht="12.6" customHeight="1" x14ac:dyDescent="0.2">
      <c r="A741" s="188"/>
      <c r="B741" s="813" t="s">
        <v>492</v>
      </c>
      <c r="C741" s="714"/>
      <c r="D741" s="714"/>
      <c r="E741" s="714"/>
      <c r="F741" s="333">
        <f>12.37*X2</f>
        <v>15957.3</v>
      </c>
      <c r="G741" s="257">
        <f t="shared" ref="G741" si="2300">+F741*$X$1</f>
        <v>15957.3</v>
      </c>
      <c r="H741" s="252"/>
      <c r="I741" s="252"/>
      <c r="J741" s="93">
        <f t="shared" si="2286"/>
        <v>16957.3</v>
      </c>
      <c r="K741" s="273">
        <f t="shared" si="2289"/>
        <v>16957.3</v>
      </c>
      <c r="L741" s="93">
        <f t="shared" si="2290"/>
        <v>16757.3</v>
      </c>
      <c r="M741" s="273">
        <f t="shared" si="2291"/>
        <v>16757.3</v>
      </c>
      <c r="N741" s="93">
        <f t="shared" si="2292"/>
        <v>16657.3</v>
      </c>
      <c r="O741" s="273">
        <f t="shared" si="2293"/>
        <v>16657.3</v>
      </c>
      <c r="P741" s="93">
        <f t="shared" si="2294"/>
        <v>16557.3</v>
      </c>
      <c r="Q741" s="273">
        <f t="shared" si="2295"/>
        <v>16557.3</v>
      </c>
      <c r="R741" s="93">
        <f t="shared" si="2296"/>
        <v>16457.3</v>
      </c>
      <c r="S741" s="273">
        <f t="shared" si="2297"/>
        <v>16457.3</v>
      </c>
      <c r="T741" s="93">
        <f t="shared" si="2298"/>
        <v>16407.3</v>
      </c>
      <c r="U741" s="273">
        <f t="shared" si="2299"/>
        <v>16407.3</v>
      </c>
      <c r="V741" s="276"/>
      <c r="W741" s="257"/>
      <c r="X741" s="277"/>
      <c r="Y741" s="277"/>
      <c r="Z741" s="277"/>
      <c r="AA741" s="277"/>
      <c r="AB741" s="372" t="s">
        <v>603</v>
      </c>
    </row>
    <row r="742" spans="1:34" ht="12.6" customHeight="1" x14ac:dyDescent="0.2">
      <c r="A742" s="188"/>
      <c r="B742" s="816" t="s">
        <v>423</v>
      </c>
      <c r="C742" s="797"/>
      <c r="D742" s="797"/>
      <c r="E742" s="797"/>
      <c r="F742" s="334">
        <f>9.74*X2</f>
        <v>12564.6</v>
      </c>
      <c r="G742" s="258">
        <f t="shared" si="2282"/>
        <v>12564.6</v>
      </c>
      <c r="H742" s="251"/>
      <c r="I742" s="251"/>
      <c r="J742" s="92">
        <f t="shared" si="2286"/>
        <v>13564.6</v>
      </c>
      <c r="K742" s="283">
        <f t="shared" si="2289"/>
        <v>13564.6</v>
      </c>
      <c r="L742" s="92">
        <f t="shared" si="2290"/>
        <v>13364.6</v>
      </c>
      <c r="M742" s="283">
        <f t="shared" si="2291"/>
        <v>13364.6</v>
      </c>
      <c r="N742" s="92">
        <f t="shared" si="2292"/>
        <v>13264.6</v>
      </c>
      <c r="O742" s="283">
        <f t="shared" si="2293"/>
        <v>13264.6</v>
      </c>
      <c r="P742" s="92">
        <f t="shared" si="2294"/>
        <v>13164.6</v>
      </c>
      <c r="Q742" s="283">
        <f t="shared" si="2295"/>
        <v>13164.6</v>
      </c>
      <c r="R742" s="92">
        <f t="shared" si="2296"/>
        <v>13064.6</v>
      </c>
      <c r="S742" s="283">
        <f t="shared" si="2297"/>
        <v>13064.6</v>
      </c>
      <c r="T742" s="92">
        <f t="shared" si="2298"/>
        <v>13014.6</v>
      </c>
      <c r="U742" s="283">
        <f t="shared" si="2299"/>
        <v>13014.6</v>
      </c>
      <c r="V742" s="576"/>
      <c r="W742" s="258"/>
      <c r="X742" s="139"/>
      <c r="Y742" s="139"/>
      <c r="Z742" s="139"/>
      <c r="AA742" s="139"/>
      <c r="AB742" s="372" t="s">
        <v>593</v>
      </c>
    </row>
    <row r="743" spans="1:34" ht="12.6" customHeight="1" x14ac:dyDescent="0.2">
      <c r="A743" s="188"/>
      <c r="B743" s="813" t="s">
        <v>606</v>
      </c>
      <c r="C743" s="714"/>
      <c r="D743" s="714"/>
      <c r="E743" s="714"/>
      <c r="F743" s="333">
        <f>16.8*X2</f>
        <v>21672</v>
      </c>
      <c r="G743" s="257">
        <f t="shared" ref="G743" si="2301">+F743*$X$1</f>
        <v>21672</v>
      </c>
      <c r="H743" s="252"/>
      <c r="I743" s="252"/>
      <c r="J743" s="93">
        <f t="shared" si="2286"/>
        <v>22672</v>
      </c>
      <c r="K743" s="273">
        <f t="shared" si="2289"/>
        <v>22672</v>
      </c>
      <c r="L743" s="93">
        <f t="shared" si="2290"/>
        <v>22472</v>
      </c>
      <c r="M743" s="273">
        <f t="shared" si="2291"/>
        <v>22472</v>
      </c>
      <c r="N743" s="93">
        <f t="shared" si="2292"/>
        <v>22372</v>
      </c>
      <c r="O743" s="273">
        <f t="shared" si="2293"/>
        <v>22372</v>
      </c>
      <c r="P743" s="93">
        <f t="shared" si="2294"/>
        <v>22272</v>
      </c>
      <c r="Q743" s="273">
        <f t="shared" si="2295"/>
        <v>22272</v>
      </c>
      <c r="R743" s="93">
        <f t="shared" si="2296"/>
        <v>22172</v>
      </c>
      <c r="S743" s="273">
        <f t="shared" si="2297"/>
        <v>22172</v>
      </c>
      <c r="T743" s="93">
        <f t="shared" si="2298"/>
        <v>22122</v>
      </c>
      <c r="U743" s="273">
        <f t="shared" si="2299"/>
        <v>22122</v>
      </c>
      <c r="V743" s="559"/>
      <c r="W743" s="257"/>
      <c r="X743" s="343"/>
      <c r="Y743" s="343"/>
      <c r="Z743" s="343"/>
      <c r="AA743" s="343"/>
      <c r="AB743" s="372" t="s">
        <v>594</v>
      </c>
    </row>
    <row r="744" spans="1:34" ht="12.6" customHeight="1" x14ac:dyDescent="0.2">
      <c r="A744" s="188"/>
      <c r="B744" s="816" t="s">
        <v>422</v>
      </c>
      <c r="C744" s="797"/>
      <c r="D744" s="797"/>
      <c r="E744" s="797"/>
      <c r="F744" s="334">
        <f>12.63*X2</f>
        <v>16292.7</v>
      </c>
      <c r="G744" s="258">
        <f t="shared" ref="G744" si="2302">+F744*$X$1</f>
        <v>16292.7</v>
      </c>
      <c r="H744" s="251"/>
      <c r="I744" s="251"/>
      <c r="J744" s="92">
        <f t="shared" si="2286"/>
        <v>17292.7</v>
      </c>
      <c r="K744" s="283">
        <f t="shared" si="2289"/>
        <v>17292.7</v>
      </c>
      <c r="L744" s="92">
        <f t="shared" si="2290"/>
        <v>17092.7</v>
      </c>
      <c r="M744" s="283">
        <f t="shared" si="2291"/>
        <v>17092.7</v>
      </c>
      <c r="N744" s="92">
        <f t="shared" si="2292"/>
        <v>16992.7</v>
      </c>
      <c r="O744" s="283">
        <f t="shared" si="2293"/>
        <v>16992.7</v>
      </c>
      <c r="P744" s="92">
        <f t="shared" si="2294"/>
        <v>16892.7</v>
      </c>
      <c r="Q744" s="283">
        <f t="shared" si="2295"/>
        <v>16892.7</v>
      </c>
      <c r="R744" s="92">
        <f t="shared" si="2296"/>
        <v>16792.7</v>
      </c>
      <c r="S744" s="283">
        <f t="shared" si="2297"/>
        <v>16792.7</v>
      </c>
      <c r="T744" s="92">
        <f t="shared" si="2298"/>
        <v>16742.7</v>
      </c>
      <c r="U744" s="283">
        <f t="shared" si="2299"/>
        <v>16742.7</v>
      </c>
      <c r="V744" s="576"/>
      <c r="W744" s="258"/>
      <c r="X744" s="139"/>
      <c r="Y744" s="139"/>
      <c r="Z744" s="139"/>
      <c r="AA744" s="139"/>
      <c r="AB744" s="372" t="s">
        <v>595</v>
      </c>
    </row>
    <row r="745" spans="1:34" ht="14.25" customHeight="1" x14ac:dyDescent="0.2">
      <c r="A745" s="188"/>
      <c r="B745" s="98"/>
      <c r="C745" s="449"/>
      <c r="D745" s="449"/>
      <c r="E745" s="449"/>
      <c r="F745" s="376"/>
      <c r="G745" s="298"/>
      <c r="H745" s="106"/>
      <c r="I745" s="298"/>
      <c r="J745" s="106"/>
      <c r="K745" s="298"/>
      <c r="L745" s="106"/>
      <c r="M745" s="298"/>
      <c r="N745" s="106"/>
      <c r="O745" s="298"/>
      <c r="P745" s="106"/>
      <c r="Q745" s="298"/>
      <c r="R745" s="106"/>
      <c r="S745" s="298"/>
      <c r="T745" s="106"/>
      <c r="U745" s="298"/>
      <c r="V745" s="71"/>
      <c r="W745" s="409"/>
      <c r="X745" s="448"/>
      <c r="Y745" s="448"/>
      <c r="Z745" s="448"/>
      <c r="AA745" s="448"/>
      <c r="AB745" s="377"/>
    </row>
    <row r="746" spans="1:34" ht="19.5" customHeight="1" x14ac:dyDescent="0.2">
      <c r="A746" s="26"/>
      <c r="B746" s="945" t="s">
        <v>285</v>
      </c>
      <c r="C746" s="946"/>
      <c r="D746" s="946"/>
      <c r="E746" s="946"/>
      <c r="F746" s="946"/>
      <c r="G746" s="946"/>
      <c r="H746" s="946"/>
      <c r="I746" s="946"/>
      <c r="J746" s="946"/>
      <c r="K746" s="946"/>
      <c r="L746" s="946"/>
      <c r="M746" s="946"/>
      <c r="N746" s="946"/>
      <c r="O746" s="946"/>
      <c r="P746" s="946"/>
      <c r="Q746" s="946"/>
      <c r="R746" s="946"/>
      <c r="S746" s="946"/>
      <c r="T746" s="946"/>
      <c r="U746" s="946"/>
      <c r="V746" s="946"/>
      <c r="W746" s="947"/>
      <c r="AF746" s="694"/>
      <c r="AG746" s="695"/>
      <c r="AH746" s="695"/>
    </row>
    <row r="747" spans="1:34" ht="12.6" customHeight="1" x14ac:dyDescent="0.2">
      <c r="A747" s="17"/>
      <c r="B747" s="993"/>
      <c r="C747" s="994"/>
      <c r="D747" s="994"/>
      <c r="E747" s="994"/>
      <c r="F747" s="994"/>
      <c r="G747" s="995"/>
      <c r="H747" s="428"/>
      <c r="I747" s="429" t="s">
        <v>267</v>
      </c>
      <c r="J747" s="429"/>
      <c r="K747" s="429" t="s">
        <v>17</v>
      </c>
      <c r="L747" s="429"/>
      <c r="M747" s="429" t="s">
        <v>18</v>
      </c>
      <c r="N747" s="429"/>
      <c r="O747" s="429" t="s">
        <v>19</v>
      </c>
      <c r="P747" s="429"/>
      <c r="Q747" s="429" t="s">
        <v>268</v>
      </c>
      <c r="R747" s="429"/>
      <c r="S747" s="429" t="s">
        <v>20</v>
      </c>
      <c r="T747" s="429"/>
      <c r="U747" s="429" t="s">
        <v>21</v>
      </c>
      <c r="V747" s="429"/>
      <c r="W747" s="429" t="s">
        <v>22</v>
      </c>
    </row>
    <row r="748" spans="1:34" ht="12.6" customHeight="1" x14ac:dyDescent="0.2">
      <c r="A748" s="989"/>
      <c r="B748" s="852" t="s">
        <v>464</v>
      </c>
      <c r="C748" s="853"/>
      <c r="D748" s="853"/>
      <c r="E748" s="853"/>
      <c r="F748" s="853"/>
      <c r="G748" s="854"/>
      <c r="H748" s="537"/>
      <c r="I748" s="344"/>
      <c r="J748" s="345"/>
      <c r="K748" s="322"/>
      <c r="L748" s="262">
        <v>130</v>
      </c>
      <c r="M748" s="322">
        <f>+L748*$X$1</f>
        <v>130</v>
      </c>
      <c r="N748" s="406">
        <v>70</v>
      </c>
      <c r="O748" s="322">
        <f>+N748*$X$1</f>
        <v>70</v>
      </c>
      <c r="P748" s="406">
        <v>50</v>
      </c>
      <c r="Q748" s="322">
        <v>55</v>
      </c>
      <c r="R748" s="406">
        <v>50</v>
      </c>
      <c r="S748" s="322">
        <f>+R748*$X$1</f>
        <v>50</v>
      </c>
      <c r="T748" s="406">
        <v>40</v>
      </c>
      <c r="U748" s="323">
        <f>+T748*$X$1</f>
        <v>40</v>
      </c>
      <c r="V748" s="406">
        <v>35</v>
      </c>
      <c r="W748" s="322">
        <f>+V748*$X$1</f>
        <v>35</v>
      </c>
    </row>
    <row r="749" spans="1:34" ht="12.6" customHeight="1" x14ac:dyDescent="0.2">
      <c r="A749" s="989"/>
      <c r="B749" s="942" t="s">
        <v>286</v>
      </c>
      <c r="C749" s="943"/>
      <c r="D749" s="943"/>
      <c r="E749" s="943"/>
      <c r="F749" s="943"/>
      <c r="G749" s="944"/>
      <c r="H749" s="538"/>
      <c r="I749" s="346"/>
      <c r="J749" s="347">
        <v>220</v>
      </c>
      <c r="K749" s="324">
        <f>+J749*$X$1</f>
        <v>220</v>
      </c>
      <c r="L749" s="348">
        <v>160</v>
      </c>
      <c r="M749" s="349">
        <f>+L749*$X$1</f>
        <v>160</v>
      </c>
      <c r="N749" s="102">
        <v>130</v>
      </c>
      <c r="O749" s="349">
        <f>+N749*$X$1</f>
        <v>130</v>
      </c>
      <c r="P749" s="102">
        <v>110</v>
      </c>
      <c r="Q749" s="349">
        <f>+P749*$X$1</f>
        <v>110</v>
      </c>
      <c r="R749" s="102">
        <v>90</v>
      </c>
      <c r="S749" s="349">
        <f>+R749*$X$1</f>
        <v>90</v>
      </c>
      <c r="T749" s="102">
        <v>70</v>
      </c>
      <c r="U749" s="349">
        <f>+T749*$X$1</f>
        <v>70</v>
      </c>
      <c r="V749" s="102">
        <v>55</v>
      </c>
      <c r="W749" s="349">
        <f>+V749*$X$1</f>
        <v>55</v>
      </c>
    </row>
    <row r="750" spans="1:34" ht="12.6" customHeight="1" x14ac:dyDescent="0.2">
      <c r="A750" s="989"/>
      <c r="B750" s="852" t="s">
        <v>465</v>
      </c>
      <c r="C750" s="853"/>
      <c r="D750" s="853"/>
      <c r="E750" s="853"/>
      <c r="F750" s="853"/>
      <c r="G750" s="854"/>
      <c r="H750" s="262"/>
      <c r="I750" s="322"/>
      <c r="J750" s="262"/>
      <c r="K750" s="322"/>
      <c r="L750" s="262">
        <v>130</v>
      </c>
      <c r="M750" s="322">
        <f>+L750*$X$1</f>
        <v>130</v>
      </c>
      <c r="N750" s="406">
        <v>80</v>
      </c>
      <c r="O750" s="322">
        <f>+N750*$X$1</f>
        <v>80</v>
      </c>
      <c r="P750" s="406">
        <v>75</v>
      </c>
      <c r="Q750" s="322">
        <f>+P750*$X$1</f>
        <v>75</v>
      </c>
      <c r="R750" s="406">
        <v>65</v>
      </c>
      <c r="S750" s="322">
        <f>+R750*$X$1</f>
        <v>65</v>
      </c>
      <c r="T750" s="406">
        <v>55</v>
      </c>
      <c r="U750" s="323">
        <f>+T750*$X$1</f>
        <v>55</v>
      </c>
      <c r="V750" s="406">
        <v>50</v>
      </c>
      <c r="W750" s="322">
        <f>+V750*$X$1</f>
        <v>50</v>
      </c>
    </row>
    <row r="751" spans="1:34" ht="12.6" customHeight="1" x14ac:dyDescent="0.2">
      <c r="A751" s="989"/>
      <c r="B751" s="855" t="s">
        <v>463</v>
      </c>
      <c r="C751" s="856"/>
      <c r="D751" s="856"/>
      <c r="E751" s="856"/>
      <c r="F751" s="856"/>
      <c r="G751" s="857"/>
      <c r="H751" s="350">
        <v>400</v>
      </c>
      <c r="I751" s="324">
        <f>+H751*$X$1</f>
        <v>400</v>
      </c>
      <c r="J751" s="350">
        <v>220</v>
      </c>
      <c r="K751" s="324">
        <f>+J751*$X$1</f>
        <v>220</v>
      </c>
      <c r="L751" s="350">
        <v>160</v>
      </c>
      <c r="M751" s="324">
        <f>+L751*$X$1</f>
        <v>160</v>
      </c>
      <c r="N751" s="531">
        <v>130</v>
      </c>
      <c r="O751" s="324">
        <f>+N751*$X$1</f>
        <v>130</v>
      </c>
      <c r="P751" s="531">
        <v>120</v>
      </c>
      <c r="Q751" s="324">
        <f>+P751*$X$1</f>
        <v>120</v>
      </c>
      <c r="R751" s="531">
        <v>90</v>
      </c>
      <c r="S751" s="324">
        <f>+R751*$X$1</f>
        <v>90</v>
      </c>
      <c r="T751" s="531">
        <v>80</v>
      </c>
      <c r="U751" s="349">
        <f>+T751*$X$1</f>
        <v>80</v>
      </c>
      <c r="V751" s="531">
        <v>70</v>
      </c>
      <c r="W751" s="324">
        <f>+V751*$X$1</f>
        <v>70</v>
      </c>
    </row>
    <row r="752" spans="1:34" ht="12.75" customHeight="1" x14ac:dyDescent="0.2">
      <c r="A752" s="989"/>
      <c r="B752" s="867" t="s">
        <v>772</v>
      </c>
      <c r="C752" s="868"/>
      <c r="D752" s="868"/>
      <c r="E752" s="868"/>
      <c r="F752" s="868"/>
      <c r="G752" s="868"/>
      <c r="H752" s="868"/>
      <c r="I752" s="868"/>
      <c r="J752" s="868"/>
      <c r="K752" s="868"/>
      <c r="L752" s="868"/>
      <c r="M752" s="868"/>
      <c r="N752" s="868"/>
      <c r="O752" s="868"/>
      <c r="P752" s="868"/>
      <c r="Q752" s="868"/>
      <c r="R752" s="868"/>
      <c r="S752" s="868"/>
      <c r="T752" s="868"/>
      <c r="U752" s="868"/>
      <c r="V752" s="868"/>
      <c r="W752" s="869"/>
    </row>
    <row r="753" spans="1:35" ht="13.5" customHeight="1" x14ac:dyDescent="0.2">
      <c r="A753" s="989"/>
      <c r="B753" s="832" t="s">
        <v>531</v>
      </c>
      <c r="C753" s="833"/>
      <c r="D753" s="833"/>
      <c r="E753" s="833"/>
      <c r="F753" s="833"/>
      <c r="G753" s="834"/>
      <c r="H753" s="872"/>
      <c r="I753" s="847" t="s">
        <v>267</v>
      </c>
      <c r="J753" s="872"/>
      <c r="K753" s="847" t="s">
        <v>17</v>
      </c>
      <c r="L753" s="847"/>
      <c r="M753" s="847" t="s">
        <v>18</v>
      </c>
      <c r="N753" s="847"/>
      <c r="O753" s="847" t="s">
        <v>19</v>
      </c>
      <c r="P753" s="847"/>
      <c r="Q753" s="847" t="s">
        <v>268</v>
      </c>
      <c r="R753" s="847"/>
      <c r="S753" s="847" t="s">
        <v>20</v>
      </c>
      <c r="T753" s="847"/>
      <c r="U753" s="847" t="s">
        <v>21</v>
      </c>
      <c r="V753" s="847"/>
      <c r="W753" s="847" t="s">
        <v>22</v>
      </c>
    </row>
    <row r="754" spans="1:35" ht="11.25" customHeight="1" x14ac:dyDescent="0.2">
      <c r="A754" s="989"/>
      <c r="B754" s="835"/>
      <c r="C754" s="836"/>
      <c r="D754" s="836"/>
      <c r="E754" s="836"/>
      <c r="F754" s="836"/>
      <c r="G754" s="837"/>
      <c r="H754" s="873"/>
      <c r="I754" s="851"/>
      <c r="J754" s="873"/>
      <c r="K754" s="851"/>
      <c r="L754" s="848"/>
      <c r="M754" s="848"/>
      <c r="N754" s="848"/>
      <c r="O754" s="848"/>
      <c r="P754" s="848"/>
      <c r="Q754" s="848"/>
      <c r="R754" s="848"/>
      <c r="S754" s="848"/>
      <c r="T754" s="848"/>
      <c r="U754" s="848"/>
      <c r="V754" s="848"/>
      <c r="W754" s="848"/>
      <c r="AB754" s="56"/>
      <c r="AC754" s="56"/>
      <c r="AD754" s="56"/>
      <c r="AE754" s="56"/>
      <c r="AF754" s="56"/>
      <c r="AG754" s="56"/>
      <c r="AH754" s="56"/>
      <c r="AI754" s="56"/>
    </row>
    <row r="755" spans="1:35" ht="12.6" customHeight="1" x14ac:dyDescent="0.2">
      <c r="A755" s="989"/>
      <c r="B755" s="874" t="s">
        <v>529</v>
      </c>
      <c r="C755" s="875"/>
      <c r="D755" s="875"/>
      <c r="E755" s="875"/>
      <c r="F755" s="875"/>
      <c r="G755" s="876"/>
      <c r="H755" s="82">
        <v>700</v>
      </c>
      <c r="I755" s="325">
        <f>+H755*$X$1</f>
        <v>700</v>
      </c>
      <c r="J755" s="82">
        <v>600</v>
      </c>
      <c r="K755" s="325">
        <f>+J755*$X$1</f>
        <v>600</v>
      </c>
      <c r="L755" s="406">
        <v>450</v>
      </c>
      <c r="M755" s="322">
        <f>+L755*$X$1</f>
        <v>450</v>
      </c>
      <c r="N755" s="406">
        <v>390</v>
      </c>
      <c r="O755" s="322">
        <f>+N755*$X$1</f>
        <v>390</v>
      </c>
      <c r="P755" s="406">
        <v>360</v>
      </c>
      <c r="Q755" s="322">
        <f>+P755*$X$1</f>
        <v>360</v>
      </c>
      <c r="R755" s="406">
        <v>320</v>
      </c>
      <c r="S755" s="322">
        <f>+R755*$X$1</f>
        <v>320</v>
      </c>
      <c r="T755" s="406">
        <v>300</v>
      </c>
      <c r="U755" s="322">
        <f>+T755*$X$1</f>
        <v>300</v>
      </c>
      <c r="V755" s="406">
        <v>290</v>
      </c>
      <c r="W755" s="322">
        <f>+V755*$X$1</f>
        <v>290</v>
      </c>
    </row>
    <row r="756" spans="1:35" ht="12.6" customHeight="1" x14ac:dyDescent="0.2">
      <c r="A756" s="989"/>
      <c r="B756" s="990" t="s">
        <v>526</v>
      </c>
      <c r="C756" s="991"/>
      <c r="D756" s="991"/>
      <c r="E756" s="991"/>
      <c r="F756" s="991"/>
      <c r="G756" s="992"/>
      <c r="H756" s="68">
        <v>750</v>
      </c>
      <c r="I756" s="351">
        <f>+H756*$X$1</f>
        <v>750</v>
      </c>
      <c r="J756" s="68">
        <v>650</v>
      </c>
      <c r="K756" s="351">
        <f>+J756*$X$1</f>
        <v>650</v>
      </c>
      <c r="L756" s="531">
        <v>600</v>
      </c>
      <c r="M756" s="324">
        <f>+L756*$X$1</f>
        <v>600</v>
      </c>
      <c r="N756" s="531">
        <v>540</v>
      </c>
      <c r="O756" s="324">
        <f>+N756*$X$1</f>
        <v>540</v>
      </c>
      <c r="P756" s="531">
        <v>500</v>
      </c>
      <c r="Q756" s="324">
        <f>+P756*$X$1</f>
        <v>500</v>
      </c>
      <c r="R756" s="531">
        <v>460</v>
      </c>
      <c r="S756" s="324">
        <f>+R756*$X$1</f>
        <v>460</v>
      </c>
      <c r="T756" s="531">
        <v>430</v>
      </c>
      <c r="U756" s="324">
        <f>+T756*$X$1</f>
        <v>430</v>
      </c>
      <c r="V756" s="531">
        <v>400</v>
      </c>
      <c r="W756" s="324">
        <f>+V756*$X$1</f>
        <v>400</v>
      </c>
    </row>
    <row r="757" spans="1:35" ht="12.6" customHeight="1" x14ac:dyDescent="0.2">
      <c r="A757" s="989"/>
      <c r="B757" s="874" t="s">
        <v>528</v>
      </c>
      <c r="C757" s="875"/>
      <c r="D757" s="875"/>
      <c r="E757" s="875"/>
      <c r="F757" s="875"/>
      <c r="G757" s="876"/>
      <c r="H757" s="82">
        <v>1000</v>
      </c>
      <c r="I757" s="325">
        <f>+H757*$X$1</f>
        <v>1000</v>
      </c>
      <c r="J757" s="82">
        <v>910</v>
      </c>
      <c r="K757" s="325">
        <f>+J757*$X$1</f>
        <v>910</v>
      </c>
      <c r="L757" s="406">
        <v>800</v>
      </c>
      <c r="M757" s="322">
        <f>+L757*$X$1</f>
        <v>800</v>
      </c>
      <c r="N757" s="406">
        <v>720</v>
      </c>
      <c r="O757" s="322">
        <f>+N757*$X$1</f>
        <v>720</v>
      </c>
      <c r="P757" s="406">
        <v>670</v>
      </c>
      <c r="Q757" s="322">
        <f>+P757*$X$1</f>
        <v>670</v>
      </c>
      <c r="R757" s="406">
        <v>640</v>
      </c>
      <c r="S757" s="322">
        <f>+R757*$X$1</f>
        <v>640</v>
      </c>
      <c r="T757" s="406">
        <v>625</v>
      </c>
      <c r="U757" s="322">
        <f>+T757*$X$1</f>
        <v>625</v>
      </c>
      <c r="V757" s="406">
        <v>600</v>
      </c>
      <c r="W757" s="322">
        <f>+V757*$X$1</f>
        <v>600</v>
      </c>
    </row>
    <row r="758" spans="1:35" ht="12.6" customHeight="1" x14ac:dyDescent="0.2">
      <c r="A758" s="989"/>
      <c r="B758" s="990" t="s">
        <v>527</v>
      </c>
      <c r="C758" s="991"/>
      <c r="D758" s="991"/>
      <c r="E758" s="991"/>
      <c r="F758" s="991"/>
      <c r="G758" s="992"/>
      <c r="H758" s="68">
        <v>1330</v>
      </c>
      <c r="I758" s="426">
        <f>+H758*$X$1</f>
        <v>1330</v>
      </c>
      <c r="J758" s="68">
        <v>1200</v>
      </c>
      <c r="K758" s="427">
        <f>+J758*$X$1</f>
        <v>1200</v>
      </c>
      <c r="L758" s="531">
        <v>1050</v>
      </c>
      <c r="M758" s="324">
        <f>+L758*$X$1</f>
        <v>1050</v>
      </c>
      <c r="N758" s="531">
        <v>960</v>
      </c>
      <c r="O758" s="324">
        <f>+N758*$X$1</f>
        <v>960</v>
      </c>
      <c r="P758" s="531">
        <v>920</v>
      </c>
      <c r="Q758" s="324">
        <f>+P758*$X$1</f>
        <v>920</v>
      </c>
      <c r="R758" s="531">
        <v>890</v>
      </c>
      <c r="S758" s="324">
        <f>+R758*$X$1</f>
        <v>890</v>
      </c>
      <c r="T758" s="531">
        <v>870</v>
      </c>
      <c r="U758" s="324">
        <f>+T758*$X$1</f>
        <v>870</v>
      </c>
      <c r="V758" s="531">
        <v>850</v>
      </c>
      <c r="W758" s="324">
        <f>+V758*$X$1</f>
        <v>850</v>
      </c>
    </row>
    <row r="759" spans="1:35" ht="9" customHeight="1" x14ac:dyDescent="0.2">
      <c r="A759" s="188"/>
      <c r="B759" s="189"/>
      <c r="C759" s="189"/>
      <c r="D759" s="189"/>
      <c r="E759" s="189"/>
      <c r="F759" s="190"/>
      <c r="G759" s="190"/>
      <c r="H759" s="71"/>
      <c r="I759" s="191"/>
      <c r="J759" s="191"/>
      <c r="K759" s="191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71"/>
      <c r="W759" s="183"/>
      <c r="X759" s="182"/>
      <c r="Y759" s="182"/>
      <c r="Z759" s="182"/>
      <c r="AA759" s="182"/>
      <c r="AB759" s="192"/>
    </row>
    <row r="760" spans="1:35" ht="17.25" customHeight="1" x14ac:dyDescent="0.2">
      <c r="B760" s="940" t="s">
        <v>470</v>
      </c>
      <c r="C760" s="941"/>
      <c r="D760" s="941"/>
      <c r="E760" s="941"/>
      <c r="F760" s="941"/>
      <c r="G760" s="941"/>
      <c r="H760" s="941"/>
      <c r="I760" s="941"/>
      <c r="J760" s="941"/>
      <c r="K760" s="66" t="s">
        <v>466</v>
      </c>
      <c r="L760" s="67">
        <v>30</v>
      </c>
      <c r="M760" s="321">
        <f>+L760*$X$1</f>
        <v>30</v>
      </c>
      <c r="N760" s="65"/>
      <c r="O760" s="66" t="s">
        <v>467</v>
      </c>
      <c r="P760" s="67">
        <v>28</v>
      </c>
      <c r="Q760" s="321">
        <f>+P760*$X$1</f>
        <v>28</v>
      </c>
      <c r="R760" s="43"/>
      <c r="S760" s="43"/>
      <c r="T760" s="43"/>
      <c r="U760" s="43"/>
      <c r="V760" s="43"/>
      <c r="W760" s="43"/>
    </row>
    <row r="761" spans="1:35" ht="12.6" customHeight="1" x14ac:dyDescent="0.2">
      <c r="B761" s="46"/>
      <c r="C761" s="159"/>
      <c r="D761" s="159"/>
      <c r="E761" s="159"/>
      <c r="F761" s="159"/>
      <c r="G761" s="159"/>
      <c r="H761" s="159"/>
      <c r="I761" s="159"/>
      <c r="J761" s="159"/>
      <c r="K761" s="47"/>
      <c r="L761" s="48"/>
      <c r="M761" s="49"/>
      <c r="N761" s="43"/>
      <c r="O761" s="47"/>
      <c r="P761" s="48"/>
      <c r="Q761" s="49"/>
      <c r="R761" s="43"/>
      <c r="S761" s="43"/>
      <c r="T761" s="43"/>
      <c r="U761" s="43"/>
      <c r="V761" s="43"/>
      <c r="W761" s="43"/>
    </row>
    <row r="762" spans="1:35" x14ac:dyDescent="0.2">
      <c r="B762" s="3"/>
      <c r="C762" s="938" t="s">
        <v>287</v>
      </c>
      <c r="D762" s="939"/>
      <c r="E762" s="939"/>
      <c r="F762" s="939"/>
      <c r="G762" s="939"/>
      <c r="H762" s="939"/>
      <c r="I762" s="939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1:35" ht="12.6" customHeight="1" x14ac:dyDescent="0.2">
      <c r="B763" s="3"/>
      <c r="C763" s="931" t="s">
        <v>288</v>
      </c>
      <c r="D763" s="932"/>
      <c r="E763" s="932"/>
      <c r="F763" s="932"/>
      <c r="G763" s="933"/>
      <c r="H763" s="378"/>
      <c r="I763" s="375"/>
      <c r="J763" s="4"/>
      <c r="K763" s="4"/>
      <c r="L763" s="34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1:35" ht="12.6" customHeight="1" x14ac:dyDescent="0.2">
      <c r="B764" s="3"/>
      <c r="C764" s="935" t="s">
        <v>289</v>
      </c>
      <c r="D764" s="936"/>
      <c r="E764" s="936"/>
      <c r="F764" s="936"/>
      <c r="G764" s="937"/>
      <c r="H764" s="38"/>
      <c r="I764" s="379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1:35" ht="12.6" customHeight="1" x14ac:dyDescent="0.2">
      <c r="B765" s="3"/>
      <c r="C765" s="935" t="s">
        <v>290</v>
      </c>
      <c r="D765" s="936"/>
      <c r="E765" s="936"/>
      <c r="F765" s="936"/>
      <c r="G765" s="937"/>
      <c r="H765" s="40"/>
      <c r="I765" s="320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1:35" ht="15.95" customHeight="1" x14ac:dyDescent="0.2">
      <c r="B766" s="3"/>
      <c r="C766" s="877" t="s">
        <v>524</v>
      </c>
      <c r="D766" s="833"/>
      <c r="E766" s="833"/>
      <c r="F766" s="833"/>
      <c r="G766" s="833"/>
      <c r="H766" s="878"/>
      <c r="I766" s="879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1:35" ht="15.75" customHeight="1" x14ac:dyDescent="0.2">
      <c r="B767" s="3"/>
      <c r="C767" s="835"/>
      <c r="D767" s="836"/>
      <c r="E767" s="836"/>
      <c r="F767" s="836"/>
      <c r="G767" s="836"/>
      <c r="H767" s="880"/>
      <c r="I767" s="881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1:35" ht="12.6" customHeight="1" thickBot="1" x14ac:dyDescent="0.25">
      <c r="B768" s="4"/>
      <c r="C768" s="45"/>
      <c r="D768" s="45"/>
      <c r="E768" s="45"/>
      <c r="F768" s="45"/>
      <c r="G768" s="45"/>
      <c r="H768" s="39"/>
      <c r="I768" s="30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34" ht="13.5" customHeight="1" x14ac:dyDescent="0.2">
      <c r="B769" s="838" t="s">
        <v>1033</v>
      </c>
      <c r="C769" s="839"/>
      <c r="D769" s="839"/>
      <c r="E769" s="839"/>
      <c r="F769" s="839"/>
      <c r="G769" s="839"/>
      <c r="H769" s="839"/>
      <c r="I769" s="839"/>
      <c r="J769" s="839"/>
      <c r="K769" s="839"/>
      <c r="L769" s="839"/>
      <c r="M769" s="839"/>
      <c r="N769" s="839"/>
      <c r="O769" s="839"/>
      <c r="P769" s="839"/>
      <c r="Q769" s="839"/>
      <c r="R769" s="839"/>
      <c r="S769" s="839"/>
      <c r="T769" s="839"/>
      <c r="U769" s="839"/>
      <c r="V769" s="839"/>
      <c r="W769" s="840"/>
    </row>
    <row r="770" spans="2:34" ht="13.5" customHeight="1" x14ac:dyDescent="0.2">
      <c r="B770" s="841"/>
      <c r="C770" s="842"/>
      <c r="D770" s="842"/>
      <c r="E770" s="842"/>
      <c r="F770" s="842"/>
      <c r="G770" s="842"/>
      <c r="H770" s="842"/>
      <c r="I770" s="842"/>
      <c r="J770" s="842"/>
      <c r="K770" s="842"/>
      <c r="L770" s="842"/>
      <c r="M770" s="842"/>
      <c r="N770" s="842"/>
      <c r="O770" s="842"/>
      <c r="P770" s="842"/>
      <c r="Q770" s="842"/>
      <c r="R770" s="842"/>
      <c r="S770" s="842"/>
      <c r="T770" s="842"/>
      <c r="U770" s="842"/>
      <c r="V770" s="842"/>
      <c r="W770" s="843"/>
    </row>
    <row r="771" spans="2:34" ht="13.5" customHeight="1" thickBot="1" x14ac:dyDescent="0.25">
      <c r="B771" s="844"/>
      <c r="C771" s="845"/>
      <c r="D771" s="845"/>
      <c r="E771" s="845"/>
      <c r="F771" s="845"/>
      <c r="G771" s="845"/>
      <c r="H771" s="845"/>
      <c r="I771" s="845"/>
      <c r="J771" s="845"/>
      <c r="K771" s="845"/>
      <c r="L771" s="845"/>
      <c r="M771" s="845"/>
      <c r="N771" s="845"/>
      <c r="O771" s="845"/>
      <c r="P771" s="845"/>
      <c r="Q771" s="845"/>
      <c r="R771" s="845"/>
      <c r="S771" s="845"/>
      <c r="T771" s="845"/>
      <c r="U771" s="845"/>
      <c r="V771" s="845"/>
      <c r="W771" s="846"/>
    </row>
    <row r="772" spans="2:34" ht="12.6" customHeight="1" x14ac:dyDescent="0.2">
      <c r="B772" s="4"/>
      <c r="C772" s="37"/>
      <c r="D772" s="37"/>
      <c r="E772" s="37"/>
      <c r="F772" s="37"/>
      <c r="G772" s="37"/>
      <c r="H772" s="39"/>
      <c r="I772" s="39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34" ht="23.25" customHeight="1" x14ac:dyDescent="0.2">
      <c r="B773" s="3"/>
      <c r="C773" s="861" t="s">
        <v>604</v>
      </c>
      <c r="D773" s="862"/>
      <c r="E773" s="862"/>
      <c r="F773" s="862"/>
      <c r="G773" s="862"/>
      <c r="H773" s="862"/>
      <c r="I773" s="863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AF773" s="694" t="s">
        <v>3</v>
      </c>
      <c r="AG773" s="695"/>
      <c r="AH773" s="695"/>
    </row>
    <row r="774" spans="2:34" ht="12.95" customHeight="1" x14ac:dyDescent="0.2">
      <c r="B774" s="3"/>
      <c r="C774" s="882"/>
      <c r="D774" s="883"/>
      <c r="E774" s="883"/>
      <c r="F774" s="883"/>
      <c r="G774" s="883"/>
      <c r="H774" s="883"/>
      <c r="I774" s="884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34" ht="12.95" customHeight="1" x14ac:dyDescent="0.2">
      <c r="B775" s="3"/>
      <c r="C775" s="885"/>
      <c r="D775" s="886"/>
      <c r="E775" s="886"/>
      <c r="F775" s="886"/>
      <c r="G775" s="886"/>
      <c r="H775" s="886"/>
      <c r="I775" s="887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2.95" customHeight="1" x14ac:dyDescent="0.2">
      <c r="B776" s="3"/>
      <c r="C776" s="885"/>
      <c r="D776" s="886"/>
      <c r="E776" s="886"/>
      <c r="F776" s="886"/>
      <c r="G776" s="886"/>
      <c r="H776" s="886"/>
      <c r="I776" s="887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2.95" customHeight="1" x14ac:dyDescent="0.2">
      <c r="B777" s="3"/>
      <c r="C777" s="885"/>
      <c r="D777" s="886"/>
      <c r="E777" s="886"/>
      <c r="F777" s="886"/>
      <c r="G777" s="886"/>
      <c r="H777" s="886"/>
      <c r="I777" s="887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2.95" customHeight="1" x14ac:dyDescent="0.2">
      <c r="B778" s="3"/>
      <c r="C778" s="885"/>
      <c r="D778" s="886"/>
      <c r="E778" s="886"/>
      <c r="F778" s="886"/>
      <c r="G778" s="886"/>
      <c r="H778" s="886"/>
      <c r="I778" s="887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34" ht="12.95" customHeight="1" x14ac:dyDescent="0.2">
      <c r="B779" s="3"/>
      <c r="C779" s="885"/>
      <c r="D779" s="886"/>
      <c r="E779" s="886"/>
      <c r="F779" s="886"/>
      <c r="G779" s="886"/>
      <c r="H779" s="886"/>
      <c r="I779" s="887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34" ht="10.5" customHeight="1" x14ac:dyDescent="0.2">
      <c r="B780" s="3"/>
      <c r="C780" s="888"/>
      <c r="D780" s="889"/>
      <c r="E780" s="889"/>
      <c r="F780" s="889"/>
      <c r="G780" s="889"/>
      <c r="H780" s="889"/>
      <c r="I780" s="890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34" ht="12.6" customHeight="1" x14ac:dyDescent="0.2">
      <c r="B781" s="3"/>
      <c r="C781" s="864" t="s">
        <v>373</v>
      </c>
      <c r="D781" s="864"/>
      <c r="E781" s="865"/>
      <c r="F781" s="865"/>
      <c r="G781" s="866"/>
      <c r="H781" s="40">
        <v>1500</v>
      </c>
      <c r="I781" s="324">
        <f>+H781*$X$1</f>
        <v>1500</v>
      </c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12.6" customHeight="1" x14ac:dyDescent="0.2">
      <c r="B782" s="3"/>
      <c r="C782" s="864" t="s">
        <v>605</v>
      </c>
      <c r="D782" s="864"/>
      <c r="E782" s="865"/>
      <c r="F782" s="865"/>
      <c r="G782" s="866"/>
      <c r="H782" s="40">
        <v>1400</v>
      </c>
      <c r="I782" s="324">
        <f>+H782*$X$1</f>
        <v>1400</v>
      </c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34" ht="12.6" customHeight="1" x14ac:dyDescent="0.2">
      <c r="B783" s="3"/>
      <c r="C783" s="44"/>
      <c r="D783" s="42"/>
      <c r="E783" s="42"/>
      <c r="F783" s="42"/>
      <c r="G783" s="37"/>
      <c r="H783" s="39"/>
      <c r="I783" s="39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18" customHeight="1" x14ac:dyDescent="0.2">
      <c r="B784" s="896" t="s">
        <v>525</v>
      </c>
      <c r="C784" s="897"/>
      <c r="D784" s="897"/>
      <c r="E784" s="897"/>
      <c r="F784" s="897"/>
      <c r="G784" s="897"/>
      <c r="H784" s="897"/>
      <c r="I784" s="897"/>
      <c r="J784" s="897"/>
      <c r="K784" s="897"/>
      <c r="L784" s="897"/>
      <c r="M784" s="897"/>
      <c r="N784" s="897"/>
      <c r="O784" s="897"/>
      <c r="P784" s="897"/>
      <c r="Q784" s="897"/>
      <c r="R784" s="897"/>
      <c r="S784" s="897"/>
      <c r="T784" s="897"/>
      <c r="U784" s="897"/>
      <c r="V784" s="897"/>
      <c r="W784" s="898"/>
    </row>
    <row r="785" spans="2:34" ht="12.6" customHeight="1" x14ac:dyDescent="0.2">
      <c r="B785" s="24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</row>
    <row r="786" spans="2:34" ht="15.75" customHeight="1" x14ac:dyDescent="0.2">
      <c r="B786" s="894" t="s">
        <v>291</v>
      </c>
      <c r="C786" s="895"/>
      <c r="D786" s="895"/>
      <c r="E786" s="895"/>
      <c r="F786" s="895"/>
      <c r="G786" s="895"/>
      <c r="H786" s="895"/>
      <c r="I786" s="895"/>
      <c r="J786" s="895"/>
      <c r="K786" s="895"/>
      <c r="L786" s="895"/>
      <c r="M786" s="895"/>
      <c r="N786" s="895"/>
      <c r="O786" s="895"/>
      <c r="P786" s="895"/>
      <c r="Q786" s="895"/>
      <c r="R786" s="895"/>
      <c r="S786" s="895"/>
      <c r="T786" s="895"/>
      <c r="U786" s="895"/>
      <c r="V786" s="895"/>
      <c r="W786" s="895"/>
    </row>
    <row r="787" spans="2:34" ht="15.75" customHeight="1" x14ac:dyDescent="0.2">
      <c r="B787" s="894" t="s">
        <v>292</v>
      </c>
      <c r="C787" s="895"/>
      <c r="D787" s="895"/>
      <c r="E787" s="895"/>
      <c r="F787" s="895"/>
      <c r="G787" s="895"/>
      <c r="H787" s="895"/>
      <c r="I787" s="895"/>
      <c r="J787" s="895"/>
      <c r="K787" s="895"/>
      <c r="L787" s="895"/>
      <c r="M787" s="895"/>
      <c r="N787" s="895"/>
      <c r="O787" s="895"/>
      <c r="P787" s="895"/>
      <c r="Q787" s="895"/>
      <c r="R787" s="895"/>
      <c r="S787" s="895"/>
      <c r="T787" s="895"/>
      <c r="U787" s="895"/>
      <c r="V787" s="895"/>
      <c r="W787" s="895"/>
      <c r="AF787" s="694"/>
      <c r="AG787" s="695"/>
      <c r="AH787" s="695"/>
    </row>
    <row r="788" spans="2:34" ht="15.75" customHeight="1" x14ac:dyDescent="0.2">
      <c r="B788" s="894" t="s">
        <v>293</v>
      </c>
      <c r="C788" s="895"/>
      <c r="D788" s="895"/>
      <c r="E788" s="895"/>
      <c r="F788" s="895"/>
      <c r="G788" s="895"/>
      <c r="H788" s="895"/>
      <c r="I788" s="895"/>
      <c r="J788" s="895"/>
      <c r="K788" s="895"/>
      <c r="L788" s="895"/>
      <c r="M788" s="895"/>
      <c r="N788" s="895"/>
      <c r="O788" s="895"/>
      <c r="P788" s="895"/>
      <c r="Q788" s="895"/>
      <c r="R788" s="895"/>
      <c r="S788" s="895"/>
      <c r="T788" s="895"/>
      <c r="U788" s="895"/>
      <c r="V788" s="895"/>
      <c r="W788" s="895"/>
    </row>
    <row r="789" spans="2:34" ht="12.6" customHeight="1" x14ac:dyDescent="0.2">
      <c r="B789" s="11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</row>
    <row r="790" spans="2:34" ht="18" customHeight="1" thickBot="1" x14ac:dyDescent="0.25">
      <c r="B790" s="928" t="s">
        <v>294</v>
      </c>
      <c r="C790" s="929"/>
      <c r="D790" s="929"/>
      <c r="E790" s="929"/>
      <c r="F790" s="929"/>
      <c r="G790" s="929"/>
      <c r="H790" s="929"/>
      <c r="I790" s="929"/>
      <c r="J790" s="929"/>
      <c r="K790" s="929"/>
      <c r="L790" s="929"/>
      <c r="M790" s="929"/>
      <c r="N790" s="929"/>
      <c r="O790" s="929"/>
      <c r="P790" s="929"/>
      <c r="Q790" s="929"/>
      <c r="R790" s="929"/>
      <c r="S790" s="929"/>
      <c r="T790" s="929"/>
      <c r="U790" s="929"/>
      <c r="V790" s="929"/>
      <c r="W790" s="930"/>
    </row>
    <row r="791" spans="2:34" x14ac:dyDescent="0.2">
      <c r="B791" s="917" t="s">
        <v>901</v>
      </c>
      <c r="C791" s="918"/>
      <c r="D791" s="918"/>
      <c r="E791" s="918"/>
      <c r="F791" s="918"/>
      <c r="G791" s="918"/>
      <c r="H791" s="918"/>
      <c r="I791" s="918"/>
      <c r="J791" s="918"/>
      <c r="K791" s="918"/>
      <c r="L791" s="918"/>
      <c r="M791" s="918"/>
      <c r="N791" s="919"/>
      <c r="O791" s="919"/>
      <c r="P791" s="919"/>
      <c r="Q791" s="919"/>
      <c r="R791" s="919"/>
      <c r="S791" s="919"/>
      <c r="T791" s="919"/>
      <c r="U791" s="919"/>
      <c r="V791" s="919"/>
      <c r="W791" s="920"/>
    </row>
    <row r="792" spans="2:34" ht="12.75" customHeight="1" x14ac:dyDescent="0.2">
      <c r="B792" s="921"/>
      <c r="C792" s="918"/>
      <c r="D792" s="918"/>
      <c r="E792" s="918"/>
      <c r="F792" s="918"/>
      <c r="G792" s="918"/>
      <c r="H792" s="918"/>
      <c r="I792" s="918"/>
      <c r="J792" s="918"/>
      <c r="K792" s="918"/>
      <c r="L792" s="918"/>
      <c r="M792" s="918"/>
      <c r="N792" s="919"/>
      <c r="O792" s="919"/>
      <c r="P792" s="919"/>
      <c r="Q792" s="919"/>
      <c r="R792" s="919"/>
      <c r="S792" s="919"/>
      <c r="T792" s="919"/>
      <c r="U792" s="919"/>
      <c r="V792" s="919"/>
      <c r="W792" s="920"/>
    </row>
    <row r="793" spans="2:34" x14ac:dyDescent="0.2">
      <c r="B793" s="921"/>
      <c r="C793" s="918"/>
      <c r="D793" s="918"/>
      <c r="E793" s="918"/>
      <c r="F793" s="918"/>
      <c r="G793" s="918"/>
      <c r="H793" s="918"/>
      <c r="I793" s="918"/>
      <c r="J793" s="918"/>
      <c r="K793" s="918"/>
      <c r="L793" s="918"/>
      <c r="M793" s="918"/>
      <c r="N793" s="919"/>
      <c r="O793" s="919"/>
      <c r="P793" s="919"/>
      <c r="Q793" s="919"/>
      <c r="R793" s="919"/>
      <c r="S793" s="919"/>
      <c r="T793" s="919"/>
      <c r="U793" s="919"/>
      <c r="V793" s="919"/>
      <c r="W793" s="920"/>
    </row>
    <row r="794" spans="2:34" x14ac:dyDescent="0.2">
      <c r="B794" s="922"/>
      <c r="C794" s="923"/>
      <c r="D794" s="923"/>
      <c r="E794" s="923"/>
      <c r="F794" s="923"/>
      <c r="G794" s="923"/>
      <c r="H794" s="923"/>
      <c r="I794" s="923"/>
      <c r="J794" s="923"/>
      <c r="K794" s="923"/>
      <c r="L794" s="923"/>
      <c r="M794" s="923"/>
      <c r="N794" s="924"/>
      <c r="O794" s="924"/>
      <c r="P794" s="924"/>
      <c r="Q794" s="924"/>
      <c r="R794" s="924"/>
      <c r="S794" s="924"/>
      <c r="T794" s="924"/>
      <c r="U794" s="924"/>
      <c r="V794" s="924"/>
      <c r="W794" s="925"/>
    </row>
    <row r="795" spans="2:34" ht="12.6" customHeight="1" x14ac:dyDescent="0.2">
      <c r="B795" s="194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5"/>
      <c r="N795" s="59"/>
      <c r="O795" s="59"/>
      <c r="P795" s="59"/>
      <c r="Q795" s="59"/>
      <c r="R795" s="59"/>
      <c r="S795" s="59"/>
      <c r="T795" s="59"/>
      <c r="U795" s="59"/>
      <c r="V795" s="59"/>
      <c r="W795" s="59"/>
    </row>
    <row r="796" spans="2:34" ht="12.6" customHeight="1" x14ac:dyDescent="0.2">
      <c r="B796" s="19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5"/>
      <c r="N796" s="59"/>
      <c r="O796" s="59"/>
      <c r="P796" s="59"/>
      <c r="Q796" s="59"/>
      <c r="R796" s="59"/>
      <c r="S796" s="59"/>
      <c r="T796" s="59"/>
      <c r="U796" s="59"/>
      <c r="V796" s="59"/>
      <c r="W796" s="59"/>
    </row>
    <row r="797" spans="2:34" ht="12.6" customHeight="1" x14ac:dyDescent="0.2">
      <c r="B797" s="19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5"/>
      <c r="N797" s="59"/>
      <c r="O797" s="59"/>
      <c r="P797" s="59"/>
      <c r="Q797" s="59"/>
      <c r="R797" s="59"/>
      <c r="S797" s="59"/>
      <c r="T797" s="59"/>
      <c r="U797" s="59"/>
      <c r="V797" s="59"/>
      <c r="W797" s="59"/>
    </row>
    <row r="798" spans="2:34" x14ac:dyDescent="0.2">
      <c r="B798" s="926" t="s">
        <v>295</v>
      </c>
      <c r="C798" s="927"/>
      <c r="D798" s="927"/>
      <c r="E798" s="927"/>
      <c r="F798" s="927"/>
      <c r="G798" s="927"/>
      <c r="H798" s="927"/>
      <c r="I798" s="927"/>
      <c r="J798" s="927"/>
      <c r="K798" s="927"/>
      <c r="L798" s="927"/>
      <c r="M798" s="927"/>
      <c r="N798" s="927"/>
      <c r="O798" s="927"/>
      <c r="P798" s="927"/>
      <c r="Q798" s="927"/>
      <c r="R798" s="927"/>
      <c r="S798" s="927"/>
      <c r="T798" s="927"/>
      <c r="U798" s="927"/>
      <c r="V798" s="927"/>
      <c r="W798" s="927"/>
    </row>
    <row r="799" spans="2:34" x14ac:dyDescent="0.2">
      <c r="B799" s="927"/>
      <c r="C799" s="927"/>
      <c r="D799" s="927"/>
      <c r="E799" s="927"/>
      <c r="F799" s="927"/>
      <c r="G799" s="927"/>
      <c r="H799" s="927"/>
      <c r="I799" s="927"/>
      <c r="J799" s="927"/>
      <c r="K799" s="927"/>
      <c r="L799" s="927"/>
      <c r="M799" s="927"/>
      <c r="N799" s="927"/>
      <c r="O799" s="927"/>
      <c r="P799" s="927"/>
      <c r="Q799" s="927"/>
      <c r="R799" s="927"/>
      <c r="S799" s="927"/>
      <c r="T799" s="927"/>
      <c r="U799" s="927"/>
      <c r="V799" s="927"/>
      <c r="W799" s="927"/>
    </row>
    <row r="800" spans="2:34" x14ac:dyDescent="0.2">
      <c r="B800" s="916" t="s">
        <v>296</v>
      </c>
      <c r="C800" s="895"/>
      <c r="D800" s="895"/>
      <c r="E800" s="895"/>
      <c r="F800" s="895"/>
      <c r="G800" s="895"/>
      <c r="H800" s="895"/>
      <c r="I800" s="895"/>
      <c r="J800" s="895"/>
      <c r="K800" s="895"/>
      <c r="L800" s="895"/>
      <c r="M800" s="895"/>
      <c r="N800" s="895"/>
      <c r="O800" s="895"/>
      <c r="P800" s="895"/>
      <c r="Q800" s="895"/>
      <c r="R800" s="895"/>
      <c r="S800" s="895"/>
      <c r="T800" s="895"/>
      <c r="U800" s="895"/>
      <c r="V800" s="895"/>
      <c r="W800" s="895"/>
    </row>
    <row r="801" spans="2:24" ht="14.25" customHeight="1" x14ac:dyDescent="0.2">
      <c r="B801" s="479"/>
      <c r="C801" s="478"/>
      <c r="D801" s="478"/>
      <c r="E801" s="478"/>
      <c r="F801" s="478"/>
      <c r="G801" s="478"/>
      <c r="H801" s="478"/>
      <c r="I801" s="478"/>
      <c r="J801" s="478"/>
      <c r="K801" s="478"/>
      <c r="L801" s="478"/>
      <c r="M801" s="478"/>
      <c r="N801" s="478"/>
      <c r="O801" s="478"/>
      <c r="P801" s="478"/>
      <c r="Q801" s="478"/>
      <c r="R801" s="478"/>
      <c r="S801" s="478"/>
      <c r="T801" s="478"/>
      <c r="U801" s="478"/>
      <c r="V801" s="478"/>
      <c r="W801" s="478"/>
    </row>
    <row r="802" spans="2:24" ht="16.5" customHeight="1" x14ac:dyDescent="0.2">
      <c r="B802" s="915" t="s">
        <v>905</v>
      </c>
      <c r="C802" s="701"/>
      <c r="D802" s="701"/>
      <c r="E802" s="701"/>
      <c r="F802" s="701"/>
      <c r="G802" s="701"/>
      <c r="H802" s="701"/>
      <c r="I802" s="701"/>
      <c r="J802" s="701"/>
      <c r="K802" s="701"/>
      <c r="L802" s="701"/>
      <c r="M802" s="701"/>
      <c r="N802" s="701"/>
      <c r="O802" s="701"/>
      <c r="P802" s="701"/>
      <c r="Q802" s="701"/>
      <c r="R802" s="701"/>
      <c r="S802" s="701"/>
      <c r="T802" s="701"/>
      <c r="U802" s="701"/>
      <c r="V802" s="701"/>
      <c r="W802" s="701"/>
    </row>
    <row r="803" spans="2:24" ht="11.25" customHeight="1" x14ac:dyDescent="0.2">
      <c r="B803" s="217"/>
      <c r="C803" s="217"/>
      <c r="D803" s="217"/>
      <c r="E803" s="217"/>
      <c r="F803" s="217"/>
      <c r="G803" s="217"/>
      <c r="H803" s="217"/>
      <c r="I803" s="217"/>
      <c r="J803" s="217"/>
      <c r="K803" s="217"/>
      <c r="L803" s="217"/>
      <c r="M803" s="217"/>
      <c r="N803" s="217"/>
      <c r="O803" s="217"/>
      <c r="P803" s="217"/>
      <c r="Q803" s="217"/>
      <c r="R803" s="217"/>
      <c r="S803" s="217"/>
      <c r="T803" s="217"/>
      <c r="U803" s="217"/>
      <c r="V803" s="217"/>
      <c r="W803" s="217"/>
      <c r="X803" s="62"/>
    </row>
    <row r="804" spans="2:24" ht="8.25" customHeight="1" x14ac:dyDescent="0.2">
      <c r="B804" s="899" t="s">
        <v>900</v>
      </c>
      <c r="C804" s="900"/>
      <c r="D804" s="900"/>
      <c r="E804" s="900"/>
      <c r="F804" s="900"/>
      <c r="G804" s="900"/>
      <c r="H804" s="900"/>
      <c r="I804" s="900"/>
      <c r="J804" s="900"/>
      <c r="K804" s="901"/>
      <c r="L804" s="901"/>
      <c r="M804" s="901"/>
      <c r="N804" s="901"/>
      <c r="O804" s="901"/>
      <c r="P804" s="901"/>
      <c r="Q804" s="901"/>
      <c r="R804" s="901"/>
      <c r="S804" s="901"/>
      <c r="T804" s="901"/>
      <c r="U804" s="901"/>
      <c r="V804" s="901"/>
      <c r="W804" s="902"/>
    </row>
    <row r="805" spans="2:24" ht="12.75" customHeight="1" x14ac:dyDescent="0.2">
      <c r="B805" s="903"/>
      <c r="C805" s="904"/>
      <c r="D805" s="904"/>
      <c r="E805" s="904"/>
      <c r="F805" s="904"/>
      <c r="G805" s="904"/>
      <c r="H805" s="904"/>
      <c r="I805" s="904"/>
      <c r="J805" s="904"/>
      <c r="K805" s="905"/>
      <c r="L805" s="905"/>
      <c r="M805" s="905"/>
      <c r="N805" s="905"/>
      <c r="O805" s="905"/>
      <c r="P805" s="905"/>
      <c r="Q805" s="905"/>
      <c r="R805" s="905"/>
      <c r="S805" s="905"/>
      <c r="T805" s="905"/>
      <c r="U805" s="905"/>
      <c r="V805" s="905"/>
      <c r="W805" s="906"/>
    </row>
    <row r="806" spans="2:24" x14ac:dyDescent="0.2">
      <c r="B806" s="907"/>
      <c r="C806" s="908"/>
      <c r="D806" s="908"/>
      <c r="E806" s="908"/>
      <c r="F806" s="908"/>
      <c r="G806" s="908"/>
      <c r="H806" s="908"/>
      <c r="I806" s="908"/>
      <c r="J806" s="908"/>
      <c r="K806" s="905"/>
      <c r="L806" s="905"/>
      <c r="M806" s="905"/>
      <c r="N806" s="905"/>
      <c r="O806" s="905"/>
      <c r="P806" s="905"/>
      <c r="Q806" s="905"/>
      <c r="R806" s="905"/>
      <c r="S806" s="905"/>
      <c r="T806" s="905"/>
      <c r="U806" s="905"/>
      <c r="V806" s="905"/>
      <c r="W806" s="906"/>
    </row>
    <row r="807" spans="2:24" x14ac:dyDescent="0.2">
      <c r="B807" s="907"/>
      <c r="C807" s="908"/>
      <c r="D807" s="908"/>
      <c r="E807" s="908"/>
      <c r="F807" s="908"/>
      <c r="G807" s="908"/>
      <c r="H807" s="908"/>
      <c r="I807" s="908"/>
      <c r="J807" s="908"/>
      <c r="K807" s="905"/>
      <c r="L807" s="905"/>
      <c r="M807" s="905"/>
      <c r="N807" s="905"/>
      <c r="O807" s="905"/>
      <c r="P807" s="905"/>
      <c r="Q807" s="905"/>
      <c r="R807" s="905"/>
      <c r="S807" s="905"/>
      <c r="T807" s="905"/>
      <c r="U807" s="905"/>
      <c r="V807" s="905"/>
      <c r="W807" s="906"/>
    </row>
    <row r="808" spans="2:24" x14ac:dyDescent="0.2">
      <c r="B808" s="907"/>
      <c r="C808" s="908"/>
      <c r="D808" s="908"/>
      <c r="E808" s="908"/>
      <c r="F808" s="908"/>
      <c r="G808" s="908"/>
      <c r="H808" s="908"/>
      <c r="I808" s="908"/>
      <c r="J808" s="908"/>
      <c r="K808" s="905"/>
      <c r="L808" s="905"/>
      <c r="M808" s="905"/>
      <c r="N808" s="905"/>
      <c r="O808" s="905"/>
      <c r="P808" s="905"/>
      <c r="Q808" s="905"/>
      <c r="R808" s="905"/>
      <c r="S808" s="905"/>
      <c r="T808" s="905"/>
      <c r="U808" s="905"/>
      <c r="V808" s="905"/>
      <c r="W808" s="906"/>
    </row>
    <row r="809" spans="2:24" x14ac:dyDescent="0.2">
      <c r="B809" s="907"/>
      <c r="C809" s="908"/>
      <c r="D809" s="908"/>
      <c r="E809" s="908"/>
      <c r="F809" s="908"/>
      <c r="G809" s="908"/>
      <c r="H809" s="908"/>
      <c r="I809" s="908"/>
      <c r="J809" s="908"/>
      <c r="K809" s="905"/>
      <c r="L809" s="905"/>
      <c r="M809" s="905"/>
      <c r="N809" s="905"/>
      <c r="O809" s="905"/>
      <c r="P809" s="905"/>
      <c r="Q809" s="905"/>
      <c r="R809" s="905"/>
      <c r="S809" s="905"/>
      <c r="T809" s="905"/>
      <c r="U809" s="905"/>
      <c r="V809" s="905"/>
      <c r="W809" s="906"/>
    </row>
    <row r="810" spans="2:24" x14ac:dyDescent="0.2">
      <c r="B810" s="909"/>
      <c r="C810" s="910"/>
      <c r="D810" s="910"/>
      <c r="E810" s="910"/>
      <c r="F810" s="910"/>
      <c r="G810" s="910"/>
      <c r="H810" s="910"/>
      <c r="I810" s="910"/>
      <c r="J810" s="910"/>
      <c r="K810" s="910"/>
      <c r="L810" s="910"/>
      <c r="M810" s="910"/>
      <c r="N810" s="910"/>
      <c r="O810" s="910"/>
      <c r="P810" s="910"/>
      <c r="Q810" s="910"/>
      <c r="R810" s="910"/>
      <c r="S810" s="910"/>
      <c r="T810" s="910"/>
      <c r="U810" s="910"/>
      <c r="V810" s="910"/>
      <c r="W810" s="911"/>
    </row>
    <row r="811" spans="2:24" ht="15" customHeight="1" x14ac:dyDescent="0.2">
      <c r="B811" s="912"/>
      <c r="C811" s="913"/>
      <c r="D811" s="913"/>
      <c r="E811" s="913"/>
      <c r="F811" s="913"/>
      <c r="G811" s="913"/>
      <c r="H811" s="913"/>
      <c r="I811" s="913"/>
      <c r="J811" s="913"/>
      <c r="K811" s="913"/>
      <c r="L811" s="913"/>
      <c r="M811" s="913"/>
      <c r="N811" s="913"/>
      <c r="O811" s="913"/>
      <c r="P811" s="913"/>
      <c r="Q811" s="913"/>
      <c r="R811" s="913"/>
      <c r="S811" s="913"/>
      <c r="T811" s="913"/>
      <c r="U811" s="913"/>
      <c r="V811" s="913"/>
      <c r="W811" s="914"/>
    </row>
    <row r="812" spans="2:24" ht="12.6" customHeight="1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4" ht="18.75" customHeight="1" x14ac:dyDescent="0.2">
      <c r="B813" s="891" t="s">
        <v>297</v>
      </c>
      <c r="C813" s="892"/>
      <c r="D813" s="892"/>
      <c r="E813" s="892"/>
      <c r="F813" s="892"/>
      <c r="G813" s="892"/>
      <c r="H813" s="892"/>
      <c r="I813" s="892"/>
      <c r="J813" s="892"/>
      <c r="K813" s="892"/>
      <c r="L813" s="892"/>
      <c r="M813" s="892"/>
      <c r="N813" s="892"/>
      <c r="O813" s="892"/>
      <c r="P813" s="892"/>
      <c r="Q813" s="892"/>
      <c r="R813" s="892"/>
      <c r="S813" s="892"/>
      <c r="T813" s="892"/>
      <c r="U813" s="892"/>
      <c r="V813" s="892"/>
      <c r="W813" s="893"/>
    </row>
    <row r="814" spans="2:24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4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4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ht="12.75" customHeight="1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E1224" s="1"/>
      <c r="F1224" s="1"/>
      <c r="H1224" s="1"/>
      <c r="I1224" s="1"/>
      <c r="J1224" s="1"/>
      <c r="K1224" s="1"/>
    </row>
    <row r="1225" spans="2:23" x14ac:dyDescent="0.2">
      <c r="E1225" s="1"/>
      <c r="F1225" s="1"/>
      <c r="H1225" s="1"/>
      <c r="I1225" s="1"/>
      <c r="J1225" s="1"/>
      <c r="K1225" s="1"/>
    </row>
    <row r="1226" spans="2:23" x14ac:dyDescent="0.2">
      <c r="E1226" s="1"/>
      <c r="F1226" s="1"/>
      <c r="H1226" s="1"/>
      <c r="I1226" s="1"/>
      <c r="J1226" s="1"/>
      <c r="K1226" s="1"/>
    </row>
    <row r="1227" spans="2:23" x14ac:dyDescent="0.2">
      <c r="E1227" s="1"/>
      <c r="F1227" s="1"/>
      <c r="H1227" s="1"/>
      <c r="I1227" s="1"/>
      <c r="J1227" s="1"/>
      <c r="K1227" s="1"/>
    </row>
    <row r="1228" spans="2:23" x14ac:dyDescent="0.2">
      <c r="E1228" s="1"/>
      <c r="F1228" s="1"/>
      <c r="H1228" s="1"/>
      <c r="I1228" s="1"/>
      <c r="J1228" s="1"/>
      <c r="K1228" s="1"/>
    </row>
    <row r="1229" spans="2:23" x14ac:dyDescent="0.2">
      <c r="E1229" s="1"/>
      <c r="F1229" s="1"/>
      <c r="H1229" s="1"/>
      <c r="I1229" s="1"/>
      <c r="J1229" s="1"/>
      <c r="K1229" s="1"/>
    </row>
    <row r="1230" spans="2:23" x14ac:dyDescent="0.2">
      <c r="E1230" s="1"/>
      <c r="F1230" s="1"/>
      <c r="H1230" s="1"/>
      <c r="I1230" s="1"/>
      <c r="J1230" s="1"/>
      <c r="K1230" s="1"/>
    </row>
    <row r="1231" spans="2:23" x14ac:dyDescent="0.2">
      <c r="E1231" s="1"/>
      <c r="F1231" s="1"/>
      <c r="H1231" s="1"/>
      <c r="I1231" s="1"/>
      <c r="J1231" s="1"/>
      <c r="K1231" s="1"/>
    </row>
    <row r="1232" spans="2:23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</sheetData>
  <mergeCells count="1232">
    <mergeCell ref="X474:AA474"/>
    <mergeCell ref="AB642:AB643"/>
    <mergeCell ref="AF642:AH642"/>
    <mergeCell ref="B464:E464"/>
    <mergeCell ref="AF30:AJ30"/>
    <mergeCell ref="B722:B723"/>
    <mergeCell ref="C722:E723"/>
    <mergeCell ref="F722:F723"/>
    <mergeCell ref="G722:G723"/>
    <mergeCell ref="H722:W722"/>
    <mergeCell ref="X722:AA723"/>
    <mergeCell ref="AB722:AB723"/>
    <mergeCell ref="AF722:AH722"/>
    <mergeCell ref="B666:E666"/>
    <mergeCell ref="B293:E293"/>
    <mergeCell ref="B291:E291"/>
    <mergeCell ref="AB479:AB480"/>
    <mergeCell ref="B420:E420"/>
    <mergeCell ref="B523:E523"/>
    <mergeCell ref="B570:E570"/>
    <mergeCell ref="B230:E230"/>
    <mergeCell ref="B269:E269"/>
    <mergeCell ref="B214:E214"/>
    <mergeCell ref="X280:AA280"/>
    <mergeCell ref="X250:AA250"/>
    <mergeCell ref="B255:E255"/>
    <mergeCell ref="B243:E243"/>
    <mergeCell ref="B65:E65"/>
    <mergeCell ref="B211:E211"/>
    <mergeCell ref="B265:E265"/>
    <mergeCell ref="F479:F480"/>
    <mergeCell ref="B235:E235"/>
    <mergeCell ref="B173:E173"/>
    <mergeCell ref="B223:E223"/>
    <mergeCell ref="X258:AA258"/>
    <mergeCell ref="X252:AA252"/>
    <mergeCell ref="B262:E262"/>
    <mergeCell ref="B642:B643"/>
    <mergeCell ref="C642:E643"/>
    <mergeCell ref="F642:F643"/>
    <mergeCell ref="G642:G643"/>
    <mergeCell ref="H642:W642"/>
    <mergeCell ref="X642:AA643"/>
    <mergeCell ref="B212:E212"/>
    <mergeCell ref="X260:AA260"/>
    <mergeCell ref="B231:E231"/>
    <mergeCell ref="B233:E233"/>
    <mergeCell ref="B264:E264"/>
    <mergeCell ref="B298:E298"/>
    <mergeCell ref="X286:AA286"/>
    <mergeCell ref="X330:AA330"/>
    <mergeCell ref="B286:E286"/>
    <mergeCell ref="B304:E304"/>
    <mergeCell ref="B308:E308"/>
    <mergeCell ref="B462:E462"/>
    <mergeCell ref="B463:E463"/>
    <mergeCell ref="X441:AA441"/>
    <mergeCell ref="X492:AA492"/>
    <mergeCell ref="X493:AA493"/>
    <mergeCell ref="X494:AA494"/>
    <mergeCell ref="X488:AA488"/>
    <mergeCell ref="X501:AA501"/>
    <mergeCell ref="AF159:AH159"/>
    <mergeCell ref="G131:K131"/>
    <mergeCell ref="X198:AA198"/>
    <mergeCell ref="X153:AA153"/>
    <mergeCell ref="B16:E16"/>
    <mergeCell ref="B658:E658"/>
    <mergeCell ref="B676:E676"/>
    <mergeCell ref="B210:E210"/>
    <mergeCell ref="B260:E260"/>
    <mergeCell ref="B216:E216"/>
    <mergeCell ref="Q230:W230"/>
    <mergeCell ref="B276:E276"/>
    <mergeCell ref="B121:E121"/>
    <mergeCell ref="X121:AA121"/>
    <mergeCell ref="I119:W121"/>
    <mergeCell ref="X245:AA245"/>
    <mergeCell ref="B604:E604"/>
    <mergeCell ref="B657:E657"/>
    <mergeCell ref="B572:E572"/>
    <mergeCell ref="H479:W479"/>
    <mergeCell ref="B647:E647"/>
    <mergeCell ref="B613:E613"/>
    <mergeCell ref="B443:E443"/>
    <mergeCell ref="B496:E496"/>
    <mergeCell ref="X534:AA534"/>
    <mergeCell ref="X439:AA439"/>
    <mergeCell ref="X406:AA406"/>
    <mergeCell ref="X373:AA373"/>
    <mergeCell ref="X511:AA511"/>
    <mergeCell ref="X523:AA523"/>
    <mergeCell ref="X437:AA437"/>
    <mergeCell ref="X312:AA312"/>
    <mergeCell ref="AF399:AH399"/>
    <mergeCell ref="AB399:AB400"/>
    <mergeCell ref="AF319:AH319"/>
    <mergeCell ref="AF239:AH239"/>
    <mergeCell ref="AB319:AB320"/>
    <mergeCell ref="X319:AA320"/>
    <mergeCell ref="X321:AA321"/>
    <mergeCell ref="B274:E274"/>
    <mergeCell ref="B266:E266"/>
    <mergeCell ref="B218:E218"/>
    <mergeCell ref="B227:E227"/>
    <mergeCell ref="B226:E226"/>
    <mergeCell ref="B222:E222"/>
    <mergeCell ref="B225:E225"/>
    <mergeCell ref="B328:E328"/>
    <mergeCell ref="X328:AA328"/>
    <mergeCell ref="AB239:AB240"/>
    <mergeCell ref="B366:E366"/>
    <mergeCell ref="B249:E249"/>
    <mergeCell ref="F239:F240"/>
    <mergeCell ref="B242:E242"/>
    <mergeCell ref="B363:E363"/>
    <mergeCell ref="B312:E312"/>
    <mergeCell ref="B386:E386"/>
    <mergeCell ref="B385:E385"/>
    <mergeCell ref="B350:E350"/>
    <mergeCell ref="B313:E313"/>
    <mergeCell ref="X339:AA339"/>
    <mergeCell ref="C319:E320"/>
    <mergeCell ref="X325:AA325"/>
    <mergeCell ref="Q373:W373"/>
    <mergeCell ref="B358:E358"/>
    <mergeCell ref="X502:AA502"/>
    <mergeCell ref="X473:AA473"/>
    <mergeCell ref="B239:B240"/>
    <mergeCell ref="B244:E244"/>
    <mergeCell ref="B296:E296"/>
    <mergeCell ref="X296:AA296"/>
    <mergeCell ref="B563:E563"/>
    <mergeCell ref="X266:AA266"/>
    <mergeCell ref="B250:E250"/>
    <mergeCell ref="B246:E246"/>
    <mergeCell ref="X246:AA246"/>
    <mergeCell ref="B483:E483"/>
    <mergeCell ref="B257:E257"/>
    <mergeCell ref="B268:E268"/>
    <mergeCell ref="X273:AA273"/>
    <mergeCell ref="B271:E271"/>
    <mergeCell ref="B432:E432"/>
    <mergeCell ref="B421:E421"/>
    <mergeCell ref="B555:E555"/>
    <mergeCell ref="X259:AA259"/>
    <mergeCell ref="B275:E275"/>
    <mergeCell ref="B457:E457"/>
    <mergeCell ref="B433:E433"/>
    <mergeCell ref="B289:E289"/>
    <mergeCell ref="B380:E380"/>
    <mergeCell ref="B387:E387"/>
    <mergeCell ref="B309:E309"/>
    <mergeCell ref="B324:E324"/>
    <mergeCell ref="B485:E485"/>
    <mergeCell ref="B427:E427"/>
    <mergeCell ref="B379:E379"/>
    <mergeCell ref="X251:AA251"/>
    <mergeCell ref="AF479:AH479"/>
    <mergeCell ref="AF583:AH583"/>
    <mergeCell ref="B584:B585"/>
    <mergeCell ref="C584:E585"/>
    <mergeCell ref="F584:F585"/>
    <mergeCell ref="G584:G585"/>
    <mergeCell ref="H584:W584"/>
    <mergeCell ref="X584:AA585"/>
    <mergeCell ref="AB584:AB585"/>
    <mergeCell ref="AF584:AH584"/>
    <mergeCell ref="X479:AA480"/>
    <mergeCell ref="B382:E382"/>
    <mergeCell ref="B418:E418"/>
    <mergeCell ref="B273:E273"/>
    <mergeCell ref="B338:E338"/>
    <mergeCell ref="X490:AA490"/>
    <mergeCell ref="B247:E247"/>
    <mergeCell ref="B295:E295"/>
    <mergeCell ref="X275:AA275"/>
    <mergeCell ref="B453:E453"/>
    <mergeCell ref="B348:E348"/>
    <mergeCell ref="B424:E424"/>
    <mergeCell ref="B299:E299"/>
    <mergeCell ref="X513:AA513"/>
    <mergeCell ref="X455:AA455"/>
    <mergeCell ref="B513:E513"/>
    <mergeCell ref="G479:G480"/>
    <mergeCell ref="X470:AA470"/>
    <mergeCell ref="X468:AA468"/>
    <mergeCell ref="B412:E412"/>
    <mergeCell ref="X495:AA495"/>
    <mergeCell ref="B307:E307"/>
    <mergeCell ref="X512:AA512"/>
    <mergeCell ref="X526:AA526"/>
    <mergeCell ref="C239:E240"/>
    <mergeCell ref="H239:W239"/>
    <mergeCell ref="X244:AA244"/>
    <mergeCell ref="X256:AA256"/>
    <mergeCell ref="B514:E514"/>
    <mergeCell ref="X434:AA434"/>
    <mergeCell ref="B419:E419"/>
    <mergeCell ref="X405:AA405"/>
    <mergeCell ref="B407:E407"/>
    <mergeCell ref="B408:E408"/>
    <mergeCell ref="G399:G400"/>
    <mergeCell ref="B413:E413"/>
    <mergeCell ref="B405:E405"/>
    <mergeCell ref="B392:E392"/>
    <mergeCell ref="B306:E306"/>
    <mergeCell ref="X399:AA400"/>
    <mergeCell ref="X408:AA408"/>
    <mergeCell ref="B505:E505"/>
    <mergeCell ref="B526:E526"/>
    <mergeCell ref="X522:AA522"/>
    <mergeCell ref="B519:E519"/>
    <mergeCell ref="B468:E468"/>
    <mergeCell ref="X497:AA497"/>
    <mergeCell ref="X457:AA457"/>
    <mergeCell ref="B474:E474"/>
    <mergeCell ref="X469:AA469"/>
    <mergeCell ref="B449:E449"/>
    <mergeCell ref="B469:E469"/>
    <mergeCell ref="X435:AA435"/>
    <mergeCell ref="B294:E294"/>
    <mergeCell ref="B481:E481"/>
    <mergeCell ref="X481:AA481"/>
    <mergeCell ref="B224:E224"/>
    <mergeCell ref="X261:AA261"/>
    <mergeCell ref="B234:E234"/>
    <mergeCell ref="B254:E254"/>
    <mergeCell ref="B314:E314"/>
    <mergeCell ref="B290:E290"/>
    <mergeCell ref="X307:AA307"/>
    <mergeCell ref="B414:E414"/>
    <mergeCell ref="B429:E429"/>
    <mergeCell ref="B428:E428"/>
    <mergeCell ref="X432:AA432"/>
    <mergeCell ref="B434:E434"/>
    <mergeCell ref="B451:E451"/>
    <mergeCell ref="X440:AA440"/>
    <mergeCell ref="X262:AA262"/>
    <mergeCell ref="X255:AA255"/>
    <mergeCell ref="B333:E333"/>
    <mergeCell ref="B330:E330"/>
    <mergeCell ref="B326:E326"/>
    <mergeCell ref="B459:E459"/>
    <mergeCell ref="B460:E460"/>
    <mergeCell ref="B461:E461"/>
    <mergeCell ref="B337:E337"/>
    <mergeCell ref="X333:AA333"/>
    <mergeCell ref="X306:AA306"/>
    <mergeCell ref="B310:E310"/>
    <mergeCell ref="X368:AA368"/>
    <mergeCell ref="B319:B320"/>
    <mergeCell ref="X367:AA367"/>
    <mergeCell ref="X433:AA433"/>
    <mergeCell ref="B263:E263"/>
    <mergeCell ref="Q231:W231"/>
    <mergeCell ref="B267:E267"/>
    <mergeCell ref="X267:AA267"/>
    <mergeCell ref="X282:AA282"/>
    <mergeCell ref="X283:AA283"/>
    <mergeCell ref="X264:AA264"/>
    <mergeCell ref="X270:AA270"/>
    <mergeCell ref="X272:AA272"/>
    <mergeCell ref="X274:AA274"/>
    <mergeCell ref="X276:AA276"/>
    <mergeCell ref="X268:AA268"/>
    <mergeCell ref="X269:AA269"/>
    <mergeCell ref="B277:E277"/>
    <mergeCell ref="X265:AA265"/>
    <mergeCell ref="B270:E270"/>
    <mergeCell ref="B252:E252"/>
    <mergeCell ref="B256:E256"/>
    <mergeCell ref="X271:AA271"/>
    <mergeCell ref="X248:AA248"/>
    <mergeCell ref="B232:E232"/>
    <mergeCell ref="B281:E281"/>
    <mergeCell ref="B282:E282"/>
    <mergeCell ref="X247:AA247"/>
    <mergeCell ref="B245:E245"/>
    <mergeCell ref="B253:E253"/>
    <mergeCell ref="X199:AA199"/>
    <mergeCell ref="X175:AA175"/>
    <mergeCell ref="X179:AA179"/>
    <mergeCell ref="B184:E184"/>
    <mergeCell ref="B201:E201"/>
    <mergeCell ref="B191:E191"/>
    <mergeCell ref="B196:E196"/>
    <mergeCell ref="X159:AA160"/>
    <mergeCell ref="G159:G160"/>
    <mergeCell ref="B193:E193"/>
    <mergeCell ref="B181:E181"/>
    <mergeCell ref="X181:AA181"/>
    <mergeCell ref="B192:E192"/>
    <mergeCell ref="I192:M195"/>
    <mergeCell ref="X174:AA174"/>
    <mergeCell ref="B190:E190"/>
    <mergeCell ref="B171:E171"/>
    <mergeCell ref="B180:E180"/>
    <mergeCell ref="B163:E163"/>
    <mergeCell ref="B135:E135"/>
    <mergeCell ref="X131:AA131"/>
    <mergeCell ref="B151:E151"/>
    <mergeCell ref="B141:E141"/>
    <mergeCell ref="X141:AA141"/>
    <mergeCell ref="X139:AA139"/>
    <mergeCell ref="X183:AA183"/>
    <mergeCell ref="X49:AA49"/>
    <mergeCell ref="B75:E75"/>
    <mergeCell ref="X73:AA73"/>
    <mergeCell ref="B126:E126"/>
    <mergeCell ref="B89:E89"/>
    <mergeCell ref="X75:AA75"/>
    <mergeCell ref="X130:AA130"/>
    <mergeCell ref="B139:E139"/>
    <mergeCell ref="G132:K132"/>
    <mergeCell ref="X154:AA154"/>
    <mergeCell ref="H49:K49"/>
    <mergeCell ref="B60:E60"/>
    <mergeCell ref="B66:E66"/>
    <mergeCell ref="B152:E152"/>
    <mergeCell ref="B164:E164"/>
    <mergeCell ref="B68:E68"/>
    <mergeCell ref="B64:E64"/>
    <mergeCell ref="G112:M112"/>
    <mergeCell ref="X144:AA144"/>
    <mergeCell ref="B143:E143"/>
    <mergeCell ref="X138:AA138"/>
    <mergeCell ref="B142:E142"/>
    <mergeCell ref="B145:E145"/>
    <mergeCell ref="B148:E148"/>
    <mergeCell ref="B125:E125"/>
    <mergeCell ref="X142:AA142"/>
    <mergeCell ref="B123:E123"/>
    <mergeCell ref="X125:AA125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8:E168"/>
    <mergeCell ref="B228:E228"/>
    <mergeCell ref="B138:E138"/>
    <mergeCell ref="B50:E50"/>
    <mergeCell ref="X50:AA50"/>
    <mergeCell ref="B92:E92"/>
    <mergeCell ref="H50:K50"/>
    <mergeCell ref="B209:E209"/>
    <mergeCell ref="B98:E98"/>
    <mergeCell ref="B112:E112"/>
    <mergeCell ref="X129:AA129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89:E189"/>
    <mergeCell ref="B85:E85"/>
    <mergeCell ref="X126:AA126"/>
    <mergeCell ref="X119:AA119"/>
    <mergeCell ref="B128:E128"/>
    <mergeCell ref="B131:E131"/>
    <mergeCell ref="X88:Z88"/>
    <mergeCell ref="X135:AA135"/>
    <mergeCell ref="B207:E207"/>
    <mergeCell ref="X190:AA190"/>
    <mergeCell ref="AF79:AH79"/>
    <mergeCell ref="B33:E33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AC147:AF147"/>
    <mergeCell ref="G129:K129"/>
    <mergeCell ref="X87:Z87"/>
    <mergeCell ref="F81:I91"/>
    <mergeCell ref="G105:M105"/>
    <mergeCell ref="G106:M106"/>
    <mergeCell ref="B109:E109"/>
    <mergeCell ref="G109:M109"/>
    <mergeCell ref="H40:K40"/>
    <mergeCell ref="X44:AA44"/>
    <mergeCell ref="X39:AA39"/>
    <mergeCell ref="B46:E46"/>
    <mergeCell ref="B49:E49"/>
    <mergeCell ref="B134:E134"/>
    <mergeCell ref="B133:E133"/>
    <mergeCell ref="X108:AA108"/>
    <mergeCell ref="X128:AA128"/>
    <mergeCell ref="B129:E129"/>
    <mergeCell ref="B106:E106"/>
    <mergeCell ref="G127:K127"/>
    <mergeCell ref="G123:K123"/>
    <mergeCell ref="G130:K130"/>
    <mergeCell ref="G125:K125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H44:K44"/>
    <mergeCell ref="AB79:AB80"/>
    <mergeCell ref="B61:E61"/>
    <mergeCell ref="B52:E52"/>
    <mergeCell ref="B58:E58"/>
    <mergeCell ref="H46:K46"/>
    <mergeCell ref="X48:AA48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AF15:AI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AB8:AB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B118:E118"/>
    <mergeCell ref="G118:M118"/>
    <mergeCell ref="B24:E24"/>
    <mergeCell ref="B35:E35"/>
    <mergeCell ref="Q19:W19"/>
    <mergeCell ref="X34:AA34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95:E95"/>
    <mergeCell ref="B29:E29"/>
    <mergeCell ref="B39:E39"/>
    <mergeCell ref="B140:E140"/>
    <mergeCell ref="B170:E170"/>
    <mergeCell ref="B108:E108"/>
    <mergeCell ref="X79:AA80"/>
    <mergeCell ref="O95:W95"/>
    <mergeCell ref="B99:E99"/>
    <mergeCell ref="X124:AA124"/>
    <mergeCell ref="B81:E81"/>
    <mergeCell ref="B86:E86"/>
    <mergeCell ref="X122:AA122"/>
    <mergeCell ref="B103:E103"/>
    <mergeCell ref="B83:E83"/>
    <mergeCell ref="B82:E82"/>
    <mergeCell ref="X83:Z83"/>
    <mergeCell ref="B107:E107"/>
    <mergeCell ref="B94:E94"/>
    <mergeCell ref="B84:E84"/>
    <mergeCell ref="B90:E90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X107:AA107"/>
    <mergeCell ref="G124:K124"/>
    <mergeCell ref="G117:M117"/>
    <mergeCell ref="X117:AA117"/>
    <mergeCell ref="B153:E153"/>
    <mergeCell ref="B186:E186"/>
    <mergeCell ref="X168:AA168"/>
    <mergeCell ref="B188:E188"/>
    <mergeCell ref="B199:E199"/>
    <mergeCell ref="B182:E182"/>
    <mergeCell ref="X182:AA182"/>
    <mergeCell ref="B149:E149"/>
    <mergeCell ref="B144:E144"/>
    <mergeCell ref="X196:AA196"/>
    <mergeCell ref="B205:E205"/>
    <mergeCell ref="B208:E208"/>
    <mergeCell ref="X189:AA189"/>
    <mergeCell ref="B195:E195"/>
    <mergeCell ref="X145:AA145"/>
    <mergeCell ref="X277:AA277"/>
    <mergeCell ref="B470:E470"/>
    <mergeCell ref="B435:E435"/>
    <mergeCell ref="X155:AA155"/>
    <mergeCell ref="B154:E154"/>
    <mergeCell ref="X152:AA152"/>
    <mergeCell ref="B198:E198"/>
    <mergeCell ref="B176:E176"/>
    <mergeCell ref="X176:AA176"/>
    <mergeCell ref="B174:E174"/>
    <mergeCell ref="B169:E169"/>
    <mergeCell ref="X197:AA197"/>
    <mergeCell ref="X148:AA148"/>
    <mergeCell ref="X146:AA146"/>
    <mergeCell ref="X171:AA171"/>
    <mergeCell ref="B194:E194"/>
    <mergeCell ref="B200:E200"/>
    <mergeCell ref="B97:E97"/>
    <mergeCell ref="B120:E120"/>
    <mergeCell ref="G122:K122"/>
    <mergeCell ref="B117:E117"/>
    <mergeCell ref="B213:E213"/>
    <mergeCell ref="B241:E241"/>
    <mergeCell ref="B220:E220"/>
    <mergeCell ref="B221:E221"/>
    <mergeCell ref="H217:M217"/>
    <mergeCell ref="B217:E217"/>
    <mergeCell ref="B229:E229"/>
    <mergeCell ref="G239:G240"/>
    <mergeCell ref="B258:E258"/>
    <mergeCell ref="G319:G320"/>
    <mergeCell ref="F319:F320"/>
    <mergeCell ref="X127:AA127"/>
    <mergeCell ref="B278:E278"/>
    <mergeCell ref="X263:AA263"/>
    <mergeCell ref="B248:E248"/>
    <mergeCell ref="X257:AA257"/>
    <mergeCell ref="B261:E261"/>
    <mergeCell ref="X249:AA249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1:AA201"/>
    <mergeCell ref="B187:E187"/>
    <mergeCell ref="A748:A758"/>
    <mergeCell ref="B756:G756"/>
    <mergeCell ref="B737:E737"/>
    <mergeCell ref="B757:G757"/>
    <mergeCell ref="B738:E738"/>
    <mergeCell ref="B741:E741"/>
    <mergeCell ref="B758:G758"/>
    <mergeCell ref="B747:G747"/>
    <mergeCell ref="B750:G750"/>
    <mergeCell ref="X442:AA442"/>
    <mergeCell ref="B482:E482"/>
    <mergeCell ref="B475:E475"/>
    <mergeCell ref="F542:F543"/>
    <mergeCell ref="B739:E739"/>
    <mergeCell ref="F682:F683"/>
    <mergeCell ref="B675:E675"/>
    <mergeCell ref="X342:AA342"/>
    <mergeCell ref="B695:E695"/>
    <mergeCell ref="B706:E706"/>
    <mergeCell ref="B600:E600"/>
    <mergeCell ref="X713:AA713"/>
    <mergeCell ref="X715:AA715"/>
    <mergeCell ref="X535:AA535"/>
    <mergeCell ref="B708:E708"/>
    <mergeCell ref="B616:E616"/>
    <mergeCell ref="B610:E610"/>
    <mergeCell ref="B621:E621"/>
    <mergeCell ref="B627:E627"/>
    <mergeCell ref="B561:E561"/>
    <mergeCell ref="B687:E687"/>
    <mergeCell ref="B693:E693"/>
    <mergeCell ref="X694:AA694"/>
    <mergeCell ref="B620:E620"/>
    <mergeCell ref="B618:E618"/>
    <mergeCell ref="B619:E619"/>
    <mergeCell ref="B656:E656"/>
    <mergeCell ref="B715:E715"/>
    <mergeCell ref="B554:E554"/>
    <mergeCell ref="B553:E553"/>
    <mergeCell ref="B542:B543"/>
    <mergeCell ref="B630:E630"/>
    <mergeCell ref="B638:E638"/>
    <mergeCell ref="B636:E636"/>
    <mergeCell ref="B654:E654"/>
    <mergeCell ref="B611:E611"/>
    <mergeCell ref="B612:E612"/>
    <mergeCell ref="B614:E614"/>
    <mergeCell ref="B609:E609"/>
    <mergeCell ref="B592:E592"/>
    <mergeCell ref="B589:E589"/>
    <mergeCell ref="B575:E575"/>
    <mergeCell ref="B569:E569"/>
    <mergeCell ref="B597:E597"/>
    <mergeCell ref="B678:E678"/>
    <mergeCell ref="B664:E664"/>
    <mergeCell ref="B626:E626"/>
    <mergeCell ref="B624:E624"/>
    <mergeCell ref="B617:E617"/>
    <mergeCell ref="B568:E568"/>
    <mergeCell ref="B547:E547"/>
    <mergeCell ref="B545:E545"/>
    <mergeCell ref="B564:E564"/>
    <mergeCell ref="B598:E598"/>
    <mergeCell ref="B579:E579"/>
    <mergeCell ref="X150:AA150"/>
    <mergeCell ref="X140:AA140"/>
    <mergeCell ref="B375:E375"/>
    <mergeCell ref="B378:E378"/>
    <mergeCell ref="B285:E285"/>
    <mergeCell ref="X278:AA278"/>
    <mergeCell ref="X308:AA308"/>
    <mergeCell ref="B272:E272"/>
    <mergeCell ref="B279:E279"/>
    <mergeCell ref="X253:AA253"/>
    <mergeCell ref="B490:E490"/>
    <mergeCell ref="X487:AA487"/>
    <mergeCell ref="F159:F160"/>
    <mergeCell ref="B159:B160"/>
    <mergeCell ref="B177:E177"/>
    <mergeCell ref="X177:AA177"/>
    <mergeCell ref="B162:E162"/>
    <mergeCell ref="X170:AA170"/>
    <mergeCell ref="X169:AA169"/>
    <mergeCell ref="X180:AA180"/>
    <mergeCell ref="X186:AA186"/>
    <mergeCell ref="B175:E175"/>
    <mergeCell ref="B206:E206"/>
    <mergeCell ref="B471:E471"/>
    <mergeCell ref="B202:E202"/>
    <mergeCell ref="B178:E178"/>
    <mergeCell ref="X178:AA178"/>
    <mergeCell ref="B185:E185"/>
    <mergeCell ref="X483:AA483"/>
    <mergeCell ref="B345:E345"/>
    <mergeCell ref="B458:E458"/>
    <mergeCell ref="B150:E150"/>
    <mergeCell ref="B565:E565"/>
    <mergeCell ref="B587:E587"/>
    <mergeCell ref="X538:AA538"/>
    <mergeCell ref="X524:AA524"/>
    <mergeCell ref="B552:E552"/>
    <mergeCell ref="B533:E533"/>
    <mergeCell ref="X539:AA539"/>
    <mergeCell ref="B588:E588"/>
    <mergeCell ref="B549:E549"/>
    <mergeCell ref="B551:E551"/>
    <mergeCell ref="B530:E530"/>
    <mergeCell ref="B580:G580"/>
    <mergeCell ref="B581:G581"/>
    <mergeCell ref="B544:E544"/>
    <mergeCell ref="B527:E527"/>
    <mergeCell ref="H542:W542"/>
    <mergeCell ref="B541:W541"/>
    <mergeCell ref="X537:AA537"/>
    <mergeCell ref="X536:AA536"/>
    <mergeCell ref="B535:E535"/>
    <mergeCell ref="B532:E532"/>
    <mergeCell ref="B538:E538"/>
    <mergeCell ref="B528:E528"/>
    <mergeCell ref="B529:E529"/>
    <mergeCell ref="X525:AA525"/>
    <mergeCell ref="G542:G543"/>
    <mergeCell ref="B562:E562"/>
    <mergeCell ref="B525:E525"/>
    <mergeCell ref="H159:W159"/>
    <mergeCell ref="C159:E160"/>
    <mergeCell ref="B716:E716"/>
    <mergeCell ref="H662:W662"/>
    <mergeCell ref="B586:E586"/>
    <mergeCell ref="B521:E521"/>
    <mergeCell ref="B534:E534"/>
    <mergeCell ref="B594:E594"/>
    <mergeCell ref="B596:E596"/>
    <mergeCell ref="B591:E591"/>
    <mergeCell ref="B467:E467"/>
    <mergeCell ref="B497:E497"/>
    <mergeCell ref="B493:E493"/>
    <mergeCell ref="B494:E494"/>
    <mergeCell ref="B495:E495"/>
    <mergeCell ref="B436:E436"/>
    <mergeCell ref="B488:E488"/>
    <mergeCell ref="B714:E714"/>
    <mergeCell ref="B623:E623"/>
    <mergeCell ref="B650:E650"/>
    <mergeCell ref="B455:E455"/>
    <mergeCell ref="B466:E466"/>
    <mergeCell ref="B576:E576"/>
    <mergeCell ref="B602:E602"/>
    <mergeCell ref="B548:E548"/>
    <mergeCell ref="B515:E515"/>
    <mergeCell ref="B595:E595"/>
    <mergeCell ref="B559:B560"/>
    <mergeCell ref="C559:E560"/>
    <mergeCell ref="B590:E590"/>
    <mergeCell ref="B583:W583"/>
    <mergeCell ref="B574:E574"/>
    <mergeCell ref="B813:W813"/>
    <mergeCell ref="B786:W786"/>
    <mergeCell ref="B784:W784"/>
    <mergeCell ref="B804:W811"/>
    <mergeCell ref="B787:W787"/>
    <mergeCell ref="B802:W802"/>
    <mergeCell ref="B800:W800"/>
    <mergeCell ref="B791:W794"/>
    <mergeCell ref="B798:W799"/>
    <mergeCell ref="B790:W790"/>
    <mergeCell ref="B788:W788"/>
    <mergeCell ref="S753:S754"/>
    <mergeCell ref="C763:G763"/>
    <mergeCell ref="B736:E736"/>
    <mergeCell ref="N753:N754"/>
    <mergeCell ref="H753:H754"/>
    <mergeCell ref="B725:E725"/>
    <mergeCell ref="I753:I754"/>
    <mergeCell ref="B733:E733"/>
    <mergeCell ref="B743:E743"/>
    <mergeCell ref="B735:E735"/>
    <mergeCell ref="C765:G765"/>
    <mergeCell ref="U753:U754"/>
    <mergeCell ref="C762:I762"/>
    <mergeCell ref="B760:J760"/>
    <mergeCell ref="W753:W754"/>
    <mergeCell ref="B749:G749"/>
    <mergeCell ref="B746:W746"/>
    <mergeCell ref="B729:E729"/>
    <mergeCell ref="B726:E726"/>
    <mergeCell ref="C764:G764"/>
    <mergeCell ref="B734:E734"/>
    <mergeCell ref="B166:E166"/>
    <mergeCell ref="B165:E165"/>
    <mergeCell ref="B161:E161"/>
    <mergeCell ref="X161:AA161"/>
    <mergeCell ref="AF787:AH787"/>
    <mergeCell ref="O753:O754"/>
    <mergeCell ref="L753:L754"/>
    <mergeCell ref="P753:P754"/>
    <mergeCell ref="C773:I773"/>
    <mergeCell ref="C781:G781"/>
    <mergeCell ref="C782:G782"/>
    <mergeCell ref="M753:M754"/>
    <mergeCell ref="B744:E744"/>
    <mergeCell ref="B742:E742"/>
    <mergeCell ref="B752:W752"/>
    <mergeCell ref="B674:E674"/>
    <mergeCell ref="B727:E727"/>
    <mergeCell ref="B684:E684"/>
    <mergeCell ref="B681:W681"/>
    <mergeCell ref="B682:B683"/>
    <mergeCell ref="B691:E691"/>
    <mergeCell ref="B686:E686"/>
    <mergeCell ref="J753:J754"/>
    <mergeCell ref="B755:G755"/>
    <mergeCell ref="C766:I767"/>
    <mergeCell ref="C774:I780"/>
    <mergeCell ref="X697:AA697"/>
    <mergeCell ref="B710:E710"/>
    <mergeCell ref="B635:E635"/>
    <mergeCell ref="B606:E606"/>
    <mergeCell ref="B607:E607"/>
    <mergeCell ref="B697:E697"/>
    <mergeCell ref="X735:AA735"/>
    <mergeCell ref="B651:E651"/>
    <mergeCell ref="B713:E713"/>
    <mergeCell ref="X696:AA696"/>
    <mergeCell ref="K753:K754"/>
    <mergeCell ref="B748:G748"/>
    <mergeCell ref="B751:G751"/>
    <mergeCell ref="B740:E740"/>
    <mergeCell ref="C682:E683"/>
    <mergeCell ref="X714:AA714"/>
    <mergeCell ref="B730:E730"/>
    <mergeCell ref="X730:AA730"/>
    <mergeCell ref="B672:E672"/>
    <mergeCell ref="B724:E724"/>
    <mergeCell ref="B667:E667"/>
    <mergeCell ref="B699:E699"/>
    <mergeCell ref="X712:AA712"/>
    <mergeCell ref="X717:AA717"/>
    <mergeCell ref="B702:E702"/>
    <mergeCell ref="B696:E696"/>
    <mergeCell ref="X706:AA706"/>
    <mergeCell ref="X705:AA705"/>
    <mergeCell ref="B653:E653"/>
    <mergeCell ref="B717:E717"/>
    <mergeCell ref="AF773:AH773"/>
    <mergeCell ref="B753:G754"/>
    <mergeCell ref="B769:W771"/>
    <mergeCell ref="T753:T754"/>
    <mergeCell ref="AB682:AB683"/>
    <mergeCell ref="B709:E709"/>
    <mergeCell ref="B711:E711"/>
    <mergeCell ref="H682:W682"/>
    <mergeCell ref="B692:E692"/>
    <mergeCell ref="Q753:Q754"/>
    <mergeCell ref="G682:G683"/>
    <mergeCell ref="X704:AA704"/>
    <mergeCell ref="X702:AA702"/>
    <mergeCell ref="X700:AA700"/>
    <mergeCell ref="X703:AA703"/>
    <mergeCell ref="AF682:AH682"/>
    <mergeCell ref="AF746:AH746"/>
    <mergeCell ref="X699:AA699"/>
    <mergeCell ref="B698:E698"/>
    <mergeCell ref="B700:E700"/>
    <mergeCell ref="V753:V754"/>
    <mergeCell ref="B685:E685"/>
    <mergeCell ref="B732:E732"/>
    <mergeCell ref="B704:E704"/>
    <mergeCell ref="B690:E690"/>
    <mergeCell ref="X724:AA724"/>
    <mergeCell ref="X729:AA729"/>
    <mergeCell ref="X708:AA708"/>
    <mergeCell ref="X725:AA725"/>
    <mergeCell ref="X707:AA707"/>
    <mergeCell ref="X716:AA716"/>
    <mergeCell ref="R753:R754"/>
    <mergeCell ref="B622:E622"/>
    <mergeCell ref="B677:E677"/>
    <mergeCell ref="AB662:AB663"/>
    <mergeCell ref="X734:AA734"/>
    <mergeCell ref="X682:AA683"/>
    <mergeCell ref="B718:E718"/>
    <mergeCell ref="B705:E705"/>
    <mergeCell ref="B707:E707"/>
    <mergeCell ref="B712:E712"/>
    <mergeCell ref="B701:E701"/>
    <mergeCell ref="B665:E665"/>
    <mergeCell ref="B655:E655"/>
    <mergeCell ref="B673:E673"/>
    <mergeCell ref="B631:E631"/>
    <mergeCell ref="B625:E625"/>
    <mergeCell ref="B632:E632"/>
    <mergeCell ref="B659:E659"/>
    <mergeCell ref="B652:E652"/>
    <mergeCell ref="B670:E670"/>
    <mergeCell ref="B668:E668"/>
    <mergeCell ref="B669:E669"/>
    <mergeCell ref="B629:E629"/>
    <mergeCell ref="B628:E628"/>
    <mergeCell ref="B679:E679"/>
    <mergeCell ref="B703:E703"/>
    <mergeCell ref="X710:AA710"/>
    <mergeCell ref="X718:AA718"/>
    <mergeCell ref="B689:E689"/>
    <mergeCell ref="B694:E694"/>
    <mergeCell ref="G662:G663"/>
    <mergeCell ref="B671:E671"/>
    <mergeCell ref="B688:E688"/>
    <mergeCell ref="AF662:AH662"/>
    <mergeCell ref="X491:AA491"/>
    <mergeCell ref="B577:E577"/>
    <mergeCell ref="B578:E578"/>
    <mergeCell ref="B573:E573"/>
    <mergeCell ref="B637:E637"/>
    <mergeCell ref="C662:E663"/>
    <mergeCell ref="B601:E601"/>
    <mergeCell ref="B633:E633"/>
    <mergeCell ref="B550:E550"/>
    <mergeCell ref="X662:AA663"/>
    <mergeCell ref="B662:B663"/>
    <mergeCell ref="F662:F663"/>
    <mergeCell ref="B661:W661"/>
    <mergeCell ref="B634:E634"/>
    <mergeCell ref="B566:E566"/>
    <mergeCell ref="AF661:AH661"/>
    <mergeCell ref="B546:E546"/>
    <mergeCell ref="B593:E593"/>
    <mergeCell ref="X542:AA543"/>
    <mergeCell ref="C542:E543"/>
    <mergeCell ref="B599:E599"/>
    <mergeCell ref="B510:E510"/>
    <mergeCell ref="AF541:AH541"/>
    <mergeCell ref="AB542:AB543"/>
    <mergeCell ref="AF542:AH542"/>
    <mergeCell ref="B615:E615"/>
    <mergeCell ref="B571:E571"/>
    <mergeCell ref="B608:E608"/>
    <mergeCell ref="B567:E567"/>
    <mergeCell ref="B605:E605"/>
    <mergeCell ref="B501:E501"/>
    <mergeCell ref="B430:E430"/>
    <mergeCell ref="B403:E403"/>
    <mergeCell ref="B390:E390"/>
    <mergeCell ref="B445:E445"/>
    <mergeCell ref="B437:E437"/>
    <mergeCell ref="B323:E323"/>
    <mergeCell ref="B426:E426"/>
    <mergeCell ref="B415:E415"/>
    <mergeCell ref="B331:E331"/>
    <mergeCell ref="B373:E373"/>
    <mergeCell ref="B325:E325"/>
    <mergeCell ref="B327:E327"/>
    <mergeCell ref="B376:E376"/>
    <mergeCell ref="B369:E369"/>
    <mergeCell ref="B384:E384"/>
    <mergeCell ref="B354:E354"/>
    <mergeCell ref="B416:E416"/>
    <mergeCell ref="B357:E357"/>
    <mergeCell ref="B368:E368"/>
    <mergeCell ref="B343:E343"/>
    <mergeCell ref="B364:E364"/>
    <mergeCell ref="B425:E425"/>
    <mergeCell ref="B441:E441"/>
    <mergeCell ref="B389:E389"/>
    <mergeCell ref="B391:E391"/>
    <mergeCell ref="B399:B400"/>
    <mergeCell ref="B401:E401"/>
    <mergeCell ref="B377:E377"/>
    <mergeCell ref="B395:E395"/>
    <mergeCell ref="B362:E362"/>
    <mergeCell ref="B367:E367"/>
    <mergeCell ref="B360:E360"/>
    <mergeCell ref="X436:AA436"/>
    <mergeCell ref="B440:E440"/>
    <mergeCell ref="B489:E489"/>
    <mergeCell ref="X489:AA489"/>
    <mergeCell ref="X456:AA456"/>
    <mergeCell ref="X454:AA454"/>
    <mergeCell ref="B524:E524"/>
    <mergeCell ref="B516:E516"/>
    <mergeCell ref="X485:AA485"/>
    <mergeCell ref="I504:M509"/>
    <mergeCell ref="B452:E452"/>
    <mergeCell ref="B504:E504"/>
    <mergeCell ref="B456:E456"/>
    <mergeCell ref="B476:E476"/>
    <mergeCell ref="B444:E444"/>
    <mergeCell ref="B446:E446"/>
    <mergeCell ref="B502:E502"/>
    <mergeCell ref="B487:E487"/>
    <mergeCell ref="B448:E448"/>
    <mergeCell ref="X521:AA521"/>
    <mergeCell ref="B450:E450"/>
    <mergeCell ref="B442:E442"/>
    <mergeCell ref="B492:E492"/>
    <mergeCell ref="B522:E522"/>
    <mergeCell ref="B472:E472"/>
    <mergeCell ref="X510:AA510"/>
    <mergeCell ref="X503:AA503"/>
    <mergeCell ref="X471:AA471"/>
    <mergeCell ref="B486:E486"/>
    <mergeCell ref="X486:AA486"/>
    <mergeCell ref="B484:E484"/>
    <mergeCell ref="X484:AA484"/>
    <mergeCell ref="B603:E603"/>
    <mergeCell ref="B473:E473"/>
    <mergeCell ref="B517:E517"/>
    <mergeCell ref="F559:F560"/>
    <mergeCell ref="G559:G560"/>
    <mergeCell ref="H559:W559"/>
    <mergeCell ref="X496:AA496"/>
    <mergeCell ref="B438:E438"/>
    <mergeCell ref="B439:E439"/>
    <mergeCell ref="B431:E431"/>
    <mergeCell ref="B479:B480"/>
    <mergeCell ref="C479:E480"/>
    <mergeCell ref="B454:E454"/>
    <mergeCell ref="B507:E507"/>
    <mergeCell ref="I498:M500"/>
    <mergeCell ref="X438:AA438"/>
    <mergeCell ref="B404:E404"/>
    <mergeCell ref="B511:E511"/>
    <mergeCell ref="B518:E518"/>
    <mergeCell ref="B512:E512"/>
    <mergeCell ref="B509:E509"/>
    <mergeCell ref="B503:E503"/>
    <mergeCell ref="B531:E531"/>
    <mergeCell ref="B508:E508"/>
    <mergeCell ref="B500:E500"/>
    <mergeCell ref="B506:E506"/>
    <mergeCell ref="B491:E491"/>
    <mergeCell ref="B499:E499"/>
    <mergeCell ref="X482:AA482"/>
    <mergeCell ref="B498:E498"/>
    <mergeCell ref="X472:AA472"/>
    <mergeCell ref="B447:E447"/>
    <mergeCell ref="X331:AA331"/>
    <mergeCell ref="B172:E172"/>
    <mergeCell ref="B283:E283"/>
    <mergeCell ref="B297:E297"/>
    <mergeCell ref="X335:AA335"/>
    <mergeCell ref="B311:E311"/>
    <mergeCell ref="X323:AA323"/>
    <mergeCell ref="X313:AA313"/>
    <mergeCell ref="B322:E322"/>
    <mergeCell ref="B335:E335"/>
    <mergeCell ref="B315:E315"/>
    <mergeCell ref="X338:AA338"/>
    <mergeCell ref="B336:E336"/>
    <mergeCell ref="B340:E340"/>
    <mergeCell ref="X324:AA324"/>
    <mergeCell ref="X185:AA185"/>
    <mergeCell ref="B183:E183"/>
    <mergeCell ref="B251:E251"/>
    <mergeCell ref="H319:W319"/>
    <mergeCell ref="X254:AA254"/>
    <mergeCell ref="B259:E259"/>
    <mergeCell ref="B203:E203"/>
    <mergeCell ref="B332:E332"/>
    <mergeCell ref="B339:E339"/>
    <mergeCell ref="X172:AA172"/>
    <mergeCell ref="X202:AA202"/>
    <mergeCell ref="B197:E197"/>
    <mergeCell ref="X191:AA191"/>
    <mergeCell ref="X188:AA188"/>
    <mergeCell ref="X200:AA200"/>
    <mergeCell ref="H197:K202"/>
    <mergeCell ref="B179:E179"/>
    <mergeCell ref="B342:E342"/>
    <mergeCell ref="X309:AA309"/>
    <mergeCell ref="X305:AA305"/>
    <mergeCell ref="X322:AA322"/>
    <mergeCell ref="X311:AA311"/>
    <mergeCell ref="X343:AA343"/>
    <mergeCell ref="B644:E644"/>
    <mergeCell ref="X326:AA326"/>
    <mergeCell ref="B204:E204"/>
    <mergeCell ref="B303:E303"/>
    <mergeCell ref="X287:AA287"/>
    <mergeCell ref="B365:E365"/>
    <mergeCell ref="B352:E352"/>
    <mergeCell ref="B361:E361"/>
    <mergeCell ref="B344:E344"/>
    <mergeCell ref="B370:E370"/>
    <mergeCell ref="B356:E356"/>
    <mergeCell ref="B300:E300"/>
    <mergeCell ref="B423:E423"/>
    <mergeCell ref="B411:E411"/>
    <mergeCell ref="X404:AA404"/>
    <mergeCell ref="B383:E383"/>
    <mergeCell ref="B346:E346"/>
    <mergeCell ref="X340:AA340"/>
    <mergeCell ref="F399:F400"/>
    <mergeCell ref="B372:E372"/>
    <mergeCell ref="B215:E215"/>
    <mergeCell ref="B334:E334"/>
    <mergeCell ref="X334:AA334"/>
    <mergeCell ref="X341:AA341"/>
    <mergeCell ref="B292:E292"/>
    <mergeCell ref="X336:AA336"/>
    <mergeCell ref="B648:E648"/>
    <mergeCell ref="B649:E649"/>
    <mergeCell ref="X559:AA560"/>
    <mergeCell ref="AB559:AB560"/>
    <mergeCell ref="AF559:AH559"/>
    <mergeCell ref="B731:E731"/>
    <mergeCell ref="X731:AA731"/>
    <mergeCell ref="B728:E728"/>
    <mergeCell ref="X728:AA728"/>
    <mergeCell ref="B465:E465"/>
    <mergeCell ref="X279:AA279"/>
    <mergeCell ref="X315:AA315"/>
    <mergeCell ref="X310:AA310"/>
    <mergeCell ref="B305:E305"/>
    <mergeCell ref="H399:W399"/>
    <mergeCell ref="C399:E400"/>
    <mergeCell ref="B341:E341"/>
    <mergeCell ref="B284:E284"/>
    <mergeCell ref="B301:E301"/>
    <mergeCell ref="B645:E645"/>
    <mergeCell ref="B646:E646"/>
    <mergeCell ref="B536:E536"/>
    <mergeCell ref="B537:E537"/>
    <mergeCell ref="B520:E520"/>
    <mergeCell ref="B539:E539"/>
    <mergeCell ref="B406:E406"/>
    <mergeCell ref="B355:E355"/>
    <mergeCell ref="B349:E349"/>
    <mergeCell ref="X327:AA327"/>
    <mergeCell ref="B388:E388"/>
    <mergeCell ref="B359:E359"/>
    <mergeCell ref="B288:E288"/>
    <mergeCell ref="B15:E15"/>
    <mergeCell ref="X15:AA15"/>
    <mergeCell ref="B422:E422"/>
    <mergeCell ref="B219:E219"/>
    <mergeCell ref="B280:E280"/>
    <mergeCell ref="B347:E347"/>
    <mergeCell ref="X239:AA240"/>
    <mergeCell ref="B351:E351"/>
    <mergeCell ref="X372:AA372"/>
    <mergeCell ref="B287:E287"/>
    <mergeCell ref="B321:E321"/>
    <mergeCell ref="B394:E394"/>
    <mergeCell ref="B417:E417"/>
    <mergeCell ref="B402:E402"/>
    <mergeCell ref="B410:E410"/>
    <mergeCell ref="B393:E393"/>
    <mergeCell ref="B302:E302"/>
    <mergeCell ref="B409:E409"/>
    <mergeCell ref="X407:AA407"/>
    <mergeCell ref="B329:E329"/>
    <mergeCell ref="B353:E353"/>
    <mergeCell ref="B374:E374"/>
    <mergeCell ref="B381:E381"/>
    <mergeCell ref="B371:E371"/>
    <mergeCell ref="X337:AA337"/>
    <mergeCell ref="G113:M113"/>
    <mergeCell ref="B113:E113"/>
    <mergeCell ref="X113:AA113"/>
    <mergeCell ref="B114:E114"/>
    <mergeCell ref="G114:M114"/>
    <mergeCell ref="X114:AA114"/>
    <mergeCell ref="B115:E115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8" r:id="rId59" display="https://www.jivi.com.ar/ficha.php?id=187"/>
    <hyperlink ref="AB350" r:id="rId60" display="https://www.jivi.com.ar/ficha.php?id=4"/>
    <hyperlink ref="AB360" r:id="rId61" display="https://www.jivi.com.ar/ficha.php?id=55"/>
    <hyperlink ref="AB363" r:id="rId62" display="https://www.jivi.com.ar/ficha.php?id=209"/>
    <hyperlink ref="AB364" r:id="rId63"/>
    <hyperlink ref="AB373" r:id="rId64" display="https://www.jivi.com.ar/ficha.php?id=380"/>
    <hyperlink ref="AB377" r:id="rId65" display="https://www.jivi.com.ar/ficha.php?id=548"/>
    <hyperlink ref="AB378" r:id="rId66"/>
    <hyperlink ref="AB381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2" r:id="rId77" display="https://www.jivi.com.ar/ficha.php?id=135"/>
    <hyperlink ref="AB193" r:id="rId78" display="https://www.jivi.com.ar/ficha.php?id=136"/>
    <hyperlink ref="AB194" r:id="rId79" display="https://www.jivi.com.ar/ficha.php?id=137"/>
    <hyperlink ref="AB195" r:id="rId80" display="https://www.jivi.com.ar/ficha.php?id=138"/>
    <hyperlink ref="AB203" r:id="rId81" display="https://www.jivi.com.ar/ficha.php?id=245"/>
    <hyperlink ref="AB217" r:id="rId82" display="https://www.jivi.com.ar/ficha.php?id=166"/>
    <hyperlink ref="AB218" r:id="rId83" display="https://www.jivi.com.ar/ficha.php?id=171"/>
    <hyperlink ref="AB222" r:id="rId84" display="https://www.jivi.com.ar/ficha.php?id=168"/>
    <hyperlink ref="AB229" r:id="rId85" display="https://www.jivi.com.ar/ficha.php?id=169"/>
    <hyperlink ref="AB230" r:id="rId86" display="https://www.jivi.com.ar/ficha.php?id=148"/>
    <hyperlink ref="AB231" r:id="rId87" display="https://www.jivi.com.ar/ficha.php?id=158"/>
    <hyperlink ref="AB702" r:id="rId88" display="https://www.jivi.com.ar/ficha.php?id=621"/>
    <hyperlink ref="AB703" r:id="rId89" display="https://www.jivi.com.ar/ficha.php?id=622"/>
    <hyperlink ref="AB95" r:id="rId90" display="https://www.jivi.com.ar/ficha.php?id=456"/>
    <hyperlink ref="AB290" r:id="rId91" display="https://www.jivi.com.ar/ficha.php?id=246"/>
    <hyperlink ref="AB472" r:id="rId92" display="https://www.jivi.com.ar/ficha.php?id=431"/>
    <hyperlink ref="AB476" r:id="rId93" display="https://www.jivi.com.ar/ficha.php?id=728"/>
    <hyperlink ref="AB504" r:id="rId94"/>
    <hyperlink ref="AB506" r:id="rId95"/>
    <hyperlink ref="AB514" r:id="rId96"/>
    <hyperlink ref="AB516" r:id="rId97"/>
    <hyperlink ref="AB519" r:id="rId98"/>
    <hyperlink ref="AB520" r:id="rId99"/>
    <hyperlink ref="AB521" r:id="rId100"/>
    <hyperlink ref="AB523" r:id="rId101"/>
    <hyperlink ref="AB524" r:id="rId102"/>
    <hyperlink ref="AB526" r:id="rId103"/>
    <hyperlink ref="AB531" r:id="rId104"/>
    <hyperlink ref="AB532" r:id="rId105"/>
    <hyperlink ref="AB685" r:id="rId106"/>
    <hyperlink ref="AB690" r:id="rId107"/>
    <hyperlink ref="AB691" r:id="rId108"/>
    <hyperlink ref="AB355" r:id="rId109" display="https://www.jivi.com.ar/ficha.php?id=51"/>
    <hyperlink ref="AB365" r:id="rId110"/>
    <hyperlink ref="B7:V7" location="'Artículos Publicitarios'!A686" display="PARA IR A LOS RECARGOS POR IMPRESIONES ADICIONALES CLICK AQUÍ"/>
    <hyperlink ref="AB508" r:id="rId111"/>
    <hyperlink ref="AC51" r:id="rId112"/>
    <hyperlink ref="AD51" r:id="rId113"/>
    <hyperlink ref="AE51" r:id="rId114"/>
    <hyperlink ref="B7:W7" location="'Artículos Publicitarios'!A767" display="PARA IR A LOS RECARGOS POR IMPRESIONES ADICIONALES CLICK AQUÍ"/>
    <hyperlink ref="AB244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74" r:id="rId116" display="https://www.jivi.com.ar/ficha.php?id=846"/>
    <hyperlink ref="AB26" r:id="rId117" display="https://www.jivi.com.ar/ficha.php?id=848"/>
    <hyperlink ref="AB75" r:id="rId118"/>
    <hyperlink ref="AE2:AG2" location="'Artículos Publicitarios'!A826" display="CLICK AQUÍ"/>
    <hyperlink ref="B813:W813" location="'Artículos Publicitarios'!A3" display="PARA SUBIR AL PRINCIPIO DE LA LISTA CLICK AQUÍ"/>
    <hyperlink ref="AB284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06" r:id="rId122" display="https://www.jivi.com.ar/ficha.php?id=903"/>
    <hyperlink ref="AB22" r:id="rId123"/>
    <hyperlink ref="AB699" r:id="rId124" display="https://www.jivi.com.ar/ficha.php?id=918"/>
    <hyperlink ref="AB351" r:id="rId125" display="https://www.jivi.com.ar/ficha.php?id=926"/>
    <hyperlink ref="AB67" r:id="rId126"/>
    <hyperlink ref="AB501" r:id="rId127"/>
    <hyperlink ref="AB196" r:id="rId128" display="https://www.jivi.com.ar/ficha.php?id=948"/>
    <hyperlink ref="AB361" r:id="rId129" display="https://www.jivi.com.ar/ficha.php?id=954"/>
    <hyperlink ref="AB140" r:id="rId130"/>
    <hyperlink ref="AB142" r:id="rId131"/>
    <hyperlink ref="AB141" r:id="rId132"/>
    <hyperlink ref="AB509" r:id="rId133"/>
    <hyperlink ref="AB27" r:id="rId134"/>
    <hyperlink ref="AB356" r:id="rId135" display="https://www.jivi.com.ar/ficha.php?id=850"/>
    <hyperlink ref="AB143" r:id="rId136"/>
    <hyperlink ref="AB527" r:id="rId137"/>
    <hyperlink ref="AB528" r:id="rId138"/>
    <hyperlink ref="AB382" r:id="rId139" display="https://www.jivi.com.ar/ficha.php?id=1023"/>
    <hyperlink ref="AB352" r:id="rId140" display="https://www.jivi.com.ar/ficha.php?id=1025"/>
    <hyperlink ref="AB358" r:id="rId141" display="https://www.jivi.com.ar/ficha.php?id=647"/>
    <hyperlink ref="AB346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84" display="IR A PROD. SUBLIMADOS"/>
    <hyperlink ref="AB370" r:id="rId144" display="https://www.jivi.com.ar/ficha.php?id=1095"/>
    <hyperlink ref="AB353" r:id="rId145" display="https://www.jivi.com.ar/ficha.php?id=1094"/>
    <hyperlink ref="AB349" r:id="rId146" display="https://www.jivi.com.ar/ficha.php?id=297"/>
    <hyperlink ref="AB388" r:id="rId147" display="https://www.jivi.com.ar/ficha.php?id=1097"/>
    <hyperlink ref="AB98" r:id="rId148" display="https://www.jivi.com.ar/ficha.php?id=1098"/>
    <hyperlink ref="AB21" r:id="rId149"/>
    <hyperlink ref="AB233" r:id="rId150"/>
    <hyperlink ref="AB344" r:id="rId151" display="https://www.jivi.com.ar/ficha.php?id=1108"/>
    <hyperlink ref="AB372" r:id="rId152" display="https://www.jivi.com.ar/ficha.php?id=1116"/>
    <hyperlink ref="AF682:AH682" location="'Artículos Publicitarios'!A3" display="IR A PAGINA 1"/>
    <hyperlink ref="AF25:AI25" location="'Artículos Publicitarios'!A165" display="IR A CARPITAS"/>
    <hyperlink ref="AF21:AI21" location="'Artículos Publicitarios'!A129" display="IR A CINTAS COLGANTES"/>
    <hyperlink ref="AF28:AI28" location="'Artículos Publicitarios'!A264" display="IR A PORTADOCUMENTOS"/>
    <hyperlink ref="AB189" r:id="rId153" display="https://www.jivi.com.ar/ficha.php?id=1119"/>
    <hyperlink ref="AB190" r:id="rId154"/>
    <hyperlink ref="AB694" r:id="rId155" display="https://www.jivi.com.ar/ficha.php?id=1154"/>
    <hyperlink ref="AB704" r:id="rId156" display="https://www.jivi.com.ar/ficha.php?id=1157"/>
    <hyperlink ref="AB705" r:id="rId157" display="https://www.jivi.com.ar/ficha.php?id=1158"/>
    <hyperlink ref="AB677" r:id="rId158" display="hhttps://www.jivi.com.ar/ficha.php?id=1155"/>
    <hyperlink ref="AB678" r:id="rId159" display="https://www.jivi.com.ar/ficha.php?id=1156"/>
    <hyperlink ref="AB354" r:id="rId160"/>
    <hyperlink ref="AB52" r:id="rId161" display="https://www.jivi.com.ar/ficha.php?id=1172"/>
    <hyperlink ref="AB357" r:id="rId162"/>
    <hyperlink ref="AB97" r:id="rId163"/>
    <hyperlink ref="AB128" r:id="rId164"/>
    <hyperlink ref="AB359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2" r:id="rId169" display="https://www.jivi.com.ar/ficha.php?id=349"/>
    <hyperlink ref="AB433" r:id="rId170" display="https://www.jivi.com.ar/ficha.php?id=1190"/>
    <hyperlink ref="AB105" r:id="rId171" display="https://www.jivi.com.ar/ficha.php?id=1181"/>
    <hyperlink ref="AB368" r:id="rId172"/>
    <hyperlink ref="AB510" r:id="rId173"/>
    <hyperlink ref="AB436" r:id="rId174" display="https://www.jivi.com.ar/ficha.php?id=1219"/>
    <hyperlink ref="AB49" r:id="rId175"/>
    <hyperlink ref="AB48" r:id="rId176"/>
    <hyperlink ref="AB50" r:id="rId177"/>
    <hyperlink ref="AB707" r:id="rId178" display="https://www.jivi.com.ar/ficha.php?id=904"/>
    <hyperlink ref="AB59" r:id="rId179" display="00085-1B"/>
    <hyperlink ref="AB468" r:id="rId180" display="https://www.jivi.com.ar/ficha.php?id=1225"/>
    <hyperlink ref="AB43" r:id="rId181"/>
    <hyperlink ref="AB700" r:id="rId182" display="https://www.jivi.com.ar/ficha.php?id=919"/>
    <hyperlink ref="AB42" r:id="rId183"/>
    <hyperlink ref="AB166" r:id="rId184" display="https://www.jivi.com.ar/ficha.php?id=883"/>
    <hyperlink ref="AB536" r:id="rId185"/>
    <hyperlink ref="AB133" r:id="rId186" display="https://jivi.com.ar/ficha.php?id=89"/>
    <hyperlink ref="AB575" r:id="rId187" display="https://www.jivi.com.ar/ficha.php?id=1248"/>
    <hyperlink ref="AB371" r:id="rId188" display="https://www.jivi.com.ar/ficha.php?id=1253"/>
    <hyperlink ref="AB285" r:id="rId189" display="https://www.jivi.com.ar/ficha.php?id=1124"/>
    <hyperlink ref="AB167" r:id="rId190" display="https://www.jivi.com.ar/ficha.php?id=1261"/>
    <hyperlink ref="AB408" r:id="rId191" display="https://www.jivi.com.ar/ficha.php?id=1267"/>
    <hyperlink ref="AB469" r:id="rId192" display="https://www.jivi.com.ar/ficha.php?id=1268"/>
    <hyperlink ref="AB410" r:id="rId193" display="https://www.jivi.com.ar/ficha.php?id=1277"/>
    <hyperlink ref="AB732" r:id="rId194"/>
    <hyperlink ref="AB96" r:id="rId195" display="https://www.jivi.com.ar/ficha.php?id=378"/>
    <hyperlink ref="AB187" r:id="rId196"/>
    <hyperlink ref="AB106" r:id="rId197"/>
    <hyperlink ref="AB108" r:id="rId198"/>
    <hyperlink ref="AB122" r:id="rId199" display="https://www.jivi.com.ar/ficha.php?id=1305"/>
    <hyperlink ref="AB123" r:id="rId200"/>
    <hyperlink ref="AB232" r:id="rId201" display="https://www.jivi.com.ar/ficha.php?id=1287"/>
    <hyperlink ref="AB679" r:id="rId202" display="https://www.jivi.com.ar/ficha.php?id=1290"/>
    <hyperlink ref="AB101" r:id="rId203" display="https://www.jivi.com.ar/ficha.php?id=1314"/>
    <hyperlink ref="AJ1:AJ2" location="'Artículos Publicitarios'!A3" display="IR A PAGINA 1"/>
    <hyperlink ref="AB186" r:id="rId204"/>
    <hyperlink ref="AB392" r:id="rId205" display="https://www.jivi.com.ar/ficha.php?id=1344"/>
    <hyperlink ref="AB124" r:id="rId206"/>
    <hyperlink ref="AF773:AH773" location="'Artículos Publicitarios'!A3" display="IR A PAGINA 1"/>
    <hyperlink ref="AB170" r:id="rId207" display="https://www.jivi.com.ar/ficha.php?id=1346"/>
    <hyperlink ref="AB171" r:id="rId208" display="https://www.jivi.com.ar/ficha.php?id=1347"/>
    <hyperlink ref="AB209" r:id="rId209" display="https://www.jivi.com.ar/ficha.php?id=1348"/>
    <hyperlink ref="AB393" r:id="rId210" display="https://www.jivi.com.ar/ficha.php?id=1359"/>
    <hyperlink ref="AB413" r:id="rId211" display="https://www.jivi.com.ar/ficha.php?id=1360"/>
    <hyperlink ref="AB188" r:id="rId212"/>
    <hyperlink ref="AB103" r:id="rId213" display="https://www.jivi.com.ar/ficha.php?id=1366"/>
    <hyperlink ref="AC8:AI9" r:id="rId214" display="REGISTRATE EN NUESTRA WEB PARA BAJAR LISTA DE PRECIOS DESDE CUALQUIER PC"/>
    <hyperlink ref="AB286" r:id="rId215" display="https://www.jivi.com.ar/ficha.php?id=864"/>
    <hyperlink ref="AB420" r:id="rId216" display="https://www.jivi.com.ar/ficha.php?id=1372"/>
    <hyperlink ref="AB417" r:id="rId217" display="https://www.jivi.com.ar/ficha.php?id=1378"/>
    <hyperlink ref="AB421" r:id="rId218" display="https://www.jivi.com.ar/ficha.php?id=1382"/>
    <hyperlink ref="AB416" r:id="rId219" display="https://www.jivi.com.ar/ficha.php?id=1383"/>
    <hyperlink ref="AB441" r:id="rId220" display="https://www.jivi.com.ar/ficha.php?id=1384"/>
    <hyperlink ref="AB135" r:id="rId221" display="https://www.jivi.com.ar/ficha.php?id=1428"/>
    <hyperlink ref="AB442" r:id="rId222" display="https://www.jivi.com.ar/ficha.php?id=1385"/>
    <hyperlink ref="AB440" r:id="rId223" display="https://www.jivi.com.ar/ficha.php?id=1387"/>
    <hyperlink ref="AB443" r:id="rId224" display="https://www.jivi.com.ar/ficha.php?id=1389"/>
    <hyperlink ref="AB23" r:id="rId225" display="https://www.jivi.com.ar/ficha.php?id=363"/>
    <hyperlink ref="AF23" location="'Artículos Publicitarios'!A582" display="IR A REMERAS"/>
    <hyperlink ref="AF23:AI23" location="'Artículos Publicitarios'!A538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04" display="IR A ART. DE CUERO - CUCHILLERIA"/>
    <hyperlink ref="AB58" r:id="rId226" display="https://www.jivi.com.ar/ficha.php?id=236"/>
    <hyperlink ref="AB175" r:id="rId227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2" r:id="rId228" display="https://www.jivi.com.ar/ficha.php?id=1394"/>
    <hyperlink ref="AB234" r:id="rId229" display="https://www.jivi.com.ar/ficha.php?id=872"/>
    <hyperlink ref="AB155" r:id="rId230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39" r:id="rId231" display="https://www.jivi.com.ar/ficha.php?id=1262"/>
    <hyperlink ref="AB414" r:id="rId232" display="https://www.jivi.com.ar/ficha.php?id=1400"/>
    <hyperlink ref="AB423" r:id="rId233" display="https://www.jivi.com.ar/ficha.php?id=1401"/>
    <hyperlink ref="AB168" r:id="rId234" display="https://www.jivi.com.ar/ficha.php?id=1392"/>
    <hyperlink ref="AB279" r:id="rId235" display="https://www.jivi.com.ar/ficha.php?id=1230"/>
    <hyperlink ref="AB394" r:id="rId236" display="https://www.jivi.com.ar/ficha.php?id=1110"/>
    <hyperlink ref="AB402" r:id="rId237" display="https://www.jivi.com.ar/ficha.php?id=1111"/>
    <hyperlink ref="AF22:AI22" location="'Artículos Publicitarios'!A325" display="IR A SET DE NOTAS"/>
    <hyperlink ref="AF22:AJ22" location="'Artículos Publicitarios'!A564" display="IR A PARAGUAS"/>
    <hyperlink ref="AB92" r:id="rId238" display="https://www.jivi.com.ar/ficha.php?id=477"/>
    <hyperlink ref="AB94" r:id="rId239" display="https://www.jivi.com.ar/ficha.php?id=376"/>
    <hyperlink ref="AB13" r:id="rId240" display="https://www.jivi.com.ar/ficha.php?id=1402"/>
    <hyperlink ref="AB569" r:id="rId241" display="https://www.jivi.com.ar/ficha.php?id=1393"/>
    <hyperlink ref="AB18" r:id="rId242" display="https://www.jivi.com.ar/ficha.php?id=1405"/>
    <hyperlink ref="AB132" r:id="rId243" display="https://www.jivi.com.ar/ficha.php?id=1413"/>
    <hyperlink ref="AB183" r:id="rId244" display="https://www.jivi.com.ar/ficha.php?id=1415"/>
    <hyperlink ref="AF12:AH12" location="'Artículos Publicitarios'!A260" display="IR A PAGINA 4"/>
    <hyperlink ref="AB339" r:id="rId245" display="https://www.jivi.com.ar/ficha.php?id=1356"/>
    <hyperlink ref="AB221" r:id="rId246" display="https://www.jivi.com.ar/ficha.php?id=1084"/>
    <hyperlink ref="AB337" r:id="rId247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37" r:id="rId248"/>
    <hyperlink ref="AB740" r:id="rId249"/>
    <hyperlink ref="AB701" r:id="rId250" display="https://www.jivi.com.ar/ficha.php?id=1281"/>
    <hyperlink ref="AB727" r:id="rId251"/>
    <hyperlink ref="AB305" r:id="rId252" display="https://www.jivi.com.ar/ficha.php?id=1421"/>
    <hyperlink ref="AB308" r:id="rId253" display="https://www.jivi.com.ar/ficha.php?id=1422"/>
    <hyperlink ref="AB309" r:id="rId254" display="https://www.jivi.com.ar/ficha.php?id=1423"/>
    <hyperlink ref="AB335" r:id="rId255" display="https://www.jivi.com.ar/ficha.php?id=1425"/>
    <hyperlink ref="AB336" r:id="rId256" display="https://www.jivi.com.ar/ficha.php?id=1426"/>
    <hyperlink ref="AB466" r:id="rId257" display="https://www.jivi.com.ar/ficha.php?id=1429"/>
    <hyperlink ref="AB512" r:id="rId258"/>
    <hyperlink ref="AB564" r:id="rId259" display="https://www.jivi.com.ar/ficha.php?id=1436"/>
    <hyperlink ref="AB565" r:id="rId260" display="https://www.jivi.com.ar/ficha.php?id=1437"/>
    <hyperlink ref="AB566" r:id="rId261"/>
    <hyperlink ref="AB568" r:id="rId262" display="https://www.jivi.com.ar/ficha.php?id=1439"/>
    <hyperlink ref="AB307" r:id="rId263" display="https://www.jivi.com.ar/ficha.php?id=1442"/>
    <hyperlink ref="AB332" r:id="rId264" display="https://www.jivi.com.ar/ficha.php?id=1427"/>
    <hyperlink ref="AB692" r:id="rId265"/>
    <hyperlink ref="AB387" r:id="rId266" display="https://www.jivi.com.ar/ficha.php?id=1056"/>
    <hyperlink ref="AB278" r:id="rId267" display="https://www.jivi.com.ar/ficha.php?id=1334"/>
    <hyperlink ref="AB272" r:id="rId268" display="https://www.jivi.com.ar/ficha.php?id=1335"/>
    <hyperlink ref="AB321" r:id="rId269" display="https://www.jivi.com.ar/ficha.php?id=1446"/>
    <hyperlink ref="AB338" r:id="rId270" display="https://www.jivi.com.ar/ficha.php?id=1354"/>
    <hyperlink ref="AB327" r:id="rId271" display="https://www.jivi.com.ar/ficha.php?id=1448"/>
    <hyperlink ref="AB343" r:id="rId272" display="https://www.jivi.com.ar/ficha.php?id=1450"/>
    <hyperlink ref="AB205" r:id="rId273"/>
    <hyperlink ref="AB502" r:id="rId274"/>
    <hyperlink ref="AB733" r:id="rId275"/>
    <hyperlink ref="AB429" r:id="rId276" display="https://www.jivi.com.ar/ficha.php?id=1463"/>
    <hyperlink ref="AB430" r:id="rId277" display="https://www.jivi.com.ar/ficha.php?id=1464"/>
    <hyperlink ref="AB570" r:id="rId278" display="https://www.jivi.com.ar/ficha.php?id=1467"/>
    <hyperlink ref="AB578" r:id="rId279"/>
    <hyperlink ref="AB579" r:id="rId280" display="https://www.jivi.com.ar/ficha.php?id=1472"/>
    <hyperlink ref="AB522" r:id="rId281"/>
    <hyperlink ref="AB674" r:id="rId282"/>
    <hyperlink ref="AB675" r:id="rId283"/>
    <hyperlink ref="AB673" r:id="rId284"/>
    <hyperlink ref="AB226" r:id="rId285" display="https://www.jivi.com.ar/ficha.php?id=1478"/>
    <hyperlink ref="AB227" r:id="rId286"/>
    <hyperlink ref="AB228" r:id="rId287"/>
    <hyperlink ref="AB220" r:id="rId288" display="https://www.jivi.com.ar/ficha.php?id=1481"/>
    <hyperlink ref="AB235" r:id="rId289" display="https://www.jivi.com.ar/ficha.php?id=1483"/>
    <hyperlink ref="AB270" r:id="rId290" display="https://www.jivi.com.ar/ficha.php?id=1486"/>
    <hyperlink ref="AB271" r:id="rId291" display="https://www.jivi.com.ar/ficha.php?id=1488"/>
    <hyperlink ref="AB695" r:id="rId292" display="https://www.jivi.com.ar/ficha.php?id=1492"/>
    <hyperlink ref="AB696" r:id="rId293" display="https://www.jivi.com.ar/ficha.php?id=1493"/>
    <hyperlink ref="AB697" r:id="rId294" display="https://www.jivi.com.ar/ficha.php?id=1494"/>
    <hyperlink ref="AB698" r:id="rId295"/>
    <hyperlink ref="AB712" r:id="rId296" display="https://www.jivi.com.ar/ficha.php?id=1496"/>
    <hyperlink ref="AB713" r:id="rId297" display="https://www.jivi.com.ar/ficha.php?id=1497"/>
    <hyperlink ref="AB715" r:id="rId298" display="httphttps://www.jivi.com.ar/ficha.php?id=1498"/>
    <hyperlink ref="AB716" r:id="rId299" display="https://www.jivi.com.ar/ficha.php?id=1499"/>
    <hyperlink ref="AB717" r:id="rId300" display="https://www.jivi.com.ar/ficha.php?id=1500"/>
    <hyperlink ref="AB37" r:id="rId301"/>
    <hyperlink ref="AB39" r:id="rId302"/>
    <hyperlink ref="AB36" r:id="rId303"/>
    <hyperlink ref="AB38" r:id="rId304"/>
    <hyperlink ref="AB40" r:id="rId305"/>
    <hyperlink ref="AB41" r:id="rId306"/>
    <hyperlink ref="AB562" r:id="rId307" display="https://www.jivi.com.ar/ficha.php?id=1509"/>
    <hyperlink ref="AB538" r:id="rId308"/>
    <hyperlink ref="AB304" r:id="rId309" display="https://www.jivi.com.ar/ficha.php?id=1515"/>
    <hyperlink ref="AB71" r:id="rId310"/>
    <hyperlink ref="AB73" r:id="rId311"/>
    <hyperlink ref="AB425" r:id="rId312" display="https://www.jivi.com.ar/ficha.php?id=1523"/>
    <hyperlink ref="AB303" r:id="rId313" display="https://www.jivi.com.ar/ficha.php?id=1559"/>
    <hyperlink ref="AB306" r:id="rId314" display="https://www.jivi.com.ar/ficha.php?id=1527"/>
    <hyperlink ref="AB258" r:id="rId315" display="https://www.jivi.com.ar/ficha.php?id=1532"/>
    <hyperlink ref="AB268" r:id="rId316" display="https://www.jivi.com.ar/ficha.php?id=1534"/>
    <hyperlink ref="AB718" r:id="rId317" display="https://www.jivi.com.ar/ficha.php?id=1535"/>
    <hyperlink ref="AB724" r:id="rId318" display="https://www.jivi.com.ar/ficha.php?id=1536"/>
    <hyperlink ref="AB243" r:id="rId319" display="https://www.jivi.com.ar/ficha.php?id=1539"/>
    <hyperlink ref="AB139" r:id="rId320" display="https://www.jivi.com.ar/ficha.php?id=1540"/>
    <hyperlink ref="AB576" r:id="rId321" display="https://www.jivi.com.ar/ficha.php?id=1541"/>
    <hyperlink ref="AB577" r:id="rId322" display="https://www.jivi.com.ar/ficha.php?id=1542"/>
    <hyperlink ref="AB252" r:id="rId323" display="https://www.jivi.com.ar/ficha.php?id=1545"/>
    <hyperlink ref="AB395" r:id="rId324"/>
    <hyperlink ref="AB369" r:id="rId325" display="https://www.jivi.com.ar/ficha.php?id=981"/>
    <hyperlink ref="AB426" r:id="rId326" display="https://www.jivi.com.ar/ficha.php?id=1548"/>
    <hyperlink ref="AB427" r:id="rId327" display="https://www.jivi.com.ar/ficha.php?id=1549"/>
    <hyperlink ref="AB482" r:id="rId328"/>
    <hyperlink ref="AB458" r:id="rId329" display="https://www.jivi.com.ar/ficha.php?id=1552"/>
    <hyperlink ref="AB390" r:id="rId330" display="https://www.jivi.com.ar/ficha.php?id=1311"/>
    <hyperlink ref="AB154" r:id="rId331" display="https://www.jivi.com.ar/ficha.php?id=1553"/>
    <hyperlink ref="AB150" r:id="rId332" display="https://www.jivi.com.ar/ficha.php?id=1554"/>
    <hyperlink ref="AB621" r:id="rId333" display="https://www.jivi.com.ar/ficha.php?id=1555"/>
    <hyperlink ref="AB57" r:id="rId334" display="https://www.jivi.com.ar/ficha.php?id=1557"/>
    <hyperlink ref="AB738" r:id="rId335"/>
    <hyperlink ref="AB241" r:id="rId336" display="https://www.jivi.com.ar/ficha.php?id=518"/>
    <hyperlink ref="AB206" r:id="rId337" display="https://www.jivi.com.ar/ficha.php?id=1561"/>
    <hyperlink ref="AB10" r:id="rId338" display="https://www.jivi.com.ar/ficha.php?id=26"/>
    <hyperlink ref="AB245" r:id="rId339" display="https://www.jivi.com.ar/ficha.php?id=1066"/>
    <hyperlink ref="AB249" r:id="rId340" display="https://www.jivi.com.ar/ficha.php?id=1562"/>
    <hyperlink ref="AB473" r:id="rId341" display="https://www.jivi.com.ar/ficha.php?id=1563"/>
    <hyperlink ref="AB169" r:id="rId342" display="https://www.jivi.com.ar/ficha.php?id=1414"/>
    <hyperlink ref="AB19" r:id="rId343" display="https://www.jivi.com.ar/ficha.php?id=790"/>
    <hyperlink ref="AB312" r:id="rId344" display="https://www.jivi.com.ar/ficha.php?id=1407"/>
    <hyperlink ref="AB311" r:id="rId345" display="https://www.jivi.com.ar/ficha.php?id=1409"/>
    <hyperlink ref="AB313" r:id="rId346" display="https://www.jivi.com.ar/ficha.php?id=1408"/>
    <hyperlink ref="AB301" r:id="rId347" display="https://www.jivi.com.ar/ficha.php?id=1564"/>
    <hyperlink ref="AB29" r:id="rId348" display="https://www.jivi.com.ar/ficha.php?id=1434"/>
    <hyperlink ref="AB431" r:id="rId349" display="https://www.jivi.com.ar/ficha.php?id=1567"/>
    <hyperlink ref="AB45" r:id="rId350"/>
    <hyperlink ref="AB46" r:id="rId351"/>
    <hyperlink ref="AB47" r:id="rId352"/>
    <hyperlink ref="AB136" r:id="rId353" display="https://www.jivi.com.ar/ficha.php?id=1571"/>
    <hyperlink ref="AB219" r:id="rId354"/>
    <hyperlink ref="AB428" r:id="rId355" display="https://www.jivi.com.ar/ficha.php?id=1572"/>
    <hyperlink ref="AB302" r:id="rId356" display="https://www.jivi.com.ar/ficha.php?id=1573"/>
    <hyperlink ref="AB591" r:id="rId357" display="https://www.jivi.com.ar/ficha.php?id=1294"/>
    <hyperlink ref="AF17:AJ17" location="'Artículos Publicitarios'!A606" display="IR A MOCHILAS - BOLSOS - ETC"/>
    <hyperlink ref="AB600" r:id="rId358" display="https://www.jivi.com.ar/ficha.php?id=1271"/>
    <hyperlink ref="AB599" r:id="rId359" display="https://www.jivi.com.ar/ficha.php?id=1296"/>
    <hyperlink ref="AB605" r:id="rId360" display="https://www.jivi.com.ar/ficha.php?id=1139"/>
    <hyperlink ref="AB596" r:id="rId361" display="https://www.jivi.com.ar/ficha.php?id=1249"/>
    <hyperlink ref="AB637" r:id="rId362" display="https://www.jivi.com.ar/ficha.php?id=1574"/>
    <hyperlink ref="AB598" r:id="rId363" display="https://www.jivi.com.ar/ficha.php?id=1576"/>
    <hyperlink ref="AB609" r:id="rId364" display="https://www.jivi.com.ar/ficha.php?id=1580"/>
    <hyperlink ref="AB610" r:id="rId365" display="https://www.jivi.com.ar/ficha.php?id=1581"/>
    <hyperlink ref="AB613" r:id="rId366" display="https://www.jivi.com.ar/ficha.php?id=1583"/>
    <hyperlink ref="AB614" r:id="rId367" display="https://www.jivi.com.ar/ficha.php?id=1584"/>
    <hyperlink ref="AB616" r:id="rId368" display="https://www.jivi.com.ar/ficha.php?id=1586"/>
    <hyperlink ref="AF19:AJ19" location="'Artículos Publicitarios'!A267" display="IR A CUADERNOS"/>
    <hyperlink ref="AB281" r:id="rId369" display="https://www.jivi.com.ar/ficha.php?id=1221"/>
    <hyperlink ref="AB287" r:id="rId370" display="https://www.jivi.com.ar/ficha.php?id=1588"/>
    <hyperlink ref="AB552" r:id="rId371"/>
    <hyperlink ref="AB553" r:id="rId372" display="https://www.jivi.com.ar/ficha.php?id=1590"/>
    <hyperlink ref="AB554" r:id="rId373"/>
    <hyperlink ref="AB555" r:id="rId374" display="https://www.jivi.com.ar/ficha.php?id=1592"/>
    <hyperlink ref="AB622" r:id="rId375" display="https://www.jivi.com.ar/ficha.php?id=1593"/>
    <hyperlink ref="AB299" r:id="rId376" display="https://www.jivi.com.ar/ficha.php?id=1595"/>
    <hyperlink ref="AB449" r:id="rId377" display="https://www.jivi.com.ar/ficha.php?id=1596"/>
    <hyperlink ref="AB623" r:id="rId378" display="https://www.jivi.com.ar/ficha.php?id=1598"/>
    <hyperlink ref="AB615" r:id="rId379" display="https://www.jivi.com.ar/ficha.php?id=1599"/>
    <hyperlink ref="AB625" r:id="rId380" display="https://www.jivi.com.ar/ficha.php?id=1602"/>
    <hyperlink ref="AB630" r:id="rId381" display="https://www.jivi.com.ar/ficha.php?id=1603"/>
    <hyperlink ref="AB60" r:id="rId382" display="00085-1N"/>
    <hyperlink ref="AB631" r:id="rId383" display="https://www.jivi.com.ar/ficha.php?id=1604"/>
    <hyperlink ref="AB632" r:id="rId384" display="https://www.jivi.com.ar/ficha.php?id=1606"/>
    <hyperlink ref="AB324" r:id="rId385" display="https://www.jivi.com.ar/ficha.php?id=1424"/>
    <hyperlink ref="AB191" r:id="rId386"/>
    <hyperlink ref="AB263" r:id="rId387" display="https://www.jivi.com.ar/ficha.php?id=1459"/>
    <hyperlink ref="AB262" r:id="rId388" display="https://www.jivi.com.ar/ficha.php?id=1608"/>
    <hyperlink ref="AB261" r:id="rId389" display="https://www.jivi.com.ar/ficha.php?id=1609"/>
    <hyperlink ref="AB282" r:id="rId390" display="https://www.jivi.com.ar/ficha.php?id=1274"/>
    <hyperlink ref="AB612" r:id="rId391" display="https://www.jivi.com.ar/ficha.php?id=1611"/>
    <hyperlink ref="AB611" r:id="rId392" display="https://www.jivi.com.ar/ficha.php?id=1612"/>
    <hyperlink ref="AB212" r:id="rId393" display="https://www.jivi.com.ar/ficha.php?id=1614"/>
    <hyperlink ref="AB210" r:id="rId394" display="https://www.jivi.com.ar/ficha.php?id=1452"/>
    <hyperlink ref="AB651" r:id="rId395" display="https://www.jivi.com.ar/ficha.php?id=1617"/>
    <hyperlink ref="AB652" r:id="rId396" display="https://www.jivi.com.ar/ficha.php?id=1618"/>
    <hyperlink ref="AB550" r:id="rId397"/>
    <hyperlink ref="AB551" r:id="rId398" display="https://www.jivi.com.ar/ficha.php?id=1620"/>
    <hyperlink ref="AB572" r:id="rId399" display="https://www.jivi.com.ar/ficha.php?id=1204"/>
    <hyperlink ref="AB573" r:id="rId400"/>
    <hyperlink ref="AB367" r:id="rId401"/>
    <hyperlink ref="AB537" r:id="rId402"/>
    <hyperlink ref="AB686" r:id="rId403"/>
    <hyperlink ref="AB742" r:id="rId404"/>
    <hyperlink ref="AB743" r:id="rId405"/>
    <hyperlink ref="AB744" r:id="rId406"/>
    <hyperlink ref="AB405" r:id="rId407" display="https://www.jivi.com.ar/ficha.php?id=1641"/>
    <hyperlink ref="AB726" r:id="rId408"/>
    <hyperlink ref="AB487" r:id="rId409"/>
    <hyperlink ref="AB180" r:id="rId410" display="https://www.jivi.com.ar/ficha.php?id=1660"/>
    <hyperlink ref="AB99" r:id="rId411" display="https://www.jivi.com.ar/ficha.php?id=440"/>
    <hyperlink ref="AB736" r:id="rId412"/>
    <hyperlink ref="AB741" r:id="rId413"/>
    <hyperlink ref="AB561" r:id="rId414" display="https://www.jivi.com.ar/ficha.php?id=1684"/>
    <hyperlink ref="AB407" r:id="rId415" display="https://www.jivi.com.ar/ficha.php?id=1272"/>
    <hyperlink ref="AB406" r:id="rId416" display="https://www.jivi.com.ar/ficha.php?id=1687"/>
    <hyperlink ref="AB404" r:id="rId417" display="https://www.jivi.com.ar/ficha.php?id=1672"/>
    <hyperlink ref="AB617" r:id="rId418" display="https://www.jivi.com.ar/ficha.php?id=1690"/>
    <hyperlink ref="AB549" r:id="rId419" display="https://www.jivi.com.ar/ficha.php?id=1691"/>
    <hyperlink ref="AB567" r:id="rId420" display="https://www.jivi.com.ar/ficha.php?id=1438"/>
    <hyperlink ref="AF542:AH542" location="'Artículos Publicitarios'!A3" display="IR A PAGINA 1"/>
    <hyperlink ref="AB30" r:id="rId421" display="https://www.jivi.com.ar/ficha.php?id=36"/>
    <hyperlink ref="AB547" r:id="rId422"/>
    <hyperlink ref="AB548" r:id="rId423" display="https://www.jivi.com.ar/ficha.php?id=1698"/>
    <hyperlink ref="AB450" r:id="rId424" display="https://www.jivi.com.ar/ficha.php?id=1699"/>
    <hyperlink ref="AB539" r:id="rId425"/>
    <hyperlink ref="AB424" r:id="rId426" display="https://www.jivi.com.ar/ficha.php?id=1462"/>
    <hyperlink ref="AB257" r:id="rId427" display="https://www.jivi.com.ar/ficha.php?id=1531"/>
    <hyperlink ref="AB255" r:id="rId428" display="https://www.jivi.com.ar/ficha.php?id=1528"/>
    <hyperlink ref="AB467" r:id="rId429"/>
    <hyperlink ref="AB374" r:id="rId430" display="https://www.jivi.com.ar/ficha.php?id=977"/>
    <hyperlink ref="AB446" r:id="rId431" display="https://www.jivi.com.ar/ficha.php?id=1457"/>
    <hyperlink ref="AB445" r:id="rId432" display="https://www.jivi.com.ar/ficha.php?id=1456"/>
    <hyperlink ref="AB375" r:id="rId433" display="https://www.jivi.com.ar/ficha.php?id=1707"/>
    <hyperlink ref="AB376" r:id="rId434" display="https://www.jivi.com.ar/ficha.php?id=1708"/>
    <hyperlink ref="AB546" r:id="rId435" display="https://www.jivi.com.ar/ficha.php?id=1722"/>
    <hyperlink ref="AB14" r:id="rId436" display="https://www.jivi.com.ar/ficha.php?id=1723"/>
    <hyperlink ref="AB202" r:id="rId437"/>
    <hyperlink ref="AB198" r:id="rId438"/>
    <hyperlink ref="AB200" r:id="rId439"/>
    <hyperlink ref="AB199" r:id="rId440"/>
    <hyperlink ref="AB201" r:id="rId441"/>
    <hyperlink ref="AB197" r:id="rId442"/>
    <hyperlink ref="AB687" r:id="rId443"/>
    <hyperlink ref="AB689" r:id="rId444"/>
    <hyperlink ref="AB709" r:id="rId445"/>
    <hyperlink ref="AB711" r:id="rId446"/>
    <hyperlink ref="AB693" r:id="rId447"/>
    <hyperlink ref="AB638" r:id="rId448" display="https://www.jivi.com.ar/ficha.php?id=1575"/>
    <hyperlink ref="AB633" r:id="rId449" display="https://www.jivi.com.ar/ficha.php?id=1743"/>
    <hyperlink ref="AB634" r:id="rId450" display="https://www.jivi.com.ar/ficha.php?id=1744"/>
    <hyperlink ref="AB635" r:id="rId451" display="https://www.jivi.com.ar/ficha.php?id=1745"/>
    <hyperlink ref="AB606" r:id="rId452" display="https://www.jivi.com.ar/ficha.php?id=1746"/>
    <hyperlink ref="AB684" r:id="rId453"/>
    <hyperlink ref="AB544" r:id="rId454"/>
    <hyperlink ref="AB545" r:id="rId455" display="https://www.jivi.com.ar/ficha.php?id=1749"/>
    <hyperlink ref="AB594" r:id="rId456"/>
    <hyperlink ref="AB739" r:id="rId457"/>
    <hyperlink ref="AB448" r:id="rId458"/>
    <hyperlink ref="AB310" r:id="rId459" display="https://www.jivi.com.ar/ficha.php?id=1461"/>
    <hyperlink ref="AB618" r:id="rId460" display="https://www.jivi.com.ar/ficha.php?id=1776"/>
    <hyperlink ref="AB134" r:id="rId461" display="https://www.jivi.com.ar/ficha.php?id=1310"/>
    <hyperlink ref="AB511" r:id="rId462"/>
    <hyperlink ref="AB64" r:id="rId463" display="https://www.jivi.com.ar/ficha.php?id=76"/>
    <hyperlink ref="AB63" r:id="rId464"/>
    <hyperlink ref="AB61" r:id="rId465"/>
    <hyperlink ref="AB250" r:id="rId466" display="https://www.jivi.com.ar/ficha.php?id=1709"/>
    <hyperlink ref="AB653" r:id="rId467" display="https://www.jivi.com.ar/ficha.php?id=1710"/>
    <hyperlink ref="AB664" r:id="rId468"/>
    <hyperlink ref="AB668" r:id="rId469"/>
    <hyperlink ref="AB670" r:id="rId470"/>
    <hyperlink ref="AB601" r:id="rId471" display="https://www.jivi.com.ar/ficha.php?id=1293"/>
    <hyperlink ref="AB276" r:id="rId472" display="https://www.jivi.com.ar/ficha.php?id=1340"/>
    <hyperlink ref="AB280" r:id="rId473" display="https://www.jivi.com.ar/ficha.php?id=1265"/>
    <hyperlink ref="AB269" r:id="rId474" display="https://www.jivi.com.ar/ficha.php?id=1487"/>
    <hyperlink ref="AB125" r:id="rId475"/>
    <hyperlink ref="AB130" r:id="rId476"/>
    <hyperlink ref="AB126" r:id="rId477"/>
    <hyperlink ref="AB131" r:id="rId478"/>
    <hyperlink ref="AB315" r:id="rId479" display="https://www.jivi.com.ar/ficha.php?id=1447"/>
    <hyperlink ref="AB385" r:id="rId480" display="https://www.jivi.com.ar/ficha.php?id=1087"/>
    <hyperlink ref="AB513" r:id="rId481"/>
    <hyperlink ref="AB138" r:id="rId482" display="https://www.jivi.com.ar/ficha.php?id=1451"/>
    <hyperlink ref="AB273" r:id="rId483"/>
    <hyperlink ref="AB379" r:id="rId484" display="https://www.jivi.com.ar/ficha.php?id=1805"/>
    <hyperlink ref="AB342" r:id="rId485" display="https://www.jivi.com.ar/ficha.php?id=1342"/>
    <hyperlink ref="AB386" r:id="rId486" display="https://www.jivi.com.ar/ficha.php?id=1070"/>
    <hyperlink ref="AB389" r:id="rId487"/>
    <hyperlink ref="AB455" r:id="rId488" display="https://www.jivi.com.ar/ficha.php?id=1597"/>
    <hyperlink ref="AB391" r:id="rId489" display="https://www.jivi.com.ar/ficha.php?id=1131"/>
    <hyperlink ref="AB298" r:id="rId490" display="https://www.jivi.com.ar/ficha.php?id=1774"/>
    <hyperlink ref="AB435" r:id="rId491" display="https://www.jivi.com.ar/ficha.php?id=1820"/>
    <hyperlink ref="AB254" r:id="rId492" display="https://www.jivi.com.ar/ficha.php?id=1544"/>
    <hyperlink ref="AB259" r:id="rId493" display="https://www.jivi.com.ar/ficha.php?id=1533"/>
    <hyperlink ref="AF10:AH10" location="'Artículos Publicitarios'!A101" display="IR A PAGINA 2"/>
    <hyperlink ref="AB619" r:id="rId494" display="https://www.jivi.com.ar/ficha.php?id=1556"/>
    <hyperlink ref="AB636" r:id="rId495" display="https://www.jivi.com.ar/ficha.php?id=1825"/>
    <hyperlink ref="AB288" r:id="rId496" display="https://www.jivi.com.ar/ficha.php?id=1491"/>
    <hyperlink ref="AB204" r:id="rId497" display="https://www.jivi.com.ar/ficha.php?id=149"/>
    <hyperlink ref="AB300" r:id="rId498" display="https://www.jivi.com.ar/ficha.php?id=1594"/>
    <hyperlink ref="AB447" r:id="rId499"/>
    <hyperlink ref="AB211" r:id="rId500" display="https://www.jivi.com.ar/ficha.php?id=1799"/>
    <hyperlink ref="AB734" r:id="rId501"/>
    <hyperlink ref="AB735" r:id="rId502"/>
    <hyperlink ref="AB283" r:id="rId503" display="https://www.jivi.com.ar/ficha.php?id=1077"/>
    <hyperlink ref="AB366" r:id="rId504"/>
    <hyperlink ref="AB650" r:id="rId505" display="https://www.jivi.com.ar/ficha.php?id=1616"/>
    <hyperlink ref="AB264" r:id="rId506" display="https://www.jivi.com.ar/ficha.php?id=1520"/>
    <hyperlink ref="AB274" r:id="rId507"/>
    <hyperlink ref="AB322" r:id="rId508" display="https://www.jivi.com.ar/ficha.php?id=1443"/>
    <hyperlink ref="AB137" r:id="rId509" display="https://www.jivi.com.ar/ficha.php?id=1055"/>
    <hyperlink ref="AB688" r:id="rId510"/>
    <hyperlink ref="AB256" r:id="rId511" display="https://www.jivi.com.ar/ficha.php?id=1530"/>
    <hyperlink ref="AB419" r:id="rId512" display="https://www.jivi.com.ar/ficha.php?id=1379"/>
    <hyperlink ref="AB418" r:id="rId513" display="https://www.jivi.com.ar/ficha.php?id=1380"/>
    <hyperlink ref="AB380" r:id="rId514" display="https://www.jivi.com.ar/ficha.php?id=1840"/>
    <hyperlink ref="AB586" r:id="rId515" display="https://www.jivi.com.ar/ficha.php?id=1371"/>
    <hyperlink ref="AB669" r:id="rId516"/>
    <hyperlink ref="AB608" r:id="rId517" display="https://www.jivi.com.ar/ficha.php?id=1579"/>
    <hyperlink ref="AB602" r:id="rId518" display="https://www.jivi.com.ar/ficha.php?id=1138"/>
    <hyperlink ref="AB588" r:id="rId519" display="https://www.jivi.com.ar/ficha.php?id=1911"/>
    <hyperlink ref="AB590" r:id="rId520" display="https://www.jivi.com.ar/ficha.php?id=1916"/>
    <hyperlink ref="AB589" r:id="rId521" display="https://www.jivi.com.ar/ficha.php?id=1912"/>
    <hyperlink ref="AF584:AH584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2" r:id="rId522" display="https://www.jivi.com.ar/ficha.php?id=1386"/>
    <hyperlink ref="AB403" r:id="rId523" display="https://www.jivi.com.ar/ficha.php?id=1566"/>
    <hyperlink ref="AB251" r:id="rId524" display="https://www.jivi.com.ar/ficha.php?id=1998"/>
    <hyperlink ref="AB289" r:id="rId525" display="https://www.jivi.com.ar/ficha.php?id=1411"/>
    <hyperlink ref="AB620" r:id="rId526" display="https://www.jivi.com.ar/ficha.php?id=2000"/>
    <hyperlink ref="AB624" r:id="rId527" display="https://www.jivi.com.ar/ficha.php?id=1601"/>
    <hyperlink ref="AB607" r:id="rId528" display="https://www.jivi.com.ar/ficha.php?id=1577"/>
    <hyperlink ref="AB603" r:id="rId529" display="https://www.jivi.com.ar/ficha.php?id=1245"/>
    <hyperlink ref="AB629" r:id="rId530" display="https://www.jivi.com.ar/ficha.php?id=2003"/>
    <hyperlink ref="AB260" r:id="rId531" display="https://www.jivi.com.ar/ficha.php?id=2007"/>
    <hyperlink ref="AB177" r:id="rId532" display="https://www.jivi.com.ar/ficha.php?id=1258"/>
    <hyperlink ref="AB491" r:id="rId533"/>
    <hyperlink ref="AB438" r:id="rId534" display="https://www.jivi.com.ar/ficha.php?id=1720"/>
    <hyperlink ref="AB518" r:id="rId535"/>
    <hyperlink ref="AB253" r:id="rId536" display="https://www.jivi.com.ar/ficha.php?id=2011"/>
    <hyperlink ref="AB384" r:id="rId537"/>
    <hyperlink ref="AB595" r:id="rId538" display="https://www.jivi.com.ar/ficha.php?id=2014"/>
    <hyperlink ref="AB437" r:id="rId539" display="https://www.jivi.com.ar/ficha.php?id=2017"/>
    <hyperlink ref="AB451" r:id="rId540" display="https://www.jivi.com.ar/ficha.php?id=2018"/>
    <hyperlink ref="AB275" r:id="rId541" display="https://www.jivi.com.ar/ficha.php?id=1339"/>
    <hyperlink ref="AB297" r:id="rId542" display="https://www.jivi.com.ar/ficha.php?id=2026"/>
    <hyperlink ref="AB242" r:id="rId543" display="https://www.jivi.com.ar/ficha.php?id=335"/>
    <hyperlink ref="AB347" r:id="rId544" display="https://www.jivi.com.ar/ficha.php?id=444"/>
    <hyperlink ref="AB496" r:id="rId545"/>
    <hyperlink ref="AB497" r:id="rId546"/>
    <hyperlink ref="AB654" r:id="rId547" display="https://www.jivi.com.ar/ficha.php?id=2040"/>
    <hyperlink ref="AB730" r:id="rId548" display="https://www.jivi.com.ar/ficha.php?id=1662"/>
    <hyperlink ref="AB710" r:id="rId549" display="https://www.jivi.com.ar/ficha.php?id=2042"/>
    <hyperlink ref="AB529" r:id="rId550"/>
    <hyperlink ref="AB530" r:id="rId551"/>
    <hyperlink ref="AB533" r:id="rId552"/>
    <hyperlink ref="AF479:AH479" location="'Artículos Publicitarios'!A3" display="IR A PAGINA 1"/>
    <hyperlink ref="AB444" r:id="rId553" display="https://www.jivi.com.ar/ficha.php?id=1390"/>
    <hyperlink ref="AB412" r:id="rId554" display="https://www.jivi.com.ar/ficha.php?id=1280"/>
    <hyperlink ref="AB411" r:id="rId555" display="https://www.jivi.com.ar/ficha.php?id=1278"/>
    <hyperlink ref="AB277" r:id="rId556" display="https://www.jivi.com.ar/ficha.php?id=1256"/>
    <hyperlink ref="AB323" r:id="rId557" display="https://www.jivi.com.ar/ficha.php?id=1410"/>
    <hyperlink ref="AB329" r:id="rId558" display="https://www.jivi.com.ar/articulos.php?search=1066"/>
    <hyperlink ref="AB17" r:id="rId559" display="https://www.jivi.com.ar/ficha.php?id=1433"/>
    <hyperlink ref="AB182" r:id="rId560" display="https://www.jivi.com.ar/ficha.php?id=1416"/>
    <hyperlink ref="AB628" r:id="rId561" display="https://www.jivi.com.ar/ficha.php?id=2051"/>
    <hyperlink ref="AB174" r:id="rId562" display="https://www.jivi.com.ar/ficha.php?id=2052"/>
    <hyperlink ref="AB434" r:id="rId563"/>
    <hyperlink ref="AB265" r:id="rId564" display="https://www.jivi.com.ar/ficha.php?id=2058"/>
    <hyperlink ref="AB248" r:id="rId565" display="https://www.jivi.com.ar/ficha.php?id=971"/>
    <hyperlink ref="AB247" r:id="rId566" display="https://www.jivi.com.ar/ficha.php?id=2059"/>
    <hyperlink ref="AB729" r:id="rId567" display="https://www.jivi.com.ar/ficha.php?id=2060"/>
    <hyperlink ref="AB708" r:id="rId568" display="https://www.jivi.com.ar/ficha.php?id=2061"/>
    <hyperlink ref="AB725" r:id="rId569" display="https://www.jivi.com.ar/ficha.php?id=2062"/>
    <hyperlink ref="AB176" r:id="rId570" display="https://www.jivi.com.ar/ficha.php?id=1369"/>
    <hyperlink ref="AB207" r:id="rId571" display="https://www.jivi.com.ar/ficha.php?id=1391"/>
    <hyperlink ref="AB208" r:id="rId572" display="https://www.jivi.com.ar/ficha.php?id=2066"/>
    <hyperlink ref="AB452" r:id="rId573" display="https://www.jivi.com.ar/ficha.php?id=2067"/>
    <hyperlink ref="AB453" r:id="rId574" display="https://www.jivi.com.ar/ficha.php?id=2068"/>
    <hyperlink ref="AB593" r:id="rId575" display="https://www.jivi.com.ar/ficha.php?id=1295"/>
    <hyperlink ref="AB657" r:id="rId576" display="https://www.jivi.com.ar/ficha.php?id=2069"/>
    <hyperlink ref="AB627" r:id="rId577" display="https://www.jivi.com.ar/ficha.php?id=2070"/>
    <hyperlink ref="AB587" r:id="rId578" display="https://www.jivi.com.ar/ficha.php?id=2083"/>
    <hyperlink ref="AB179" r:id="rId579" display="https://www.jivi.com.ar/ficha.php?id=1266"/>
    <hyperlink ref="AB184" r:id="rId580" display="https://www.jivi.com.ar/ficha.php?id=2084"/>
    <hyperlink ref="AB178" r:id="rId581" display="https://www.jivi.com.ar/ficha.php?id=2085"/>
    <hyperlink ref="AB185" r:id="rId582" display="https://www.jivi.com.ar/ficha.php?id=1001"/>
    <hyperlink ref="AB102" r:id="rId583" display="https://www.jivi.com.ar/ficha.php?id=333"/>
    <hyperlink ref="AB454" r:id="rId584" display="https://www.jivi.com.ar/ficha.php?id=1512"/>
    <hyperlink ref="AB456" r:id="rId585" display="https://www.jivi.com.ar/ficha.php?id=1786"/>
    <hyperlink ref="AB383" r:id="rId586" display="https://www.jivi.com.ar/ficha.php?id=1299"/>
    <hyperlink ref="AB655" r:id="rId587" display="https://www.jivi.com.ar/ficha.php?id=2097"/>
    <hyperlink ref="AB457" r:id="rId588" display="https://www.jivi.com.ar/ficha.php?id=2101"/>
    <hyperlink ref="AB534" r:id="rId589"/>
    <hyperlink ref="AB535" r:id="rId590"/>
    <hyperlink ref="AB181" r:id="rId591" display="https://www.jivi.com.ar/ficha.php?id=2142"/>
    <hyperlink ref="AB266" r:id="rId592" display="https://www.jivi.com.ar/ficha.php?id=2147"/>
    <hyperlink ref="AB267" r:id="rId593" display="https://www.jivi.com.ar/ficha.php?id=2146"/>
    <hyperlink ref="AB345" r:id="rId594" display="https://www.jivi.com.ar/ficha.php?id=1403"/>
    <hyperlink ref="AF18:AJ18" location="'Artículos Publicitarios'!A313" display="IR A BOTELLAS Y JARROS"/>
    <hyperlink ref="AB492" r:id="rId595"/>
    <hyperlink ref="AB493" r:id="rId596"/>
    <hyperlink ref="AB494" r:id="rId597"/>
    <hyperlink ref="AB325" r:id="rId598" display="https://www.jivi.com.ar/ficha.php?id=2178"/>
    <hyperlink ref="AB11" r:id="rId599" display="https://www.jivi.com.ar/ficha.php?id=2105"/>
    <hyperlink ref="AB296" r:id="rId600" display="https://www.jivi.com.ar/ficha.php?id=2224"/>
    <hyperlink ref="AB409" r:id="rId601" display="https://www.jivi.com.ar/ficha.php?id=1279"/>
    <hyperlink ref="AB503" r:id="rId602"/>
    <hyperlink ref="AB626" r:id="rId603" display="https://www.jivi.com.ar/ficha.php?id=2231"/>
    <hyperlink ref="AB604" r:id="rId604" display="https://www.jivi.com.ar/ficha.php?id=2230"/>
    <hyperlink ref="AB563" r:id="rId605" display="https://www.jivi.com.ar/ficha.php?id=1435"/>
    <hyperlink ref="AB314" r:id="rId606" display="https://www.jivi.com.ar/ficha.php?id=2227"/>
    <hyperlink ref="AB295" r:id="rId607" display="https://www.jivi.com.ar/ficha.php?id=2225"/>
    <hyperlink ref="AB62" r:id="rId608"/>
    <hyperlink ref="AB415" r:id="rId609"/>
    <hyperlink ref="AB15" r:id="rId610" display="https://www.jivi.com.ar/ficha.php?id=2222"/>
    <hyperlink ref="AB225" r:id="rId611" display="https://www.jivi.com.ar/ficha.php?id=2226"/>
    <hyperlink ref="AB665" r:id="rId612"/>
    <hyperlink ref="AB119" r:id="rId613"/>
    <hyperlink ref="AB120" r:id="rId614"/>
    <hyperlink ref="AB121" r:id="rId615"/>
    <hyperlink ref="AB109" r:id="rId616" display="https://www.jivi.com.ar/ficha.php?id=2208"/>
    <hyperlink ref="AB110" r:id="rId617"/>
    <hyperlink ref="AB111" r:id="rId618" display="https://www.jivi.com.ar/ficha.php?id=2210"/>
    <hyperlink ref="AB112" r:id="rId619"/>
    <hyperlink ref="AB113" r:id="rId620" display="https://www.jivi.com.ar/ficha.php?id=2212"/>
    <hyperlink ref="AB114" r:id="rId621"/>
    <hyperlink ref="AB115" r:id="rId622" display="https://www.jivi.com.ar/ficha.php?id=2214"/>
    <hyperlink ref="AB117" r:id="rId623" display="https://www.jivi.com.ar/ficha.php?id=2215"/>
    <hyperlink ref="AB118" r:id="rId624"/>
    <hyperlink ref="AB246" r:id="rId625" display="https://www.jivi.com.ar/ficha.php?id=2233"/>
    <hyperlink ref="AB647" r:id="rId626" display="https://www.jivi.com.ar/ficha.php?id=2234"/>
    <hyperlink ref="AB16" r:id="rId627" display="https://www.jivi.com.ar/ficha.php?id=1251"/>
    <hyperlink ref="AB658" r:id="rId628" display="https://www.jivi.com.ar/ficha.php?id=2262"/>
    <hyperlink ref="AB215" r:id="rId629" display="https://www.jivi.com.ar/ficha.php?id=2266"/>
    <hyperlink ref="AB483" r:id="rId630"/>
    <hyperlink ref="AB485" r:id="rId631"/>
    <hyperlink ref="AB488" r:id="rId632"/>
    <hyperlink ref="AB172" r:id="rId633" display="https://www.jivi.com.ar/ficha.php?id=2271"/>
    <hyperlink ref="AB334" r:id="rId634" display="https://www.jivi.com.ar/ficha.php?id=2272"/>
    <hyperlink ref="AB161" r:id="rId635" display="https://www.jivi.com.ar/ficha.php?id=914"/>
    <hyperlink ref="AB294" r:id="rId636" display="https://www.jivi.com.ar/ficha.php?id=2273"/>
    <hyperlink ref="AB328" r:id="rId637" display="https://www.jivi.com.ar/ficha.php?id=2274"/>
    <hyperlink ref="AB597" r:id="rId638" display="https://www.jivi.com.ar/ficha.php?id=1140"/>
    <hyperlink ref="AB486" r:id="rId639"/>
    <hyperlink ref="AB490" r:id="rId640"/>
    <hyperlink ref="AB484" r:id="rId641"/>
    <hyperlink ref="AB481" r:id="rId642"/>
    <hyperlink ref="AB489" r:id="rId643"/>
    <hyperlink ref="AF559:AH559" location="'Artículos Publicitarios'!A3" display="IR A PAGINA 1"/>
    <hyperlink ref="AB731" r:id="rId644" display="https://www.jivi.com.ar/ficha.php?id=2278"/>
    <hyperlink ref="AB728" r:id="rId645" display="https://www.jivi.com.ar/ficha.php?id=2279"/>
    <hyperlink ref="AB333" r:id="rId646" display="https://www.jivi.com.ar/ficha.php?id=2281"/>
    <hyperlink ref="AB340" r:id="rId647" display="https://www.jivi.com.ar/ficha.php?id=1445"/>
    <hyperlink ref="AB292" r:id="rId648" display="https://www.jivi.com.ar/ficha.php?id=2286"/>
    <hyperlink ref="AB330" r:id="rId649" display="https://www.jivi.com.ar/ficha.php?id=2287"/>
    <hyperlink ref="AB331" r:id="rId650" display="https://www.jivi.com.ar/ficha.php?id=2288"/>
    <hyperlink ref="AB656" r:id="rId651" display="https://www.jivi.com.ar/ficha.php?id=2289"/>
    <hyperlink ref="AB326" r:id="rId652" display="https://www.jivi.com.ar/ficha.php?id=2290"/>
    <hyperlink ref="AB401" r:id="rId653"/>
    <hyperlink ref="AB173" r:id="rId654" display="https://www.jivi.com.ar/ficha.php?id=2055"/>
    <hyperlink ref="AB223" r:id="rId655"/>
    <hyperlink ref="AB293" r:id="rId656" display="https://www.jivi.com.ar/ficha.php?id=2294"/>
    <hyperlink ref="AB291" r:id="rId657" display="https://www.jivi.com.ar/ficha.php?id=2295"/>
    <hyperlink ref="AB644" r:id="rId658" display="https://www.jivi.com.ar/ficha.php?id=2296"/>
    <hyperlink ref="AB645" r:id="rId659" display="https://www.jivi.com.ar/ficha.php?id=2297"/>
    <hyperlink ref="AB646" r:id="rId660" display="https://www.jivi.com.ar/ficha.php?id=2298"/>
    <hyperlink ref="AB648" r:id="rId661" display="https://www.jivi.com.ar/ficha.php?id=2299"/>
    <hyperlink ref="AB649" r:id="rId662" display="https://www.jivi.com.ar/ficha.php?id=2300"/>
    <hyperlink ref="AB592" r:id="rId663"/>
    <hyperlink ref="AF642:AH642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F722:AH722" location="'Artículos Publicitarios'!A3" display="IR A PAGINA 1"/>
    <hyperlink ref="AB666" r:id="rId664"/>
    <hyperlink ref="AB214" r:id="rId665" display="https://www.jivi.com.ar/ficha.php?id=1319"/>
    <hyperlink ref="AB459" r:id="rId666" display="https://www.jivi.com.ar/ficha.php?id=2306"/>
    <hyperlink ref="AB460" r:id="rId667" display="https://www.jivi.com.ar/ficha.php?id=2307"/>
    <hyperlink ref="AB461" r:id="rId668" display="https://www.jivi.com.ar/ficha.php?id=2308"/>
    <hyperlink ref="AB462" r:id="rId669" display="https://www.jivi.com.ar/ficha.php?id=2309"/>
    <hyperlink ref="AB463" r:id="rId670" display="https://www.jivi.com.ar/ficha.php?id=2312"/>
    <hyperlink ref="AB464" r:id="rId671" display="https://www.jivi.com.ar/ficha.php?id=2310"/>
    <hyperlink ref="AB465" r:id="rId672" display="https://www.jivi.com.ar/ficha.php?id=2313"/>
    <hyperlink ref="AB65" r:id="rId673"/>
    <hyperlink ref="AB341" r:id="rId674" display="https://jivi.com.ar/ficha.php?id=648"/>
  </hyperlinks>
  <pageMargins left="0.27559055118110237" right="0.11811023622047245" top="0.19685039370078741" bottom="0.15748031496062992" header="0.11811023622047245" footer="0.15748031496062992"/>
  <pageSetup paperSize="5" orientation="portrait" copies="5" r:id="rId675"/>
  <headerFooter alignWithMargins="0"/>
  <cellWatches>
    <cellWatch r="X8"/>
  </cellWatches>
  <ignoredErrors>
    <ignoredError sqref="AB684 AB693 AB732:AB733 AB726 AB709:AB710 AB711 AB727" numberStoredAsText="1"/>
    <ignoredError sqref="X679 B27:E27 C26:E26 A209:E209 A103:E104 H396:Q396 C28:E28 H690:L692 G284 G286 G316:W316 U31 S39:S40 S36 U36 U39:U40 S42 U42 S48 U48 F540:T540 W536 G369:G371 V92:W93 F82:I89 F91:I91 F90:I90 Q105 I57:I59 U105 S105 J81:J91 B279:E279 H368:J371 G81:I81 H387:J387 H94:W94 J10:K10 X220:X222 J12:K12 X11 F538 H139 O107:O108 S107:S108 Q107:Q108 U107:U108 X466 G278:G279 V28:V29 S31 H31:M31 H29:I29 U23:V24 G377:J378 G392:J395 H390:J390 G311:G313 O31 Q31 H30 I194:M194 I193:M193 I192:M192 I195:M195 H192:H195 P231:W231 P230 I13 W476 G270:G273 G304:G309 H380:K380 K361:K363 G364:K365 K367:K371 Q373 R373:W373 K386:K395 W197 W202 G301:G302 N95:W95 G261:G262 G381:K382 G177 G438:G441 G444 G290 H20:T20 G70 G175 F221:W221 F455:G455 G629:G637 G354:H354 I347:V348 F428:G428 B605:E605 G100:G101 B613:G613 B611:E611 B612:E612 G457 W64 W57 N30:W30 H23:T24 H26:J28 G510 H95:I96 J96:W96 K95:M95 G102:V104 I134:V134 W189 G218:V219 H217:M217 G216:G217 H216:V216 N217:V217 L197:V202 H198:K202 H197:K197 G197:G202 G203:V206 N192:V195 G207:W208 H191:W191 O231 G230:N231 G196:V196 G298:G299 I346 K346:W346 K374:K379 K383:K384 F432:G432 G372:W372 G373:P373 H419:W425 G536:G539 G528:G533 G590 G587:H589 B606:E606 B607:E607 B608:E608 B609:E609 I587:V587 I596 G586:I586 L605:V605 I602:V602 L596:V596 H544:W545 W684 W687 H684:V687 G689:V689 G693:K693 W708 F710:G710 O694:V702 H740:T744 F739:G740 H732:V739 H18:H19 L10:V13 H21:W22 K26:T29 W53 G54:I56 G52:V53 H66:V70 H168:V171 G466:K466 V469:V471 G603:I603 B610:E610 G711 G433 H14:V14 H17:T17 G224:W229 H342:V342 H417:V418 G667:V667 H604:I605 G546:V555 G232:V235 H297:V313 H314:W314 G664:V664 I665:V665 J54:V61 H61:I61 I62:V62 I137:V139 O135 M135 Q135 S135 U135 I135:K136 G344:V344 H708:V717 I133:Q133 G335:V335 F638:G638 H244:V259 H315:V315 H151:O152 Q151:W152 H15:T15 G209:V209 G215:I215 L215:V215 H162:S162 L469:T471 L468:V468 J172:W172 H172 F332:V332 H334:V334 H161:V161 J242:V243 H327:V329 K410:V416 F495:V495 H593:H596 N597:Y597 G472:V476 L494:V494 M466:V466 G468:K471 G467:V467 G729:V730 H728:V728 G731:W731 G725:V727 G333 J333:V333 H336:W340 K586:V586 I593:V595 I591 K591:V591 H598:V601 K603:V604 G341:V341 H330:W330 H331:V331 G709 G605:G612 F743:G743 H295:W296 G294:V294 H326:W326 L374:V395 H173:V190 H343:S343 G222:H222 N222:V223 T149:W150 S149 Q149 H149:O149 H150:S150 H153:V154 G617:G625 H291:W293 I349:K360 L349:V371 G95:G98 H97:W101 F155:V155 G211:V213 G210:O210 G249:G255 H261:V266 H260:K260 H268:V290 H267:O267 H322:V325 F402:V402 F409:V409 G403:V408 G427 H426:K426 N426:W426 G429:G431 H427:W448 H450:W453 J449:W449 H491:V493 J490:V490 G502:V503 H510:V525 H527:V538 J526:V526 J539:V539 H579:S579 I588:K590 N588:V590 H688:Q688 G741:G742 G744 H606:V638 H590:H591 G459:M459 N459:V463 H454:V458 H477:V477 N592:V592 H646:V656 H481:V489 H561:V578 K644:V645 P658:V658 G718:V718 J666:V666 G669:V670 G668 I668:V668 G673:V675 G671:G672 I671:V672 H724:V724 N214:V214 G220:W220 L214 P465:W465 H63:V64 H65:J65 J241:V241 G321:V321 F401:V401 H25:I25 L25:W25 F498:V501 G497:V497 G496:V496 L65 N65 P65 R65 T65 V65" formula="1"/>
    <ignoredError sqref="G388" evalError="1"/>
    <ignoredError sqref="H388:J388" evalError="1" formula="1"/>
  </ignoredErrors>
  <drawing r:id="rId676"/>
  <legacyDrawing r:id="rId6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2025-07-01T17:37:35Z</cp:lastPrinted>
  <dcterms:created xsi:type="dcterms:W3CDTF">2003-01-03T20:20:32Z</dcterms:created>
  <dcterms:modified xsi:type="dcterms:W3CDTF">2025-07-07T15:53:14Z</dcterms:modified>
</cp:coreProperties>
</file>