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9" i="1" l="1"/>
  <c r="R619" i="1" s="1"/>
  <c r="S619" i="1" s="1"/>
  <c r="T770" i="1"/>
  <c r="R770" i="1"/>
  <c r="P770" i="1"/>
  <c r="N770" i="1"/>
  <c r="L770" i="1"/>
  <c r="J770" i="1"/>
  <c r="H769" i="1"/>
  <c r="H768" i="1"/>
  <c r="J769" i="1"/>
  <c r="J768" i="1"/>
  <c r="V769" i="1"/>
  <c r="W769" i="1" s="1"/>
  <c r="T769" i="1"/>
  <c r="U769" i="1" s="1"/>
  <c r="R769" i="1"/>
  <c r="S769" i="1" s="1"/>
  <c r="P769" i="1"/>
  <c r="Q769" i="1" s="1"/>
  <c r="N769" i="1"/>
  <c r="O769" i="1" s="1"/>
  <c r="L769" i="1"/>
  <c r="M769" i="1" s="1"/>
  <c r="V768" i="1"/>
  <c r="W768" i="1" s="1"/>
  <c r="T768" i="1"/>
  <c r="U768" i="1" s="1"/>
  <c r="R768" i="1"/>
  <c r="S768" i="1" s="1"/>
  <c r="P768" i="1"/>
  <c r="Q768" i="1" s="1"/>
  <c r="N768" i="1"/>
  <c r="O768" i="1" s="1"/>
  <c r="L768" i="1"/>
  <c r="M768" i="1" s="1"/>
  <c r="V767" i="1"/>
  <c r="T767" i="1"/>
  <c r="R767" i="1"/>
  <c r="P767" i="1"/>
  <c r="N767" i="1"/>
  <c r="L767" i="1"/>
  <c r="V753" i="1"/>
  <c r="W753" i="1" s="1"/>
  <c r="T753" i="1"/>
  <c r="U753" i="1" s="1"/>
  <c r="R753" i="1"/>
  <c r="S753" i="1" s="1"/>
  <c r="P753" i="1"/>
  <c r="Q753" i="1" s="1"/>
  <c r="N753" i="1"/>
  <c r="O753" i="1" s="1"/>
  <c r="V752" i="1"/>
  <c r="W752" i="1" s="1"/>
  <c r="T752" i="1"/>
  <c r="U752" i="1" s="1"/>
  <c r="R752" i="1"/>
  <c r="S752" i="1" s="1"/>
  <c r="P752" i="1"/>
  <c r="Q752" i="1" s="1"/>
  <c r="N752" i="1"/>
  <c r="O752" i="1" s="1"/>
  <c r="V746" i="1"/>
  <c r="W746" i="1" s="1"/>
  <c r="T746" i="1"/>
  <c r="U746" i="1" s="1"/>
  <c r="R746" i="1"/>
  <c r="S746" i="1" s="1"/>
  <c r="P746" i="1"/>
  <c r="Q746" i="1" s="1"/>
  <c r="N746" i="1"/>
  <c r="O746" i="1" s="1"/>
  <c r="V736" i="1"/>
  <c r="W736" i="1" s="1"/>
  <c r="T736" i="1"/>
  <c r="U736" i="1" s="1"/>
  <c r="R736" i="1"/>
  <c r="S736" i="1" s="1"/>
  <c r="P736" i="1"/>
  <c r="Q736" i="1" s="1"/>
  <c r="V735" i="1"/>
  <c r="W735" i="1" s="1"/>
  <c r="T735" i="1"/>
  <c r="U735" i="1" s="1"/>
  <c r="R735" i="1"/>
  <c r="S735" i="1" s="1"/>
  <c r="P735" i="1"/>
  <c r="Q735" i="1" s="1"/>
  <c r="V734" i="1"/>
  <c r="W734" i="1" s="1"/>
  <c r="T734" i="1"/>
  <c r="U734" i="1" s="1"/>
  <c r="R734" i="1"/>
  <c r="S734" i="1" s="1"/>
  <c r="P734" i="1"/>
  <c r="Q734" i="1" s="1"/>
  <c r="V733" i="1"/>
  <c r="W733" i="1" s="1"/>
  <c r="T733" i="1"/>
  <c r="U733" i="1" s="1"/>
  <c r="R733" i="1"/>
  <c r="S733" i="1" s="1"/>
  <c r="P733" i="1"/>
  <c r="Q733" i="1" s="1"/>
  <c r="V732" i="1"/>
  <c r="W732" i="1" s="1"/>
  <c r="T732" i="1"/>
  <c r="U732" i="1" s="1"/>
  <c r="R732" i="1"/>
  <c r="S732" i="1" s="1"/>
  <c r="P732" i="1"/>
  <c r="Q732" i="1" s="1"/>
  <c r="V731" i="1"/>
  <c r="W731" i="1" s="1"/>
  <c r="T731" i="1"/>
  <c r="U731" i="1" s="1"/>
  <c r="R731" i="1"/>
  <c r="S731" i="1" s="1"/>
  <c r="P731" i="1"/>
  <c r="Q731" i="1" s="1"/>
  <c r="V730" i="1"/>
  <c r="W730" i="1" s="1"/>
  <c r="T730" i="1"/>
  <c r="U730" i="1" s="1"/>
  <c r="R730" i="1"/>
  <c r="S730" i="1" s="1"/>
  <c r="P730" i="1"/>
  <c r="Q730" i="1" s="1"/>
  <c r="V729" i="1"/>
  <c r="T729" i="1"/>
  <c r="R729" i="1"/>
  <c r="H753" i="1"/>
  <c r="H752" i="1"/>
  <c r="T619" i="1" l="1"/>
  <c r="U619" i="1" s="1"/>
  <c r="G619" i="1"/>
  <c r="V619" i="1"/>
  <c r="W619" i="1" s="1"/>
  <c r="P619" i="1"/>
  <c r="Q619" i="1" s="1"/>
  <c r="V678" i="1"/>
  <c r="V679" i="1"/>
  <c r="V680" i="1"/>
  <c r="V682" i="1"/>
  <c r="V683" i="1"/>
  <c r="V648" i="1"/>
  <c r="V654" i="1"/>
  <c r="V655" i="1"/>
  <c r="V625" i="1"/>
  <c r="V626" i="1"/>
  <c r="V629" i="1"/>
  <c r="V633" i="1"/>
  <c r="V642" i="1"/>
  <c r="V607" i="1"/>
  <c r="W607" i="1" s="1"/>
  <c r="T607" i="1"/>
  <c r="U607" i="1" s="1"/>
  <c r="R607" i="1"/>
  <c r="S607" i="1" s="1"/>
  <c r="P607" i="1"/>
  <c r="Q607" i="1" s="1"/>
  <c r="N607" i="1"/>
  <c r="O607" i="1" s="1"/>
  <c r="L607" i="1"/>
  <c r="M607" i="1" s="1"/>
  <c r="J607" i="1"/>
  <c r="K607" i="1" s="1"/>
  <c r="H607" i="1"/>
  <c r="I607" i="1" s="1"/>
  <c r="V605" i="1"/>
  <c r="W605" i="1" s="1"/>
  <c r="T605" i="1"/>
  <c r="U605" i="1" s="1"/>
  <c r="R605" i="1"/>
  <c r="S605" i="1" s="1"/>
  <c r="P605" i="1"/>
  <c r="Q605" i="1" s="1"/>
  <c r="N605" i="1"/>
  <c r="O605" i="1" s="1"/>
  <c r="L605" i="1"/>
  <c r="M605" i="1" s="1"/>
  <c r="J605" i="1"/>
  <c r="K605" i="1" s="1"/>
  <c r="H605" i="1"/>
  <c r="I605" i="1" s="1"/>
  <c r="V600" i="1"/>
  <c r="W600" i="1" s="1"/>
  <c r="T600" i="1"/>
  <c r="U600" i="1" s="1"/>
  <c r="R600" i="1"/>
  <c r="S600" i="1" s="1"/>
  <c r="P600" i="1"/>
  <c r="Q600" i="1" s="1"/>
  <c r="N600" i="1"/>
  <c r="O600" i="1" s="1"/>
  <c r="L600" i="1"/>
  <c r="M600" i="1" s="1"/>
  <c r="J600" i="1"/>
  <c r="K600" i="1" s="1"/>
  <c r="H600" i="1"/>
  <c r="I600" i="1" s="1"/>
  <c r="V608" i="1" l="1"/>
  <c r="W608" i="1" s="1"/>
  <c r="T608" i="1"/>
  <c r="U608" i="1" s="1"/>
  <c r="V606" i="1"/>
  <c r="W606" i="1" s="1"/>
  <c r="T606" i="1"/>
  <c r="U606" i="1" s="1"/>
  <c r="R608" i="1"/>
  <c r="S608" i="1" s="1"/>
  <c r="P608" i="1"/>
  <c r="Q608" i="1" s="1"/>
  <c r="N608" i="1"/>
  <c r="O608" i="1" s="1"/>
  <c r="L608" i="1"/>
  <c r="M608" i="1" s="1"/>
  <c r="J608" i="1"/>
  <c r="K608" i="1" s="1"/>
  <c r="H608" i="1"/>
  <c r="I608" i="1" s="1"/>
  <c r="R606" i="1"/>
  <c r="S606" i="1" s="1"/>
  <c r="P606" i="1"/>
  <c r="Q606" i="1" s="1"/>
  <c r="N606" i="1"/>
  <c r="O606" i="1" s="1"/>
  <c r="L606" i="1"/>
  <c r="M606" i="1" s="1"/>
  <c r="J606" i="1"/>
  <c r="K606" i="1" s="1"/>
  <c r="H606" i="1"/>
  <c r="I606" i="1" s="1"/>
  <c r="V567" i="1" l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J562" i="1"/>
  <c r="K562" i="1" s="1"/>
  <c r="F755" i="1" l="1"/>
  <c r="V755" i="1" s="1"/>
  <c r="W755" i="1" s="1"/>
  <c r="L548" i="1"/>
  <c r="M548" i="1" s="1"/>
  <c r="J548" i="1"/>
  <c r="K548" i="1" s="1"/>
  <c r="H548" i="1"/>
  <c r="I548" i="1" s="1"/>
  <c r="V551" i="1"/>
  <c r="W551" i="1" s="1"/>
  <c r="T551" i="1"/>
  <c r="U551" i="1" s="1"/>
  <c r="R551" i="1"/>
  <c r="S551" i="1" s="1"/>
  <c r="P551" i="1"/>
  <c r="Q551" i="1" s="1"/>
  <c r="N551" i="1"/>
  <c r="O551" i="1" s="1"/>
  <c r="L551" i="1"/>
  <c r="M551" i="1" s="1"/>
  <c r="J551" i="1"/>
  <c r="K551" i="1" s="1"/>
  <c r="V550" i="1"/>
  <c r="W550" i="1" s="1"/>
  <c r="T550" i="1"/>
  <c r="U550" i="1" s="1"/>
  <c r="R550" i="1"/>
  <c r="S550" i="1" s="1"/>
  <c r="P550" i="1"/>
  <c r="Q550" i="1" s="1"/>
  <c r="N550" i="1"/>
  <c r="O550" i="1" s="1"/>
  <c r="L550" i="1"/>
  <c r="M550" i="1" s="1"/>
  <c r="J550" i="1"/>
  <c r="K550" i="1" s="1"/>
  <c r="H550" i="1"/>
  <c r="I550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V547" i="1"/>
  <c r="W547" i="1" s="1"/>
  <c r="T547" i="1"/>
  <c r="U547" i="1" s="1"/>
  <c r="R547" i="1"/>
  <c r="S547" i="1" s="1"/>
  <c r="P547" i="1"/>
  <c r="Q547" i="1" s="1"/>
  <c r="N547" i="1"/>
  <c r="O547" i="1" s="1"/>
  <c r="L547" i="1"/>
  <c r="M547" i="1" s="1"/>
  <c r="J547" i="1"/>
  <c r="K547" i="1" s="1"/>
  <c r="H547" i="1"/>
  <c r="I547" i="1" s="1"/>
  <c r="V546" i="1"/>
  <c r="T546" i="1"/>
  <c r="R546" i="1"/>
  <c r="P546" i="1"/>
  <c r="N546" i="1"/>
  <c r="L546" i="1"/>
  <c r="J546" i="1"/>
  <c r="H546" i="1"/>
  <c r="V561" i="1"/>
  <c r="W561" i="1" s="1"/>
  <c r="T561" i="1"/>
  <c r="U561" i="1" s="1"/>
  <c r="R561" i="1"/>
  <c r="S561" i="1" s="1"/>
  <c r="P561" i="1"/>
  <c r="Q561" i="1" s="1"/>
  <c r="N561" i="1"/>
  <c r="O561" i="1" s="1"/>
  <c r="L561" i="1"/>
  <c r="M561" i="1" s="1"/>
  <c r="J561" i="1"/>
  <c r="K561" i="1" s="1"/>
  <c r="V553" i="1"/>
  <c r="W553" i="1" s="1"/>
  <c r="T553" i="1"/>
  <c r="U553" i="1" s="1"/>
  <c r="R553" i="1"/>
  <c r="S553" i="1" s="1"/>
  <c r="P553" i="1"/>
  <c r="Q553" i="1" s="1"/>
  <c r="N553" i="1"/>
  <c r="O553" i="1" s="1"/>
  <c r="L553" i="1"/>
  <c r="M553" i="1" s="1"/>
  <c r="J553" i="1"/>
  <c r="K553" i="1" s="1"/>
  <c r="V552" i="1"/>
  <c r="W552" i="1" s="1"/>
  <c r="T552" i="1"/>
  <c r="U552" i="1" s="1"/>
  <c r="R552" i="1"/>
  <c r="S552" i="1" s="1"/>
  <c r="P552" i="1"/>
  <c r="Q552" i="1" s="1"/>
  <c r="N552" i="1"/>
  <c r="O552" i="1" s="1"/>
  <c r="L552" i="1"/>
  <c r="M552" i="1" s="1"/>
  <c r="J552" i="1"/>
  <c r="K552" i="1" s="1"/>
  <c r="V545" i="1"/>
  <c r="W545" i="1" s="1"/>
  <c r="T545" i="1"/>
  <c r="U545" i="1" s="1"/>
  <c r="R545" i="1"/>
  <c r="S545" i="1" s="1"/>
  <c r="P545" i="1"/>
  <c r="Q545" i="1" s="1"/>
  <c r="N545" i="1"/>
  <c r="O545" i="1" s="1"/>
  <c r="L545" i="1"/>
  <c r="M545" i="1" s="1"/>
  <c r="V544" i="1"/>
  <c r="W544" i="1" s="1"/>
  <c r="T544" i="1"/>
  <c r="U544" i="1" s="1"/>
  <c r="R544" i="1"/>
  <c r="S544" i="1" s="1"/>
  <c r="P544" i="1"/>
  <c r="Q544" i="1" s="1"/>
  <c r="N544" i="1"/>
  <c r="O544" i="1" s="1"/>
  <c r="L544" i="1"/>
  <c r="M544" i="1" s="1"/>
  <c r="J543" i="1"/>
  <c r="V543" i="1"/>
  <c r="W543" i="1" s="1"/>
  <c r="T543" i="1"/>
  <c r="U543" i="1" s="1"/>
  <c r="R543" i="1"/>
  <c r="S543" i="1" s="1"/>
  <c r="P543" i="1"/>
  <c r="Q543" i="1" s="1"/>
  <c r="N543" i="1"/>
  <c r="O543" i="1" s="1"/>
  <c r="L543" i="1"/>
  <c r="M543" i="1" s="1"/>
  <c r="V542" i="1"/>
  <c r="W542" i="1" s="1"/>
  <c r="T542" i="1"/>
  <c r="U542" i="1" s="1"/>
  <c r="R542" i="1"/>
  <c r="S542" i="1" s="1"/>
  <c r="P542" i="1"/>
  <c r="Q542" i="1" s="1"/>
  <c r="N542" i="1"/>
  <c r="O542" i="1" s="1"/>
  <c r="L542" i="1"/>
  <c r="M542" i="1" s="1"/>
  <c r="V541" i="1"/>
  <c r="W541" i="1" s="1"/>
  <c r="T541" i="1"/>
  <c r="U541" i="1" s="1"/>
  <c r="R541" i="1"/>
  <c r="S541" i="1" s="1"/>
  <c r="P541" i="1"/>
  <c r="Q541" i="1" s="1"/>
  <c r="N541" i="1"/>
  <c r="O541" i="1" s="1"/>
  <c r="L541" i="1"/>
  <c r="M541" i="1" s="1"/>
  <c r="V540" i="1"/>
  <c r="W540" i="1" s="1"/>
  <c r="T540" i="1"/>
  <c r="U540" i="1" s="1"/>
  <c r="R540" i="1"/>
  <c r="S540" i="1" s="1"/>
  <c r="P540" i="1"/>
  <c r="Q540" i="1" s="1"/>
  <c r="N540" i="1"/>
  <c r="O540" i="1" s="1"/>
  <c r="L540" i="1"/>
  <c r="M540" i="1" s="1"/>
  <c r="V539" i="1"/>
  <c r="T539" i="1"/>
  <c r="R539" i="1"/>
  <c r="P539" i="1"/>
  <c r="N539" i="1"/>
  <c r="L539" i="1"/>
  <c r="R755" i="1" l="1"/>
  <c r="S755" i="1" s="1"/>
  <c r="G755" i="1"/>
  <c r="J755" i="1"/>
  <c r="K755" i="1" s="1"/>
  <c r="L755" i="1"/>
  <c r="M755" i="1" s="1"/>
  <c r="N755" i="1"/>
  <c r="O755" i="1" s="1"/>
  <c r="P755" i="1"/>
  <c r="Q755" i="1" s="1"/>
  <c r="H755" i="1"/>
  <c r="I755" i="1" s="1"/>
  <c r="T755" i="1"/>
  <c r="U755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P24" i="1"/>
  <c r="R24" i="1"/>
  <c r="T24" i="1"/>
  <c r="N24" i="1"/>
  <c r="J24" i="1"/>
  <c r="V133" i="1"/>
  <c r="W133" i="1" s="1"/>
  <c r="T133" i="1"/>
  <c r="U133" i="1" s="1"/>
  <c r="R133" i="1"/>
  <c r="S133" i="1" s="1"/>
  <c r="P133" i="1"/>
  <c r="Q133" i="1" s="1"/>
  <c r="N133" i="1"/>
  <c r="O133" i="1" s="1"/>
  <c r="L133" i="1"/>
  <c r="M133" i="1" s="1"/>
  <c r="V160" i="1"/>
  <c r="W160" i="1" s="1"/>
  <c r="T160" i="1"/>
  <c r="U160" i="1" s="1"/>
  <c r="R160" i="1"/>
  <c r="S160" i="1" s="1"/>
  <c r="P160" i="1"/>
  <c r="Q160" i="1" s="1"/>
  <c r="N160" i="1"/>
  <c r="O160" i="1" s="1"/>
  <c r="L160" i="1"/>
  <c r="M160" i="1" s="1"/>
  <c r="J160" i="1"/>
  <c r="K160" i="1" s="1"/>
  <c r="H160" i="1"/>
  <c r="I160" i="1" s="1"/>
  <c r="V504" i="1"/>
  <c r="P499" i="1"/>
  <c r="N499" i="1"/>
  <c r="L499" i="1"/>
  <c r="J499" i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T498" i="1"/>
  <c r="V498" i="1"/>
  <c r="R498" i="1"/>
  <c r="P498" i="1"/>
  <c r="N498" i="1"/>
  <c r="L498" i="1"/>
  <c r="J498" i="1"/>
  <c r="V492" i="1"/>
  <c r="T492" i="1"/>
  <c r="R492" i="1"/>
  <c r="P492" i="1"/>
  <c r="N492" i="1"/>
  <c r="L492" i="1"/>
  <c r="J492" i="1"/>
  <c r="H492" i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J359" i="1"/>
  <c r="K359" i="1" s="1"/>
  <c r="H359" i="1"/>
  <c r="I359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25" i="1" l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J356" i="1"/>
  <c r="K356" i="1" s="1"/>
  <c r="H356" i="1"/>
  <c r="I356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J355" i="1"/>
  <c r="K355" i="1" s="1"/>
  <c r="H355" i="1"/>
  <c r="I355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J354" i="1"/>
  <c r="K354" i="1" s="1"/>
  <c r="H354" i="1"/>
  <c r="I354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J342" i="1"/>
  <c r="K342" i="1" s="1"/>
  <c r="H342" i="1"/>
  <c r="I342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H336" i="1"/>
  <c r="I336" i="1" s="1"/>
  <c r="V335" i="1"/>
  <c r="W335" i="1" s="1"/>
  <c r="T335" i="1"/>
  <c r="U335" i="1" s="1"/>
  <c r="R335" i="1"/>
  <c r="S335" i="1" s="1"/>
  <c r="P335" i="1"/>
  <c r="Q335" i="1" s="1"/>
  <c r="N335" i="1"/>
  <c r="O335" i="1" s="1"/>
  <c r="L335" i="1"/>
  <c r="M335" i="1" s="1"/>
  <c r="J335" i="1"/>
  <c r="K335" i="1" s="1"/>
  <c r="H335" i="1"/>
  <c r="I335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J334" i="1"/>
  <c r="K334" i="1" s="1"/>
  <c r="H334" i="1"/>
  <c r="I334" i="1" s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J333" i="1"/>
  <c r="K333" i="1" s="1"/>
  <c r="H333" i="1"/>
  <c r="I333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H332" i="1"/>
  <c r="I332" i="1" s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J331" i="1"/>
  <c r="K331" i="1" s="1"/>
  <c r="H331" i="1"/>
  <c r="I331" i="1" s="1"/>
  <c r="V328" i="1"/>
  <c r="W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H328" i="1"/>
  <c r="I328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8" i="1"/>
  <c r="T308" i="1"/>
  <c r="R308" i="1"/>
  <c r="P308" i="1"/>
  <c r="N308" i="1"/>
  <c r="L308" i="1"/>
  <c r="J308" i="1"/>
  <c r="H265" i="1"/>
  <c r="I265" i="1" s="1"/>
  <c r="J265" i="1"/>
  <c r="K265" i="1" s="1"/>
  <c r="L265" i="1"/>
  <c r="M265" i="1" s="1"/>
  <c r="N265" i="1"/>
  <c r="O265" i="1" s="1"/>
  <c r="P265" i="1"/>
  <c r="Q265" i="1" s="1"/>
  <c r="R265" i="1"/>
  <c r="S265" i="1" s="1"/>
  <c r="T265" i="1"/>
  <c r="U265" i="1" s="1"/>
  <c r="V265" i="1"/>
  <c r="W265" i="1" s="1"/>
  <c r="H269" i="1"/>
  <c r="I269" i="1" s="1"/>
  <c r="J269" i="1"/>
  <c r="K269" i="1" s="1"/>
  <c r="L269" i="1"/>
  <c r="M269" i="1" s="1"/>
  <c r="N269" i="1"/>
  <c r="O269" i="1" s="1"/>
  <c r="P269" i="1"/>
  <c r="Q269" i="1" s="1"/>
  <c r="R269" i="1"/>
  <c r="S269" i="1" s="1"/>
  <c r="T269" i="1"/>
  <c r="U269" i="1" s="1"/>
  <c r="V269" i="1"/>
  <c r="W269" i="1" s="1"/>
  <c r="H272" i="1"/>
  <c r="I272" i="1" s="1"/>
  <c r="J272" i="1"/>
  <c r="K272" i="1" s="1"/>
  <c r="L272" i="1"/>
  <c r="M272" i="1" s="1"/>
  <c r="N272" i="1"/>
  <c r="O272" i="1" s="1"/>
  <c r="P272" i="1"/>
  <c r="Q272" i="1" s="1"/>
  <c r="R272" i="1"/>
  <c r="S272" i="1" s="1"/>
  <c r="T272" i="1"/>
  <c r="U272" i="1" s="1"/>
  <c r="V272" i="1"/>
  <c r="W272" i="1" s="1"/>
  <c r="L251" i="1"/>
  <c r="V252" i="1"/>
  <c r="W252" i="1" s="1"/>
  <c r="T252" i="1"/>
  <c r="U252" i="1" s="1"/>
  <c r="R252" i="1"/>
  <c r="S252" i="1" s="1"/>
  <c r="P252" i="1"/>
  <c r="Q252" i="1" s="1"/>
  <c r="N252" i="1"/>
  <c r="O252" i="1" s="1"/>
  <c r="L252" i="1"/>
  <c r="M252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V241" i="1"/>
  <c r="W241" i="1" s="1"/>
  <c r="T241" i="1"/>
  <c r="U241" i="1" s="1"/>
  <c r="R241" i="1"/>
  <c r="S241" i="1" s="1"/>
  <c r="P241" i="1"/>
  <c r="Q241" i="1" s="1"/>
  <c r="N241" i="1"/>
  <c r="O241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V242" i="1"/>
  <c r="W242" i="1" s="1"/>
  <c r="T242" i="1"/>
  <c r="U242" i="1" s="1"/>
  <c r="R242" i="1"/>
  <c r="S242" i="1" s="1"/>
  <c r="P242" i="1"/>
  <c r="Q242" i="1" s="1"/>
  <c r="N242" i="1"/>
  <c r="O242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N231" i="1"/>
  <c r="O231" i="1" s="1"/>
  <c r="P231" i="1"/>
  <c r="Q231" i="1" s="1"/>
  <c r="R231" i="1"/>
  <c r="S231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V207" i="1"/>
  <c r="T207" i="1"/>
  <c r="R207" i="1"/>
  <c r="P207" i="1"/>
  <c r="N207" i="1"/>
  <c r="L207" i="1"/>
  <c r="V206" i="1"/>
  <c r="T206" i="1"/>
  <c r="R206" i="1"/>
  <c r="P206" i="1"/>
  <c r="N206" i="1"/>
  <c r="L206" i="1"/>
  <c r="V205" i="1"/>
  <c r="W205" i="1" s="1"/>
  <c r="T205" i="1"/>
  <c r="U205" i="1" s="1"/>
  <c r="R205" i="1"/>
  <c r="S205" i="1" s="1"/>
  <c r="P205" i="1"/>
  <c r="Q205" i="1" s="1"/>
  <c r="N205" i="1"/>
  <c r="O205" i="1" s="1"/>
  <c r="V204" i="1"/>
  <c r="W204" i="1" s="1"/>
  <c r="T204" i="1"/>
  <c r="U204" i="1" s="1"/>
  <c r="R204" i="1"/>
  <c r="S204" i="1" s="1"/>
  <c r="P204" i="1"/>
  <c r="Q204" i="1" s="1"/>
  <c r="N204" i="1"/>
  <c r="O204" i="1" s="1"/>
  <c r="V203" i="1"/>
  <c r="W203" i="1" s="1"/>
  <c r="T203" i="1"/>
  <c r="U203" i="1" s="1"/>
  <c r="R203" i="1"/>
  <c r="S203" i="1" s="1"/>
  <c r="P203" i="1"/>
  <c r="Q203" i="1" s="1"/>
  <c r="N203" i="1"/>
  <c r="O203" i="1" s="1"/>
  <c r="V202" i="1"/>
  <c r="T202" i="1"/>
  <c r="R202" i="1"/>
  <c r="P202" i="1"/>
  <c r="N202" i="1"/>
  <c r="F221" i="1"/>
  <c r="N221" i="1" s="1"/>
  <c r="O221" i="1" s="1"/>
  <c r="J221" i="1" l="1"/>
  <c r="K221" i="1" s="1"/>
  <c r="L221" i="1"/>
  <c r="M221" i="1" s="1"/>
  <c r="G221" i="1"/>
  <c r="V233" i="1"/>
  <c r="W233" i="1" s="1"/>
  <c r="T233" i="1"/>
  <c r="U233" i="1" s="1"/>
  <c r="V232" i="1"/>
  <c r="W232" i="1" s="1"/>
  <c r="T232" i="1"/>
  <c r="U232" i="1" s="1"/>
  <c r="V229" i="1"/>
  <c r="W229" i="1" s="1"/>
  <c r="T229" i="1"/>
  <c r="U229" i="1" s="1"/>
  <c r="R229" i="1"/>
  <c r="S229" i="1" s="1"/>
  <c r="P229" i="1"/>
  <c r="Q229" i="1" s="1"/>
  <c r="O229" i="1"/>
  <c r="N229" i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J183" i="1"/>
  <c r="K183" i="1" s="1"/>
  <c r="H183" i="1"/>
  <c r="I183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R161" i="1" l="1"/>
  <c r="S161" i="1" s="1"/>
  <c r="P161" i="1"/>
  <c r="Q161" i="1" s="1"/>
  <c r="N161" i="1"/>
  <c r="O161" i="1" s="1"/>
  <c r="L161" i="1"/>
  <c r="M161" i="1" s="1"/>
  <c r="J161" i="1"/>
  <c r="K161" i="1" s="1"/>
  <c r="V132" i="1"/>
  <c r="W132" i="1" s="1"/>
  <c r="T132" i="1"/>
  <c r="U132" i="1" s="1"/>
  <c r="R132" i="1"/>
  <c r="S132" i="1" s="1"/>
  <c r="P132" i="1"/>
  <c r="Q132" i="1" s="1"/>
  <c r="N132" i="1"/>
  <c r="O132" i="1" s="1"/>
  <c r="L132" i="1"/>
  <c r="M132" i="1" s="1"/>
  <c r="J132" i="1"/>
  <c r="K132" i="1" s="1"/>
  <c r="J103" i="1"/>
  <c r="L94" i="1"/>
  <c r="J96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K103" i="1"/>
  <c r="V153" i="1"/>
  <c r="T153" i="1"/>
  <c r="R153" i="1"/>
  <c r="P153" i="1"/>
  <c r="N153" i="1"/>
  <c r="L153" i="1"/>
  <c r="J153" i="1"/>
  <c r="V149" i="1"/>
  <c r="V152" i="1"/>
  <c r="T152" i="1"/>
  <c r="R152" i="1"/>
  <c r="P152" i="1"/>
  <c r="N152" i="1"/>
  <c r="L152" i="1"/>
  <c r="J152" i="1"/>
  <c r="T149" i="1"/>
  <c r="R149" i="1"/>
  <c r="P149" i="1"/>
  <c r="N149" i="1"/>
  <c r="L149" i="1"/>
  <c r="J149" i="1"/>
  <c r="P148" i="1"/>
  <c r="T148" i="1"/>
  <c r="N148" i="1"/>
  <c r="L148" i="1"/>
  <c r="V148" i="1"/>
  <c r="R148" i="1"/>
  <c r="J148" i="1"/>
  <c r="V55" i="1" l="1"/>
  <c r="T55" i="1"/>
  <c r="R55" i="1"/>
  <c r="P55" i="1"/>
  <c r="N55" i="1"/>
  <c r="L55" i="1"/>
  <c r="J55" i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W53" i="1" s="1"/>
  <c r="T53" i="1"/>
  <c r="U53" i="1" s="1"/>
  <c r="R53" i="1"/>
  <c r="S53" i="1" s="1"/>
  <c r="P53" i="1"/>
  <c r="Q53" i="1" s="1"/>
  <c r="N53" i="1"/>
  <c r="O53" i="1" s="1"/>
  <c r="L53" i="1"/>
  <c r="M53" i="1" s="1"/>
  <c r="J53" i="1"/>
  <c r="K53" i="1" s="1"/>
  <c r="V51" i="1"/>
  <c r="W51" i="1" s="1"/>
  <c r="T51" i="1"/>
  <c r="U51" i="1" s="1"/>
  <c r="R51" i="1"/>
  <c r="S51" i="1" s="1"/>
  <c r="P51" i="1"/>
  <c r="Q51" i="1" s="1"/>
  <c r="N51" i="1"/>
  <c r="O51" i="1" s="1"/>
  <c r="L51" i="1"/>
  <c r="M51" i="1" s="1"/>
  <c r="J51" i="1"/>
  <c r="K51" i="1" s="1"/>
  <c r="P52" i="1"/>
  <c r="R52" i="1"/>
  <c r="T52" i="1"/>
  <c r="V52" i="1"/>
  <c r="N52" i="1"/>
  <c r="L52" i="1"/>
  <c r="J52" i="1"/>
  <c r="V69" i="1"/>
  <c r="W69" i="1" s="1"/>
  <c r="T69" i="1"/>
  <c r="U69" i="1" s="1"/>
  <c r="R69" i="1"/>
  <c r="S69" i="1" s="1"/>
  <c r="P69" i="1"/>
  <c r="Q69" i="1" s="1"/>
  <c r="N69" i="1"/>
  <c r="L69" i="1"/>
  <c r="M69" i="1" s="1"/>
  <c r="J69" i="1"/>
  <c r="H69" i="1"/>
  <c r="O69" i="1"/>
  <c r="L56" i="1"/>
  <c r="V56" i="1"/>
  <c r="W56" i="1" s="1"/>
  <c r="T56" i="1"/>
  <c r="U56" i="1" s="1"/>
  <c r="R56" i="1"/>
  <c r="S56" i="1" s="1"/>
  <c r="P56" i="1"/>
  <c r="Q56" i="1" s="1"/>
  <c r="N56" i="1"/>
  <c r="O56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7" i="1"/>
  <c r="T57" i="1"/>
  <c r="R57" i="1"/>
  <c r="P57" i="1"/>
  <c r="N57" i="1"/>
  <c r="L57" i="1"/>
  <c r="V64" i="1"/>
  <c r="W64" i="1" s="1"/>
  <c r="T64" i="1"/>
  <c r="U64" i="1" s="1"/>
  <c r="R64" i="1"/>
  <c r="S64" i="1" s="1"/>
  <c r="P64" i="1"/>
  <c r="Q64" i="1" s="1"/>
  <c r="N64" i="1"/>
  <c r="O64" i="1" s="1"/>
  <c r="L64" i="1"/>
  <c r="M64" i="1" s="1"/>
  <c r="J64" i="1"/>
  <c r="K64" i="1" s="1"/>
  <c r="V63" i="1"/>
  <c r="T63" i="1"/>
  <c r="R63" i="1"/>
  <c r="P63" i="1"/>
  <c r="J63" i="1"/>
  <c r="L63" i="1"/>
  <c r="N63" i="1"/>
  <c r="V12" i="1"/>
  <c r="V11" i="1"/>
  <c r="V10" i="1"/>
  <c r="P12" i="1"/>
  <c r="Q12" i="1" s="1"/>
  <c r="P11" i="1"/>
  <c r="Q11" i="1" s="1"/>
  <c r="P10" i="1"/>
  <c r="N389" i="1"/>
  <c r="T418" i="1"/>
  <c r="U418" i="1" s="1"/>
  <c r="R418" i="1"/>
  <c r="S418" i="1" s="1"/>
  <c r="P418" i="1"/>
  <c r="Q418" i="1" s="1"/>
  <c r="N418" i="1"/>
  <c r="O418" i="1" s="1"/>
  <c r="L418" i="1"/>
  <c r="M418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L389" i="1"/>
  <c r="J389" i="1"/>
  <c r="H389" i="1"/>
  <c r="V365" i="1"/>
  <c r="T365" i="1"/>
  <c r="R365" i="1"/>
  <c r="P365" i="1"/>
  <c r="N365" i="1"/>
  <c r="L365" i="1"/>
  <c r="J365" i="1"/>
  <c r="V24" i="1"/>
  <c r="U24" i="1"/>
  <c r="S24" i="1"/>
  <c r="Q24" i="1"/>
  <c r="O24" i="1"/>
  <c r="L24" i="1"/>
  <c r="M24" i="1" s="1"/>
  <c r="K24" i="1"/>
  <c r="V21" i="1"/>
  <c r="V20" i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H21" i="1"/>
  <c r="I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H15" i="1"/>
  <c r="I15" i="1" s="1"/>
  <c r="J15" i="1"/>
  <c r="K15" i="1" s="1"/>
  <c r="L15" i="1"/>
  <c r="M15" i="1" s="1"/>
  <c r="N15" i="1"/>
  <c r="O15" i="1" s="1"/>
  <c r="P15" i="1"/>
  <c r="Q15" i="1" s="1"/>
  <c r="R15" i="1"/>
  <c r="S15" i="1" s="1"/>
  <c r="T15" i="1"/>
  <c r="U15" i="1" s="1"/>
  <c r="N11" i="1"/>
  <c r="O11" i="1" s="1"/>
  <c r="R11" i="1"/>
  <c r="S11" i="1" s="1"/>
  <c r="T11" i="1"/>
  <c r="U11" i="1" s="1"/>
  <c r="N12" i="1"/>
  <c r="O12" i="1" s="1"/>
  <c r="R12" i="1"/>
  <c r="S12" i="1" s="1"/>
  <c r="T12" i="1"/>
  <c r="U12" i="1" s="1"/>
  <c r="N10" i="1"/>
  <c r="R10" i="1"/>
  <c r="T10" i="1"/>
  <c r="F264" i="1" l="1"/>
  <c r="F263" i="1"/>
  <c r="F262" i="1"/>
  <c r="F261" i="1"/>
  <c r="T261" i="1" l="1"/>
  <c r="R261" i="1"/>
  <c r="P261" i="1"/>
  <c r="Q261" i="1" s="1"/>
  <c r="N261" i="1"/>
  <c r="L261" i="1"/>
  <c r="M261" i="1" s="1"/>
  <c r="J261" i="1"/>
  <c r="K261" i="1" s="1"/>
  <c r="H261" i="1"/>
  <c r="I261" i="1" s="1"/>
  <c r="V261" i="1"/>
  <c r="W261" i="1" s="1"/>
  <c r="V264" i="1"/>
  <c r="W264" i="1" s="1"/>
  <c r="J264" i="1"/>
  <c r="K264" i="1" s="1"/>
  <c r="H264" i="1"/>
  <c r="I264" i="1" s="1"/>
  <c r="L264" i="1"/>
  <c r="M264" i="1" s="1"/>
  <c r="N264" i="1"/>
  <c r="O264" i="1" s="1"/>
  <c r="P264" i="1"/>
  <c r="Q264" i="1" s="1"/>
  <c r="R264" i="1"/>
  <c r="S264" i="1" s="1"/>
  <c r="T264" i="1"/>
  <c r="U264" i="1" s="1"/>
  <c r="V262" i="1"/>
  <c r="W262" i="1" s="1"/>
  <c r="H262" i="1"/>
  <c r="I262" i="1" s="1"/>
  <c r="J262" i="1"/>
  <c r="K262" i="1" s="1"/>
  <c r="L262" i="1"/>
  <c r="M262" i="1" s="1"/>
  <c r="N262" i="1"/>
  <c r="O262" i="1" s="1"/>
  <c r="P262" i="1"/>
  <c r="Q262" i="1" s="1"/>
  <c r="R262" i="1"/>
  <c r="S262" i="1" s="1"/>
  <c r="T262" i="1"/>
  <c r="U262" i="1" s="1"/>
  <c r="V263" i="1"/>
  <c r="W263" i="1" s="1"/>
  <c r="H263" i="1"/>
  <c r="I263" i="1" s="1"/>
  <c r="J263" i="1"/>
  <c r="K263" i="1" s="1"/>
  <c r="L263" i="1"/>
  <c r="M263" i="1" s="1"/>
  <c r="N263" i="1"/>
  <c r="O263" i="1" s="1"/>
  <c r="P263" i="1"/>
  <c r="Q263" i="1" s="1"/>
  <c r="R263" i="1"/>
  <c r="S263" i="1" s="1"/>
  <c r="T263" i="1"/>
  <c r="U263" i="1" s="1"/>
  <c r="G264" i="1"/>
  <c r="G263" i="1"/>
  <c r="G262" i="1"/>
  <c r="O261" i="1"/>
  <c r="U261" i="1"/>
  <c r="S261" i="1"/>
  <c r="G261" i="1"/>
  <c r="F194" i="1" l="1"/>
  <c r="F193" i="1"/>
  <c r="R193" i="1" l="1"/>
  <c r="S193" i="1" s="1"/>
  <c r="P193" i="1"/>
  <c r="Q193" i="1" s="1"/>
  <c r="N193" i="1"/>
  <c r="O193" i="1" s="1"/>
  <c r="L193" i="1"/>
  <c r="M193" i="1" s="1"/>
  <c r="J193" i="1"/>
  <c r="K193" i="1" s="1"/>
  <c r="H193" i="1"/>
  <c r="I193" i="1" s="1"/>
  <c r="V193" i="1"/>
  <c r="W193" i="1" s="1"/>
  <c r="T193" i="1"/>
  <c r="U193" i="1" s="1"/>
  <c r="P194" i="1"/>
  <c r="Q194" i="1" s="1"/>
  <c r="N194" i="1"/>
  <c r="O194" i="1" s="1"/>
  <c r="T194" i="1"/>
  <c r="U194" i="1" s="1"/>
  <c r="L194" i="1"/>
  <c r="M194" i="1" s="1"/>
  <c r="J194" i="1"/>
  <c r="K194" i="1" s="1"/>
  <c r="H194" i="1"/>
  <c r="I194" i="1" s="1"/>
  <c r="V194" i="1"/>
  <c r="W194" i="1" s="1"/>
  <c r="R194" i="1"/>
  <c r="S194" i="1" s="1"/>
  <c r="G193" i="1"/>
  <c r="F220" i="1"/>
  <c r="P220" i="1" l="1"/>
  <c r="Q220" i="1" s="1"/>
  <c r="N220" i="1"/>
  <c r="O220" i="1" s="1"/>
  <c r="L220" i="1"/>
  <c r="M220" i="1" s="1"/>
  <c r="H220" i="1"/>
  <c r="I220" i="1" s="1"/>
  <c r="J220" i="1"/>
  <c r="K220" i="1" s="1"/>
  <c r="V220" i="1"/>
  <c r="W220" i="1" s="1"/>
  <c r="R220" i="1"/>
  <c r="S220" i="1" s="1"/>
  <c r="T220" i="1"/>
  <c r="U220" i="1" s="1"/>
  <c r="G220" i="1"/>
  <c r="F603" i="1"/>
  <c r="N603" i="1" l="1"/>
  <c r="O603" i="1" s="1"/>
  <c r="L603" i="1"/>
  <c r="M603" i="1" s="1"/>
  <c r="J603" i="1"/>
  <c r="K603" i="1" s="1"/>
  <c r="H603" i="1"/>
  <c r="I603" i="1" s="1"/>
  <c r="V603" i="1"/>
  <c r="W603" i="1" s="1"/>
  <c r="T603" i="1"/>
  <c r="U603" i="1" s="1"/>
  <c r="P603" i="1"/>
  <c r="Q603" i="1" s="1"/>
  <c r="R603" i="1"/>
  <c r="S603" i="1" s="1"/>
  <c r="F282" i="1"/>
  <c r="L282" i="1" l="1"/>
  <c r="M282" i="1" s="1"/>
  <c r="J282" i="1"/>
  <c r="K282" i="1" s="1"/>
  <c r="H282" i="1"/>
  <c r="I282" i="1" s="1"/>
  <c r="V282" i="1"/>
  <c r="W282" i="1" s="1"/>
  <c r="T282" i="1"/>
  <c r="U282" i="1" s="1"/>
  <c r="R282" i="1"/>
  <c r="S282" i="1" s="1"/>
  <c r="P282" i="1"/>
  <c r="Q282" i="1" s="1"/>
  <c r="N282" i="1"/>
  <c r="O282" i="1" s="1"/>
  <c r="F249" i="1"/>
  <c r="P249" i="1" l="1"/>
  <c r="Q249" i="1" s="1"/>
  <c r="N249" i="1"/>
  <c r="O249" i="1" s="1"/>
  <c r="J249" i="1"/>
  <c r="K249" i="1" s="1"/>
  <c r="H249" i="1"/>
  <c r="V249" i="1"/>
  <c r="W249" i="1" s="1"/>
  <c r="T249" i="1"/>
  <c r="U249" i="1" s="1"/>
  <c r="R249" i="1"/>
  <c r="S249" i="1" s="1"/>
  <c r="L249" i="1"/>
  <c r="M249" i="1" s="1"/>
  <c r="F358" i="1"/>
  <c r="F360" i="1"/>
  <c r="F361" i="1"/>
  <c r="F201" i="1"/>
  <c r="F197" i="1"/>
  <c r="F196" i="1"/>
  <c r="F200" i="1"/>
  <c r="T504" i="1"/>
  <c r="R504" i="1"/>
  <c r="P504" i="1"/>
  <c r="N504" i="1"/>
  <c r="F515" i="1"/>
  <c r="F519" i="1"/>
  <c r="F518" i="1"/>
  <c r="F514" i="1"/>
  <c r="F513" i="1"/>
  <c r="F511" i="1"/>
  <c r="F172" i="1"/>
  <c r="V513" i="1" l="1"/>
  <c r="W513" i="1" s="1"/>
  <c r="J513" i="1"/>
  <c r="K513" i="1" s="1"/>
  <c r="T513" i="1"/>
  <c r="U513" i="1" s="1"/>
  <c r="R513" i="1"/>
  <c r="S513" i="1" s="1"/>
  <c r="P513" i="1"/>
  <c r="Q513" i="1" s="1"/>
  <c r="N513" i="1"/>
  <c r="O513" i="1" s="1"/>
  <c r="L513" i="1"/>
  <c r="M513" i="1" s="1"/>
  <c r="N518" i="1"/>
  <c r="O518" i="1" s="1"/>
  <c r="L518" i="1"/>
  <c r="M518" i="1" s="1"/>
  <c r="J518" i="1"/>
  <c r="K518" i="1" s="1"/>
  <c r="V518" i="1"/>
  <c r="W518" i="1" s="1"/>
  <c r="T518" i="1"/>
  <c r="U518" i="1" s="1"/>
  <c r="R518" i="1"/>
  <c r="S518" i="1" s="1"/>
  <c r="P518" i="1"/>
  <c r="Q518" i="1" s="1"/>
  <c r="P360" i="1"/>
  <c r="Q360" i="1" s="1"/>
  <c r="T360" i="1"/>
  <c r="U360" i="1" s="1"/>
  <c r="N360" i="1"/>
  <c r="O360" i="1" s="1"/>
  <c r="L360" i="1"/>
  <c r="M360" i="1" s="1"/>
  <c r="R360" i="1"/>
  <c r="S360" i="1" s="1"/>
  <c r="J360" i="1"/>
  <c r="K360" i="1" s="1"/>
  <c r="H360" i="1"/>
  <c r="I360" i="1" s="1"/>
  <c r="V360" i="1"/>
  <c r="W360" i="1" s="1"/>
  <c r="T515" i="1"/>
  <c r="U515" i="1" s="1"/>
  <c r="R515" i="1"/>
  <c r="S515" i="1" s="1"/>
  <c r="P515" i="1"/>
  <c r="Q515" i="1" s="1"/>
  <c r="N515" i="1"/>
  <c r="O515" i="1" s="1"/>
  <c r="L515" i="1"/>
  <c r="M515" i="1" s="1"/>
  <c r="V515" i="1"/>
  <c r="W515" i="1" s="1"/>
  <c r="J515" i="1"/>
  <c r="K515" i="1" s="1"/>
  <c r="H514" i="1"/>
  <c r="I514" i="1" s="1"/>
  <c r="N514" i="1"/>
  <c r="O514" i="1" s="1"/>
  <c r="V514" i="1"/>
  <c r="W514" i="1" s="1"/>
  <c r="T514" i="1"/>
  <c r="U514" i="1" s="1"/>
  <c r="L514" i="1"/>
  <c r="M514" i="1" s="1"/>
  <c r="R514" i="1"/>
  <c r="S514" i="1" s="1"/>
  <c r="P514" i="1"/>
  <c r="Q514" i="1" s="1"/>
  <c r="J514" i="1"/>
  <c r="K514" i="1" s="1"/>
  <c r="R519" i="1"/>
  <c r="S519" i="1" s="1"/>
  <c r="P519" i="1"/>
  <c r="Q519" i="1" s="1"/>
  <c r="V519" i="1"/>
  <c r="W519" i="1" s="1"/>
  <c r="N519" i="1"/>
  <c r="O519" i="1" s="1"/>
  <c r="L519" i="1"/>
  <c r="M519" i="1" s="1"/>
  <c r="J519" i="1"/>
  <c r="K519" i="1" s="1"/>
  <c r="T519" i="1"/>
  <c r="U519" i="1" s="1"/>
  <c r="T361" i="1"/>
  <c r="U361" i="1" s="1"/>
  <c r="R361" i="1"/>
  <c r="S361" i="1" s="1"/>
  <c r="P361" i="1"/>
  <c r="Q361" i="1" s="1"/>
  <c r="N361" i="1"/>
  <c r="O361" i="1" s="1"/>
  <c r="L361" i="1"/>
  <c r="M361" i="1" s="1"/>
  <c r="J361" i="1"/>
  <c r="K361" i="1" s="1"/>
  <c r="V361" i="1"/>
  <c r="W361" i="1" s="1"/>
  <c r="H361" i="1"/>
  <c r="V358" i="1"/>
  <c r="W358" i="1" s="1"/>
  <c r="T358" i="1"/>
  <c r="U358" i="1" s="1"/>
  <c r="R358" i="1"/>
  <c r="S358" i="1" s="1"/>
  <c r="P358" i="1"/>
  <c r="Q358" i="1" s="1"/>
  <c r="H358" i="1"/>
  <c r="I358" i="1" s="1"/>
  <c r="N358" i="1"/>
  <c r="O358" i="1" s="1"/>
  <c r="L358" i="1"/>
  <c r="M358" i="1" s="1"/>
  <c r="J358" i="1"/>
  <c r="K358" i="1" s="1"/>
  <c r="R511" i="1"/>
  <c r="S511" i="1" s="1"/>
  <c r="V511" i="1"/>
  <c r="W511" i="1" s="1"/>
  <c r="P511" i="1"/>
  <c r="Q511" i="1" s="1"/>
  <c r="N511" i="1"/>
  <c r="O511" i="1" s="1"/>
  <c r="L511" i="1"/>
  <c r="M511" i="1" s="1"/>
  <c r="J511" i="1"/>
  <c r="K511" i="1" s="1"/>
  <c r="H511" i="1"/>
  <c r="I511" i="1" s="1"/>
  <c r="T511" i="1"/>
  <c r="U511" i="1" s="1"/>
  <c r="T201" i="1"/>
  <c r="U201" i="1" s="1"/>
  <c r="R201" i="1"/>
  <c r="S201" i="1" s="1"/>
  <c r="N201" i="1"/>
  <c r="O201" i="1" s="1"/>
  <c r="P201" i="1"/>
  <c r="Q201" i="1" s="1"/>
  <c r="L201" i="1"/>
  <c r="M201" i="1" s="1"/>
  <c r="J201" i="1"/>
  <c r="K201" i="1" s="1"/>
  <c r="H201" i="1"/>
  <c r="I201" i="1" s="1"/>
  <c r="V201" i="1"/>
  <c r="W201" i="1" s="1"/>
  <c r="L172" i="1"/>
  <c r="M172" i="1" s="1"/>
  <c r="J172" i="1"/>
  <c r="K172" i="1" s="1"/>
  <c r="V172" i="1"/>
  <c r="W172" i="1" s="1"/>
  <c r="T172" i="1"/>
  <c r="U172" i="1" s="1"/>
  <c r="N172" i="1"/>
  <c r="O172" i="1" s="1"/>
  <c r="R172" i="1"/>
  <c r="S172" i="1" s="1"/>
  <c r="P172" i="1"/>
  <c r="Q172" i="1" s="1"/>
  <c r="R200" i="1"/>
  <c r="S200" i="1" s="1"/>
  <c r="P200" i="1"/>
  <c r="Q200" i="1" s="1"/>
  <c r="N200" i="1"/>
  <c r="O200" i="1" s="1"/>
  <c r="L200" i="1"/>
  <c r="M200" i="1" s="1"/>
  <c r="J200" i="1"/>
  <c r="K200" i="1" s="1"/>
  <c r="H200" i="1"/>
  <c r="I200" i="1" s="1"/>
  <c r="T200" i="1"/>
  <c r="U200" i="1" s="1"/>
  <c r="V200" i="1"/>
  <c r="W200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H196" i="1"/>
  <c r="I196" i="1" s="1"/>
  <c r="J196" i="1"/>
  <c r="K196" i="1" s="1"/>
  <c r="H197" i="1"/>
  <c r="I197" i="1" s="1"/>
  <c r="J197" i="1"/>
  <c r="K197" i="1" s="1"/>
  <c r="T197" i="1"/>
  <c r="U197" i="1" s="1"/>
  <c r="V197" i="1"/>
  <c r="W197" i="1" s="1"/>
  <c r="R197" i="1"/>
  <c r="S197" i="1" s="1"/>
  <c r="P197" i="1"/>
  <c r="Q197" i="1" s="1"/>
  <c r="N197" i="1"/>
  <c r="O197" i="1" s="1"/>
  <c r="L197" i="1"/>
  <c r="M197" i="1" s="1"/>
  <c r="G358" i="1"/>
  <c r="G360" i="1"/>
  <c r="G201" i="1"/>
  <c r="G197" i="1"/>
  <c r="G515" i="1"/>
  <c r="G518" i="1"/>
  <c r="G514" i="1"/>
  <c r="G513" i="1"/>
  <c r="G511" i="1"/>
  <c r="G172" i="1"/>
  <c r="F171" i="1"/>
  <c r="F170" i="1"/>
  <c r="F169" i="1"/>
  <c r="F191" i="1"/>
  <c r="V191" i="1" l="1"/>
  <c r="W191" i="1" s="1"/>
  <c r="T191" i="1"/>
  <c r="U191" i="1" s="1"/>
  <c r="R191" i="1"/>
  <c r="S191" i="1" s="1"/>
  <c r="P191" i="1"/>
  <c r="Q191" i="1" s="1"/>
  <c r="N191" i="1"/>
  <c r="O191" i="1" s="1"/>
  <c r="L191" i="1"/>
  <c r="M191" i="1" s="1"/>
  <c r="J191" i="1"/>
  <c r="K191" i="1" s="1"/>
  <c r="H191" i="1"/>
  <c r="I191" i="1" s="1"/>
  <c r="V171" i="1"/>
  <c r="W171" i="1" s="1"/>
  <c r="J171" i="1"/>
  <c r="K171" i="1" s="1"/>
  <c r="T171" i="1"/>
  <c r="U171" i="1" s="1"/>
  <c r="R171" i="1"/>
  <c r="S171" i="1" s="1"/>
  <c r="P171" i="1"/>
  <c r="Q171" i="1" s="1"/>
  <c r="N171" i="1"/>
  <c r="O171" i="1" s="1"/>
  <c r="L171" i="1"/>
  <c r="M171" i="1" s="1"/>
  <c r="R169" i="1"/>
  <c r="S169" i="1" s="1"/>
  <c r="N169" i="1"/>
  <c r="O169" i="1" s="1"/>
  <c r="V169" i="1"/>
  <c r="W169" i="1" s="1"/>
  <c r="P169" i="1"/>
  <c r="Q169" i="1" s="1"/>
  <c r="L169" i="1"/>
  <c r="M169" i="1" s="1"/>
  <c r="J169" i="1"/>
  <c r="K169" i="1" s="1"/>
  <c r="T169" i="1"/>
  <c r="U169" i="1" s="1"/>
  <c r="G170" i="1"/>
  <c r="V170" i="1"/>
  <c r="W170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G171" i="1"/>
  <c r="G169" i="1"/>
  <c r="F177" i="1" l="1"/>
  <c r="F168" i="1"/>
  <c r="J168" i="1" l="1"/>
  <c r="K168" i="1" s="1"/>
  <c r="V168" i="1"/>
  <c r="W168" i="1" s="1"/>
  <c r="L168" i="1"/>
  <c r="M168" i="1" s="1"/>
  <c r="T168" i="1"/>
  <c r="U168" i="1" s="1"/>
  <c r="R168" i="1"/>
  <c r="S168" i="1" s="1"/>
  <c r="P168" i="1"/>
  <c r="Q168" i="1" s="1"/>
  <c r="N168" i="1"/>
  <c r="O168" i="1" s="1"/>
  <c r="T177" i="1"/>
  <c r="U177" i="1" s="1"/>
  <c r="P177" i="1"/>
  <c r="Q177" i="1" s="1"/>
  <c r="V177" i="1"/>
  <c r="W177" i="1" s="1"/>
  <c r="R177" i="1"/>
  <c r="S177" i="1" s="1"/>
  <c r="N177" i="1"/>
  <c r="O177" i="1" s="1"/>
  <c r="L177" i="1"/>
  <c r="M177" i="1" s="1"/>
  <c r="G168" i="1"/>
  <c r="G177" i="1"/>
  <c r="G191" i="1" l="1"/>
  <c r="P654" i="1" l="1"/>
  <c r="Q654" i="1" s="1"/>
  <c r="R654" i="1" l="1"/>
  <c r="S654" i="1" s="1"/>
  <c r="G654" i="1"/>
  <c r="T654" i="1"/>
  <c r="U654" i="1" s="1"/>
  <c r="W654" i="1"/>
  <c r="N654" i="1"/>
  <c r="O654" i="1" s="1"/>
  <c r="V499" i="1"/>
  <c r="T499" i="1"/>
  <c r="R499" i="1"/>
  <c r="G160" i="1" l="1"/>
  <c r="F652" i="1"/>
  <c r="V652" i="1" s="1"/>
  <c r="F650" i="1"/>
  <c r="V650" i="1" s="1"/>
  <c r="F564" i="1"/>
  <c r="L564" i="1" l="1"/>
  <c r="M564" i="1" s="1"/>
  <c r="J564" i="1"/>
  <c r="K564" i="1" s="1"/>
  <c r="H564" i="1"/>
  <c r="I564" i="1" s="1"/>
  <c r="T564" i="1"/>
  <c r="U564" i="1" s="1"/>
  <c r="V564" i="1"/>
  <c r="W564" i="1" s="1"/>
  <c r="R564" i="1"/>
  <c r="S564" i="1" s="1"/>
  <c r="P564" i="1"/>
  <c r="Q564" i="1" s="1"/>
  <c r="N564" i="1"/>
  <c r="O564" i="1" s="1"/>
  <c r="F459" i="1"/>
  <c r="F458" i="1"/>
  <c r="F455" i="1"/>
  <c r="F454" i="1"/>
  <c r="F367" i="1"/>
  <c r="F439" i="1"/>
  <c r="F467" i="1"/>
  <c r="F452" i="1"/>
  <c r="R439" i="1" l="1"/>
  <c r="S439" i="1" s="1"/>
  <c r="T439" i="1"/>
  <c r="U439" i="1" s="1"/>
  <c r="V439" i="1"/>
  <c r="W439" i="1" s="1"/>
  <c r="N439" i="1"/>
  <c r="O439" i="1" s="1"/>
  <c r="L439" i="1"/>
  <c r="M439" i="1" s="1"/>
  <c r="P439" i="1"/>
  <c r="Q439" i="1" s="1"/>
  <c r="T454" i="1"/>
  <c r="U454" i="1" s="1"/>
  <c r="R454" i="1"/>
  <c r="S454" i="1" s="1"/>
  <c r="P454" i="1"/>
  <c r="Q454" i="1" s="1"/>
  <c r="V454" i="1"/>
  <c r="W454" i="1" s="1"/>
  <c r="N454" i="1"/>
  <c r="O454" i="1" s="1"/>
  <c r="L454" i="1"/>
  <c r="M454" i="1" s="1"/>
  <c r="J454" i="1"/>
  <c r="K454" i="1" s="1"/>
  <c r="H454" i="1"/>
  <c r="I454" i="1" s="1"/>
  <c r="P452" i="1"/>
  <c r="Q452" i="1" s="1"/>
  <c r="N452" i="1"/>
  <c r="O452" i="1" s="1"/>
  <c r="L452" i="1"/>
  <c r="M452" i="1" s="1"/>
  <c r="J452" i="1"/>
  <c r="K452" i="1" s="1"/>
  <c r="R452" i="1"/>
  <c r="S452" i="1" s="1"/>
  <c r="H452" i="1"/>
  <c r="I452" i="1" s="1"/>
  <c r="V452" i="1"/>
  <c r="W452" i="1" s="1"/>
  <c r="T452" i="1"/>
  <c r="U452" i="1" s="1"/>
  <c r="N467" i="1"/>
  <c r="O467" i="1" s="1"/>
  <c r="L467" i="1"/>
  <c r="M467" i="1" s="1"/>
  <c r="J467" i="1"/>
  <c r="K467" i="1" s="1"/>
  <c r="P467" i="1"/>
  <c r="Q467" i="1" s="1"/>
  <c r="H467" i="1"/>
  <c r="I467" i="1" s="1"/>
  <c r="V467" i="1"/>
  <c r="W467" i="1" s="1"/>
  <c r="T467" i="1"/>
  <c r="U467" i="1" s="1"/>
  <c r="R467" i="1"/>
  <c r="S467" i="1" s="1"/>
  <c r="T367" i="1"/>
  <c r="U367" i="1" s="1"/>
  <c r="R367" i="1"/>
  <c r="S367" i="1" s="1"/>
  <c r="P367" i="1"/>
  <c r="Q367" i="1" s="1"/>
  <c r="V367" i="1"/>
  <c r="W367" i="1" s="1"/>
  <c r="N367" i="1"/>
  <c r="O367" i="1" s="1"/>
  <c r="L367" i="1"/>
  <c r="M367" i="1" s="1"/>
  <c r="V455" i="1"/>
  <c r="W455" i="1" s="1"/>
  <c r="T455" i="1"/>
  <c r="U455" i="1" s="1"/>
  <c r="R455" i="1"/>
  <c r="S455" i="1" s="1"/>
  <c r="P455" i="1"/>
  <c r="Q455" i="1" s="1"/>
  <c r="N455" i="1"/>
  <c r="O455" i="1" s="1"/>
  <c r="L455" i="1"/>
  <c r="M455" i="1" s="1"/>
  <c r="J455" i="1"/>
  <c r="K455" i="1" s="1"/>
  <c r="H455" i="1"/>
  <c r="I455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L655" i="1"/>
  <c r="M655" i="1" s="1"/>
  <c r="W655" i="1"/>
  <c r="T655" i="1"/>
  <c r="U655" i="1" s="1"/>
  <c r="R655" i="1"/>
  <c r="S655" i="1" s="1"/>
  <c r="P655" i="1"/>
  <c r="Q655" i="1" s="1"/>
  <c r="N655" i="1"/>
  <c r="O655" i="1" s="1"/>
  <c r="G655" i="1"/>
  <c r="F290" i="1"/>
  <c r="F305" i="1"/>
  <c r="R305" i="1" l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5" i="1"/>
  <c r="W305" i="1" s="1"/>
  <c r="T305" i="1"/>
  <c r="U305" i="1" s="1"/>
  <c r="P290" i="1"/>
  <c r="Q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R290" i="1"/>
  <c r="S290" i="1" s="1"/>
  <c r="G305" i="1"/>
  <c r="F295" i="1" l="1"/>
  <c r="V295" i="1" l="1"/>
  <c r="W295" i="1" s="1"/>
  <c r="P295" i="1"/>
  <c r="Q295" i="1" s="1"/>
  <c r="T295" i="1"/>
  <c r="U295" i="1" s="1"/>
  <c r="N295" i="1"/>
  <c r="O295" i="1" s="1"/>
  <c r="L295" i="1"/>
  <c r="M295" i="1" s="1"/>
  <c r="H295" i="1"/>
  <c r="I295" i="1" s="1"/>
  <c r="J295" i="1"/>
  <c r="K295" i="1" s="1"/>
  <c r="R295" i="1"/>
  <c r="S295" i="1" s="1"/>
  <c r="G295" i="1"/>
  <c r="F180" i="1" l="1"/>
  <c r="G334" i="1"/>
  <c r="H180" i="1" l="1"/>
  <c r="I180" i="1" s="1"/>
  <c r="V180" i="1"/>
  <c r="W180" i="1" s="1"/>
  <c r="L180" i="1"/>
  <c r="M180" i="1" s="1"/>
  <c r="T180" i="1"/>
  <c r="U180" i="1" s="1"/>
  <c r="R180" i="1"/>
  <c r="S180" i="1" s="1"/>
  <c r="P180" i="1"/>
  <c r="Q180" i="1" s="1"/>
  <c r="J180" i="1"/>
  <c r="K180" i="1" s="1"/>
  <c r="N180" i="1"/>
  <c r="O180" i="1" s="1"/>
  <c r="F595" i="1"/>
  <c r="F599" i="1"/>
  <c r="F598" i="1"/>
  <c r="F597" i="1"/>
  <c r="F596" i="1"/>
  <c r="T598" i="1" l="1"/>
  <c r="U598" i="1" s="1"/>
  <c r="N598" i="1"/>
  <c r="O598" i="1" s="1"/>
  <c r="R598" i="1"/>
  <c r="S598" i="1" s="1"/>
  <c r="P598" i="1"/>
  <c r="Q598" i="1" s="1"/>
  <c r="L598" i="1"/>
  <c r="M598" i="1" s="1"/>
  <c r="J598" i="1"/>
  <c r="K598" i="1" s="1"/>
  <c r="H598" i="1"/>
  <c r="I598" i="1" s="1"/>
  <c r="V598" i="1"/>
  <c r="W598" i="1" s="1"/>
  <c r="P596" i="1"/>
  <c r="Q596" i="1" s="1"/>
  <c r="N596" i="1"/>
  <c r="O596" i="1" s="1"/>
  <c r="J596" i="1"/>
  <c r="K596" i="1" s="1"/>
  <c r="L596" i="1"/>
  <c r="M596" i="1" s="1"/>
  <c r="H596" i="1"/>
  <c r="I596" i="1" s="1"/>
  <c r="R596" i="1"/>
  <c r="S596" i="1" s="1"/>
  <c r="V596" i="1"/>
  <c r="W596" i="1" s="1"/>
  <c r="T596" i="1"/>
  <c r="U596" i="1" s="1"/>
  <c r="V595" i="1"/>
  <c r="W595" i="1" s="1"/>
  <c r="R595" i="1"/>
  <c r="S595" i="1" s="1"/>
  <c r="T595" i="1"/>
  <c r="U595" i="1" s="1"/>
  <c r="P595" i="1"/>
  <c r="Q595" i="1" s="1"/>
  <c r="N595" i="1"/>
  <c r="O595" i="1" s="1"/>
  <c r="L595" i="1"/>
  <c r="M595" i="1" s="1"/>
  <c r="J595" i="1"/>
  <c r="K595" i="1" s="1"/>
  <c r="H595" i="1"/>
  <c r="I595" i="1" s="1"/>
  <c r="J597" i="1"/>
  <c r="K597" i="1" s="1"/>
  <c r="T597" i="1"/>
  <c r="U597" i="1" s="1"/>
  <c r="H597" i="1"/>
  <c r="I597" i="1" s="1"/>
  <c r="R597" i="1"/>
  <c r="S597" i="1" s="1"/>
  <c r="P597" i="1"/>
  <c r="Q597" i="1" s="1"/>
  <c r="N597" i="1"/>
  <c r="O597" i="1" s="1"/>
  <c r="L597" i="1"/>
  <c r="M597" i="1" s="1"/>
  <c r="V597" i="1"/>
  <c r="W597" i="1" s="1"/>
  <c r="N599" i="1"/>
  <c r="O599" i="1" s="1"/>
  <c r="L599" i="1"/>
  <c r="M599" i="1" s="1"/>
  <c r="P599" i="1"/>
  <c r="Q599" i="1" s="1"/>
  <c r="J599" i="1"/>
  <c r="K599" i="1" s="1"/>
  <c r="H599" i="1"/>
  <c r="I599" i="1" s="1"/>
  <c r="V599" i="1"/>
  <c r="W599" i="1" s="1"/>
  <c r="R599" i="1"/>
  <c r="S599" i="1" s="1"/>
  <c r="T599" i="1"/>
  <c r="U599" i="1" s="1"/>
  <c r="G595" i="1"/>
  <c r="G598" i="1"/>
  <c r="G599" i="1"/>
  <c r="W52" i="1" l="1"/>
  <c r="U52" i="1"/>
  <c r="S52" i="1"/>
  <c r="Q52" i="1"/>
  <c r="O52" i="1"/>
  <c r="G53" i="1"/>
  <c r="F424" i="1" l="1"/>
  <c r="T424" i="1" l="1"/>
  <c r="U424" i="1" s="1"/>
  <c r="V424" i="1"/>
  <c r="W424" i="1" s="1"/>
  <c r="L424" i="1"/>
  <c r="M424" i="1" s="1"/>
  <c r="N424" i="1"/>
  <c r="O424" i="1" s="1"/>
  <c r="P424" i="1"/>
  <c r="Q424" i="1" s="1"/>
  <c r="R424" i="1"/>
  <c r="S424" i="1" s="1"/>
  <c r="G424" i="1"/>
  <c r="G605" i="1"/>
  <c r="G606" i="1"/>
  <c r="F635" i="1"/>
  <c r="V635" i="1" s="1"/>
  <c r="F659" i="1"/>
  <c r="V659" i="1" l="1"/>
  <c r="W659" i="1" s="1"/>
  <c r="P659" i="1"/>
  <c r="Q659" i="1" s="1"/>
  <c r="R659" i="1"/>
  <c r="S659" i="1" s="1"/>
  <c r="L659" i="1"/>
  <c r="M659" i="1" s="1"/>
  <c r="N659" i="1"/>
  <c r="O659" i="1" s="1"/>
  <c r="H659" i="1"/>
  <c r="I659" i="1" s="1"/>
  <c r="T659" i="1"/>
  <c r="U659" i="1" s="1"/>
  <c r="G659" i="1"/>
  <c r="J659" i="1"/>
  <c r="K659" i="1" s="1"/>
  <c r="F627" i="1"/>
  <c r="V627" i="1" s="1"/>
  <c r="F601" i="1" l="1"/>
  <c r="F602" i="1"/>
  <c r="F604" i="1"/>
  <c r="F421" i="1"/>
  <c r="F292" i="1"/>
  <c r="F291" i="1"/>
  <c r="H601" i="1" l="1"/>
  <c r="I601" i="1" s="1"/>
  <c r="V601" i="1"/>
  <c r="W601" i="1" s="1"/>
  <c r="T601" i="1"/>
  <c r="U601" i="1" s="1"/>
  <c r="L601" i="1"/>
  <c r="M601" i="1" s="1"/>
  <c r="J601" i="1"/>
  <c r="K601" i="1" s="1"/>
  <c r="R601" i="1"/>
  <c r="S601" i="1" s="1"/>
  <c r="P601" i="1"/>
  <c r="Q601" i="1" s="1"/>
  <c r="N601" i="1"/>
  <c r="O601" i="1" s="1"/>
  <c r="L604" i="1"/>
  <c r="M604" i="1" s="1"/>
  <c r="J604" i="1"/>
  <c r="K604" i="1" s="1"/>
  <c r="H604" i="1"/>
  <c r="I604" i="1" s="1"/>
  <c r="N604" i="1"/>
  <c r="O604" i="1" s="1"/>
  <c r="V604" i="1"/>
  <c r="W604" i="1" s="1"/>
  <c r="T604" i="1"/>
  <c r="U604" i="1" s="1"/>
  <c r="R604" i="1"/>
  <c r="S604" i="1" s="1"/>
  <c r="P604" i="1"/>
  <c r="Q604" i="1" s="1"/>
  <c r="L602" i="1"/>
  <c r="M602" i="1" s="1"/>
  <c r="R602" i="1"/>
  <c r="S602" i="1" s="1"/>
  <c r="P602" i="1"/>
  <c r="Q602" i="1" s="1"/>
  <c r="N602" i="1"/>
  <c r="O602" i="1" s="1"/>
  <c r="V602" i="1"/>
  <c r="W602" i="1" s="1"/>
  <c r="J602" i="1"/>
  <c r="K602" i="1" s="1"/>
  <c r="T602" i="1"/>
  <c r="U602" i="1" s="1"/>
  <c r="H602" i="1"/>
  <c r="I602" i="1" s="1"/>
  <c r="R291" i="1"/>
  <c r="S291" i="1" s="1"/>
  <c r="P291" i="1"/>
  <c r="Q291" i="1" s="1"/>
  <c r="L291" i="1"/>
  <c r="M291" i="1" s="1"/>
  <c r="J291" i="1"/>
  <c r="K291" i="1" s="1"/>
  <c r="N291" i="1"/>
  <c r="O291" i="1" s="1"/>
  <c r="H291" i="1"/>
  <c r="I291" i="1" s="1"/>
  <c r="V291" i="1"/>
  <c r="W291" i="1" s="1"/>
  <c r="T291" i="1"/>
  <c r="U291" i="1" s="1"/>
  <c r="T292" i="1"/>
  <c r="U292" i="1" s="1"/>
  <c r="P292" i="1"/>
  <c r="Q292" i="1" s="1"/>
  <c r="N292" i="1"/>
  <c r="O292" i="1" s="1"/>
  <c r="L292" i="1"/>
  <c r="M292" i="1" s="1"/>
  <c r="J292" i="1"/>
  <c r="K292" i="1" s="1"/>
  <c r="R292" i="1"/>
  <c r="S292" i="1" s="1"/>
  <c r="H292" i="1"/>
  <c r="I292" i="1" s="1"/>
  <c r="V292" i="1"/>
  <c r="W292" i="1" s="1"/>
  <c r="L421" i="1"/>
  <c r="M421" i="1" s="1"/>
  <c r="N421" i="1"/>
  <c r="O421" i="1" s="1"/>
  <c r="P421" i="1"/>
  <c r="Q421" i="1" s="1"/>
  <c r="V421" i="1"/>
  <c r="W421" i="1" s="1"/>
  <c r="R421" i="1"/>
  <c r="S421" i="1" s="1"/>
  <c r="T421" i="1"/>
  <c r="U421" i="1" s="1"/>
  <c r="G604" i="1"/>
  <c r="G249" i="1" l="1"/>
  <c r="I249" i="1"/>
  <c r="W504" i="1"/>
  <c r="U504" i="1"/>
  <c r="S504" i="1"/>
  <c r="Q504" i="1"/>
  <c r="O504" i="1"/>
  <c r="G504" i="1"/>
  <c r="V503" i="1"/>
  <c r="W503" i="1" s="1"/>
  <c r="T503" i="1"/>
  <c r="U503" i="1" s="1"/>
  <c r="R503" i="1"/>
  <c r="S503" i="1" s="1"/>
  <c r="P503" i="1"/>
  <c r="Q503" i="1" s="1"/>
  <c r="N503" i="1"/>
  <c r="O503" i="1" s="1"/>
  <c r="G503" i="1" l="1"/>
  <c r="F634" i="1" l="1"/>
  <c r="V634" i="1" s="1"/>
  <c r="F271" i="1"/>
  <c r="F506" i="1"/>
  <c r="F507" i="1"/>
  <c r="V507" i="1" l="1"/>
  <c r="W507" i="1" s="1"/>
  <c r="L507" i="1"/>
  <c r="M507" i="1" s="1"/>
  <c r="T507" i="1"/>
  <c r="U507" i="1" s="1"/>
  <c r="R507" i="1"/>
  <c r="S507" i="1" s="1"/>
  <c r="P507" i="1"/>
  <c r="Q507" i="1" s="1"/>
  <c r="J507" i="1"/>
  <c r="K507" i="1" s="1"/>
  <c r="N507" i="1"/>
  <c r="O507" i="1" s="1"/>
  <c r="H507" i="1"/>
  <c r="I507" i="1" s="1"/>
  <c r="V506" i="1"/>
  <c r="W506" i="1" s="1"/>
  <c r="T506" i="1"/>
  <c r="U506" i="1" s="1"/>
  <c r="H506" i="1"/>
  <c r="I506" i="1" s="1"/>
  <c r="R506" i="1"/>
  <c r="S506" i="1" s="1"/>
  <c r="P506" i="1"/>
  <c r="Q506" i="1" s="1"/>
  <c r="N506" i="1"/>
  <c r="O506" i="1" s="1"/>
  <c r="L506" i="1"/>
  <c r="M506" i="1" s="1"/>
  <c r="J506" i="1"/>
  <c r="K506" i="1" s="1"/>
  <c r="V271" i="1"/>
  <c r="W271" i="1" s="1"/>
  <c r="H271" i="1"/>
  <c r="I271" i="1" s="1"/>
  <c r="J271" i="1"/>
  <c r="K271" i="1" s="1"/>
  <c r="L271" i="1"/>
  <c r="M271" i="1" s="1"/>
  <c r="N271" i="1"/>
  <c r="O271" i="1" s="1"/>
  <c r="P271" i="1"/>
  <c r="Q271" i="1" s="1"/>
  <c r="R271" i="1"/>
  <c r="S271" i="1" s="1"/>
  <c r="T271" i="1"/>
  <c r="U271" i="1" s="1"/>
  <c r="G506" i="1"/>
  <c r="F184" i="1"/>
  <c r="N184" i="1" l="1"/>
  <c r="O184" i="1" s="1"/>
  <c r="L184" i="1"/>
  <c r="M184" i="1" s="1"/>
  <c r="J184" i="1"/>
  <c r="K184" i="1" s="1"/>
  <c r="H184" i="1"/>
  <c r="I184" i="1" s="1"/>
  <c r="V184" i="1"/>
  <c r="W184" i="1" s="1"/>
  <c r="P184" i="1"/>
  <c r="Q184" i="1" s="1"/>
  <c r="T184" i="1"/>
  <c r="U184" i="1" s="1"/>
  <c r="R184" i="1"/>
  <c r="S184" i="1" s="1"/>
  <c r="G184" i="1"/>
  <c r="F656" i="1"/>
  <c r="T656" i="1" l="1"/>
  <c r="U656" i="1" s="1"/>
  <c r="V656" i="1"/>
  <c r="W656" i="1"/>
  <c r="N656" i="1"/>
  <c r="O656" i="1" s="1"/>
  <c r="P656" i="1"/>
  <c r="Q656" i="1" s="1"/>
  <c r="R656" i="1"/>
  <c r="S656" i="1" s="1"/>
  <c r="F25" i="1"/>
  <c r="F27" i="1"/>
  <c r="T26" i="1"/>
  <c r="R26" i="1"/>
  <c r="P26" i="1"/>
  <c r="N26" i="1"/>
  <c r="L26" i="1"/>
  <c r="T25" i="1" l="1"/>
  <c r="U25" i="1" s="1"/>
  <c r="R25" i="1"/>
  <c r="S25" i="1" s="1"/>
  <c r="P25" i="1"/>
  <c r="Q25" i="1" s="1"/>
  <c r="N25" i="1"/>
  <c r="O25" i="1" s="1"/>
  <c r="L25" i="1"/>
  <c r="M25" i="1" s="1"/>
  <c r="T27" i="1"/>
  <c r="U27" i="1" s="1"/>
  <c r="R27" i="1"/>
  <c r="S27" i="1" s="1"/>
  <c r="P27" i="1"/>
  <c r="Q27" i="1" s="1"/>
  <c r="N27" i="1"/>
  <c r="O27" i="1" s="1"/>
  <c r="L27" i="1"/>
  <c r="M27" i="1" s="1"/>
  <c r="F178" i="1"/>
  <c r="H178" i="1" l="1"/>
  <c r="V178" i="1"/>
  <c r="W178" i="1" s="1"/>
  <c r="T178" i="1"/>
  <c r="U178" i="1" s="1"/>
  <c r="R178" i="1"/>
  <c r="S178" i="1" s="1"/>
  <c r="N178" i="1"/>
  <c r="O178" i="1" s="1"/>
  <c r="P178" i="1"/>
  <c r="Q178" i="1" s="1"/>
  <c r="L178" i="1"/>
  <c r="M178" i="1" s="1"/>
  <c r="J178" i="1"/>
  <c r="K178" i="1" s="1"/>
  <c r="G178" i="1"/>
  <c r="I178" i="1"/>
  <c r="F566" i="1"/>
  <c r="P566" i="1" l="1"/>
  <c r="R566" i="1"/>
  <c r="N566" i="1"/>
  <c r="J566" i="1"/>
  <c r="H566" i="1"/>
  <c r="L566" i="1"/>
  <c r="V566" i="1"/>
  <c r="T566" i="1"/>
  <c r="W648" i="1"/>
  <c r="T648" i="1"/>
  <c r="U648" i="1" s="1"/>
  <c r="R648" i="1"/>
  <c r="S648" i="1" s="1"/>
  <c r="P648" i="1"/>
  <c r="Q648" i="1" s="1"/>
  <c r="N648" i="1"/>
  <c r="O648" i="1" s="1"/>
  <c r="G648" i="1"/>
  <c r="W57" i="1" l="1"/>
  <c r="U57" i="1"/>
  <c r="S57" i="1"/>
  <c r="Q57" i="1"/>
  <c r="O57" i="1"/>
  <c r="M57" i="1"/>
  <c r="G57" i="1"/>
  <c r="F226" i="1" l="1"/>
  <c r="F772" i="1"/>
  <c r="F773" i="1"/>
  <c r="F774" i="1"/>
  <c r="F771" i="1"/>
  <c r="F762" i="1"/>
  <c r="F761" i="1"/>
  <c r="F757" i="1"/>
  <c r="F745" i="1"/>
  <c r="H745" i="1" s="1"/>
  <c r="F698" i="1"/>
  <c r="F690" i="1"/>
  <c r="V690" i="1" s="1"/>
  <c r="F689" i="1"/>
  <c r="V689" i="1" s="1"/>
  <c r="F688" i="1"/>
  <c r="V688" i="1" s="1"/>
  <c r="F687" i="1"/>
  <c r="V687" i="1" s="1"/>
  <c r="F686" i="1"/>
  <c r="V686" i="1" s="1"/>
  <c r="F685" i="1"/>
  <c r="V685" i="1" s="1"/>
  <c r="F684" i="1"/>
  <c r="V684" i="1" s="1"/>
  <c r="F681" i="1"/>
  <c r="V681" i="1" s="1"/>
  <c r="F677" i="1"/>
  <c r="V677" i="1" s="1"/>
  <c r="F676" i="1"/>
  <c r="V676" i="1" s="1"/>
  <c r="F674" i="1"/>
  <c r="V674" i="1" s="1"/>
  <c r="F673" i="1"/>
  <c r="V673" i="1" s="1"/>
  <c r="F672" i="1"/>
  <c r="V672" i="1" s="1"/>
  <c r="F671" i="1"/>
  <c r="V671" i="1" s="1"/>
  <c r="F670" i="1"/>
  <c r="V670" i="1" s="1"/>
  <c r="F669" i="1"/>
  <c r="V669" i="1" s="1"/>
  <c r="F668" i="1"/>
  <c r="V668" i="1" s="1"/>
  <c r="F666" i="1"/>
  <c r="V666" i="1" s="1"/>
  <c r="F665" i="1"/>
  <c r="F664" i="1"/>
  <c r="V664" i="1" s="1"/>
  <c r="F663" i="1"/>
  <c r="V663" i="1" s="1"/>
  <c r="F661" i="1"/>
  <c r="V661" i="1" s="1"/>
  <c r="F660" i="1"/>
  <c r="V660" i="1" s="1"/>
  <c r="F658" i="1"/>
  <c r="V658" i="1" s="1"/>
  <c r="F657" i="1"/>
  <c r="V657" i="1" s="1"/>
  <c r="F653" i="1"/>
  <c r="V653" i="1" s="1"/>
  <c r="F651" i="1"/>
  <c r="V651" i="1" s="1"/>
  <c r="F649" i="1"/>
  <c r="V649" i="1" s="1"/>
  <c r="F647" i="1"/>
  <c r="V647" i="1" s="1"/>
  <c r="F646" i="1"/>
  <c r="V646" i="1" s="1"/>
  <c r="F645" i="1"/>
  <c r="V645" i="1" s="1"/>
  <c r="F644" i="1"/>
  <c r="V644" i="1" s="1"/>
  <c r="F643" i="1"/>
  <c r="V643" i="1" s="1"/>
  <c r="F641" i="1"/>
  <c r="V641" i="1" s="1"/>
  <c r="F632" i="1"/>
  <c r="V632" i="1" s="1"/>
  <c r="F631" i="1"/>
  <c r="V631" i="1" s="1"/>
  <c r="F630" i="1"/>
  <c r="V630" i="1" s="1"/>
  <c r="F628" i="1"/>
  <c r="V628" i="1" s="1"/>
  <c r="F624" i="1"/>
  <c r="V624" i="1" s="1"/>
  <c r="F623" i="1"/>
  <c r="V623" i="1" s="1"/>
  <c r="F593" i="1"/>
  <c r="F592" i="1"/>
  <c r="F591" i="1"/>
  <c r="F590" i="1"/>
  <c r="F589" i="1"/>
  <c r="F587" i="1"/>
  <c r="F579" i="1"/>
  <c r="F578" i="1"/>
  <c r="F138" i="1"/>
  <c r="F136" i="1"/>
  <c r="F137" i="1"/>
  <c r="J578" i="1" l="1"/>
  <c r="K578" i="1" s="1"/>
  <c r="H578" i="1"/>
  <c r="I578" i="1" s="1"/>
  <c r="V578" i="1"/>
  <c r="W578" i="1" s="1"/>
  <c r="T578" i="1"/>
  <c r="U578" i="1" s="1"/>
  <c r="R578" i="1"/>
  <c r="S578" i="1" s="1"/>
  <c r="P578" i="1"/>
  <c r="Q578" i="1" s="1"/>
  <c r="N578" i="1"/>
  <c r="O578" i="1" s="1"/>
  <c r="L578" i="1"/>
  <c r="M578" i="1" s="1"/>
  <c r="J771" i="1"/>
  <c r="L771" i="1"/>
  <c r="M771" i="1" s="1"/>
  <c r="N771" i="1"/>
  <c r="O771" i="1" s="1"/>
  <c r="P771" i="1"/>
  <c r="Q771" i="1" s="1"/>
  <c r="R771" i="1"/>
  <c r="S771" i="1" s="1"/>
  <c r="T771" i="1"/>
  <c r="U771" i="1" s="1"/>
  <c r="N774" i="1"/>
  <c r="O774" i="1" s="1"/>
  <c r="R774" i="1"/>
  <c r="S774" i="1" s="1"/>
  <c r="L774" i="1"/>
  <c r="M774" i="1" s="1"/>
  <c r="P774" i="1"/>
  <c r="Q774" i="1" s="1"/>
  <c r="J774" i="1"/>
  <c r="T774" i="1"/>
  <c r="U774" i="1" s="1"/>
  <c r="J592" i="1"/>
  <c r="K592" i="1" s="1"/>
  <c r="H592" i="1"/>
  <c r="I592" i="1" s="1"/>
  <c r="L592" i="1"/>
  <c r="M592" i="1" s="1"/>
  <c r="V592" i="1"/>
  <c r="W592" i="1" s="1"/>
  <c r="T592" i="1"/>
  <c r="U592" i="1" s="1"/>
  <c r="R592" i="1"/>
  <c r="S592" i="1" s="1"/>
  <c r="P592" i="1"/>
  <c r="Q592" i="1" s="1"/>
  <c r="N592" i="1"/>
  <c r="O592" i="1" s="1"/>
  <c r="R773" i="1"/>
  <c r="S773" i="1" s="1"/>
  <c r="T773" i="1"/>
  <c r="U773" i="1" s="1"/>
  <c r="L773" i="1"/>
  <c r="M773" i="1" s="1"/>
  <c r="J773" i="1"/>
  <c r="P773" i="1"/>
  <c r="Q773" i="1" s="1"/>
  <c r="N773" i="1"/>
  <c r="O773" i="1" s="1"/>
  <c r="N772" i="1"/>
  <c r="O772" i="1" s="1"/>
  <c r="P772" i="1"/>
  <c r="Q772" i="1" s="1"/>
  <c r="T772" i="1"/>
  <c r="U772" i="1" s="1"/>
  <c r="R772" i="1"/>
  <c r="S772" i="1" s="1"/>
  <c r="J772" i="1"/>
  <c r="L772" i="1"/>
  <c r="M772" i="1" s="1"/>
  <c r="V590" i="1"/>
  <c r="W590" i="1" s="1"/>
  <c r="T590" i="1"/>
  <c r="U590" i="1" s="1"/>
  <c r="R590" i="1"/>
  <c r="S590" i="1" s="1"/>
  <c r="P590" i="1"/>
  <c r="Q590" i="1" s="1"/>
  <c r="H590" i="1"/>
  <c r="I590" i="1" s="1"/>
  <c r="N590" i="1"/>
  <c r="O590" i="1" s="1"/>
  <c r="L590" i="1"/>
  <c r="M590" i="1" s="1"/>
  <c r="J590" i="1"/>
  <c r="K590" i="1" s="1"/>
  <c r="R136" i="1"/>
  <c r="S136" i="1" s="1"/>
  <c r="P136" i="1"/>
  <c r="Q136" i="1" s="1"/>
  <c r="N136" i="1"/>
  <c r="O136" i="1" s="1"/>
  <c r="L136" i="1"/>
  <c r="M136" i="1" s="1"/>
  <c r="J136" i="1"/>
  <c r="K136" i="1" s="1"/>
  <c r="V136" i="1"/>
  <c r="W136" i="1" s="1"/>
  <c r="T136" i="1"/>
  <c r="U136" i="1" s="1"/>
  <c r="L587" i="1"/>
  <c r="M587" i="1" s="1"/>
  <c r="J587" i="1"/>
  <c r="K587" i="1" s="1"/>
  <c r="H587" i="1"/>
  <c r="I587" i="1" s="1"/>
  <c r="V587" i="1"/>
  <c r="W587" i="1" s="1"/>
  <c r="N587" i="1"/>
  <c r="O587" i="1" s="1"/>
  <c r="T587" i="1"/>
  <c r="U587" i="1" s="1"/>
  <c r="R587" i="1"/>
  <c r="S587" i="1" s="1"/>
  <c r="P587" i="1"/>
  <c r="Q587" i="1" s="1"/>
  <c r="V138" i="1"/>
  <c r="W138" i="1" s="1"/>
  <c r="H138" i="1"/>
  <c r="I138" i="1" s="1"/>
  <c r="T138" i="1"/>
  <c r="U138" i="1" s="1"/>
  <c r="R138" i="1"/>
  <c r="S138" i="1" s="1"/>
  <c r="P138" i="1"/>
  <c r="Q138" i="1" s="1"/>
  <c r="N138" i="1"/>
  <c r="O138" i="1" s="1"/>
  <c r="L138" i="1"/>
  <c r="M138" i="1" s="1"/>
  <c r="J138" i="1"/>
  <c r="K138" i="1" s="1"/>
  <c r="P591" i="1"/>
  <c r="Q591" i="1" s="1"/>
  <c r="T591" i="1"/>
  <c r="U591" i="1" s="1"/>
  <c r="N591" i="1"/>
  <c r="O591" i="1" s="1"/>
  <c r="L591" i="1"/>
  <c r="M591" i="1" s="1"/>
  <c r="J591" i="1"/>
  <c r="K591" i="1" s="1"/>
  <c r="H591" i="1"/>
  <c r="I591" i="1" s="1"/>
  <c r="V591" i="1"/>
  <c r="W591" i="1" s="1"/>
  <c r="R591" i="1"/>
  <c r="S591" i="1" s="1"/>
  <c r="N593" i="1"/>
  <c r="O593" i="1" s="1"/>
  <c r="R593" i="1"/>
  <c r="S593" i="1" s="1"/>
  <c r="P593" i="1"/>
  <c r="Q593" i="1" s="1"/>
  <c r="L593" i="1"/>
  <c r="M593" i="1" s="1"/>
  <c r="V593" i="1"/>
  <c r="W593" i="1" s="1"/>
  <c r="T593" i="1"/>
  <c r="U593" i="1" s="1"/>
  <c r="J593" i="1"/>
  <c r="K593" i="1" s="1"/>
  <c r="H593" i="1"/>
  <c r="I593" i="1" s="1"/>
  <c r="N579" i="1"/>
  <c r="O579" i="1" s="1"/>
  <c r="L579" i="1"/>
  <c r="M579" i="1" s="1"/>
  <c r="J579" i="1"/>
  <c r="K579" i="1" s="1"/>
  <c r="H579" i="1"/>
  <c r="I579" i="1" s="1"/>
  <c r="R579" i="1"/>
  <c r="S579" i="1" s="1"/>
  <c r="P579" i="1"/>
  <c r="Q579" i="1" s="1"/>
  <c r="V579" i="1"/>
  <c r="W579" i="1" s="1"/>
  <c r="T579" i="1"/>
  <c r="U579" i="1" s="1"/>
  <c r="V589" i="1"/>
  <c r="W589" i="1" s="1"/>
  <c r="H589" i="1"/>
  <c r="I589" i="1" s="1"/>
  <c r="T589" i="1"/>
  <c r="U589" i="1" s="1"/>
  <c r="R589" i="1"/>
  <c r="S589" i="1" s="1"/>
  <c r="P589" i="1"/>
  <c r="Q589" i="1" s="1"/>
  <c r="N589" i="1"/>
  <c r="O589" i="1" s="1"/>
  <c r="L589" i="1"/>
  <c r="M589" i="1" s="1"/>
  <c r="J589" i="1"/>
  <c r="K589" i="1" s="1"/>
  <c r="L137" i="1"/>
  <c r="M137" i="1" s="1"/>
  <c r="J137" i="1"/>
  <c r="K137" i="1" s="1"/>
  <c r="V137" i="1"/>
  <c r="W137" i="1" s="1"/>
  <c r="T137" i="1"/>
  <c r="U137" i="1" s="1"/>
  <c r="P137" i="1"/>
  <c r="Q137" i="1" s="1"/>
  <c r="R137" i="1"/>
  <c r="S137" i="1" s="1"/>
  <c r="N137" i="1"/>
  <c r="O137" i="1" s="1"/>
  <c r="J226" i="1"/>
  <c r="K226" i="1" s="1"/>
  <c r="T226" i="1"/>
  <c r="U226" i="1" s="1"/>
  <c r="V226" i="1"/>
  <c r="W226" i="1" s="1"/>
  <c r="L226" i="1"/>
  <c r="M226" i="1" s="1"/>
  <c r="R226" i="1"/>
  <c r="S226" i="1" s="1"/>
  <c r="P226" i="1"/>
  <c r="Q226" i="1" s="1"/>
  <c r="N226" i="1"/>
  <c r="O226" i="1" s="1"/>
  <c r="F577" i="1"/>
  <c r="F576" i="1"/>
  <c r="F575" i="1"/>
  <c r="F574" i="1"/>
  <c r="F569" i="1"/>
  <c r="F565" i="1"/>
  <c r="F538" i="1"/>
  <c r="F537" i="1"/>
  <c r="F528" i="1"/>
  <c r="R528" i="1" s="1"/>
  <c r="S528" i="1" s="1"/>
  <c r="F527" i="1"/>
  <c r="L527" i="1" s="1"/>
  <c r="M527" i="1" s="1"/>
  <c r="W532" i="1"/>
  <c r="U532" i="1"/>
  <c r="S532" i="1"/>
  <c r="Q532" i="1"/>
  <c r="O532" i="1"/>
  <c r="W531" i="1"/>
  <c r="U531" i="1"/>
  <c r="S531" i="1"/>
  <c r="Q531" i="1"/>
  <c r="O531" i="1"/>
  <c r="W525" i="1"/>
  <c r="U525" i="1"/>
  <c r="S525" i="1"/>
  <c r="Q525" i="1"/>
  <c r="O525" i="1"/>
  <c r="W524" i="1"/>
  <c r="U524" i="1"/>
  <c r="S524" i="1"/>
  <c r="Q524" i="1"/>
  <c r="O524" i="1"/>
  <c r="F520" i="1"/>
  <c r="F517" i="1"/>
  <c r="F516" i="1"/>
  <c r="F512" i="1"/>
  <c r="F510" i="1"/>
  <c r="F509" i="1"/>
  <c r="F508" i="1"/>
  <c r="F505" i="1"/>
  <c r="W365" i="1"/>
  <c r="U365" i="1"/>
  <c r="S365" i="1"/>
  <c r="Q365" i="1"/>
  <c r="O365" i="1"/>
  <c r="M365" i="1"/>
  <c r="F473" i="1"/>
  <c r="F472" i="1"/>
  <c r="F470" i="1"/>
  <c r="F465" i="1"/>
  <c r="F463" i="1"/>
  <c r="F462" i="1"/>
  <c r="F460" i="1"/>
  <c r="F457" i="1"/>
  <c r="F453" i="1"/>
  <c r="F450" i="1"/>
  <c r="F449" i="1"/>
  <c r="F448" i="1"/>
  <c r="F447" i="1"/>
  <c r="F446" i="1"/>
  <c r="F445" i="1"/>
  <c r="F444" i="1"/>
  <c r="F443" i="1"/>
  <c r="F441" i="1"/>
  <c r="F438" i="1"/>
  <c r="F437" i="1"/>
  <c r="F435" i="1"/>
  <c r="F433" i="1"/>
  <c r="F431" i="1"/>
  <c r="F430" i="1"/>
  <c r="F429" i="1"/>
  <c r="F428" i="1"/>
  <c r="F427" i="1"/>
  <c r="F423" i="1"/>
  <c r="F422" i="1"/>
  <c r="F420" i="1"/>
  <c r="F419" i="1"/>
  <c r="F417" i="1"/>
  <c r="F415" i="1"/>
  <c r="F416" i="1"/>
  <c r="F413" i="1"/>
  <c r="F414" i="1"/>
  <c r="F412" i="1"/>
  <c r="F410" i="1"/>
  <c r="F409" i="1"/>
  <c r="F408" i="1"/>
  <c r="F407" i="1"/>
  <c r="F406" i="1"/>
  <c r="F404" i="1"/>
  <c r="F405" i="1"/>
  <c r="F403" i="1"/>
  <c r="F402" i="1"/>
  <c r="F401" i="1"/>
  <c r="F394" i="1"/>
  <c r="F393" i="1"/>
  <c r="F392" i="1"/>
  <c r="F391" i="1"/>
  <c r="F390" i="1"/>
  <c r="F386" i="1"/>
  <c r="F385" i="1"/>
  <c r="F384" i="1"/>
  <c r="F383" i="1"/>
  <c r="F380" i="1"/>
  <c r="F381" i="1"/>
  <c r="F382" i="1"/>
  <c r="F376" i="1"/>
  <c r="F375" i="1"/>
  <c r="F374" i="1"/>
  <c r="F373" i="1"/>
  <c r="F372" i="1"/>
  <c r="F371" i="1"/>
  <c r="F370" i="1"/>
  <c r="F369" i="1"/>
  <c r="L575" i="1" l="1"/>
  <c r="T575" i="1"/>
  <c r="R575" i="1"/>
  <c r="N575" i="1"/>
  <c r="P575" i="1"/>
  <c r="V575" i="1"/>
  <c r="J575" i="1"/>
  <c r="H575" i="1"/>
  <c r="T505" i="1"/>
  <c r="U505" i="1" s="1"/>
  <c r="R505" i="1"/>
  <c r="S505" i="1" s="1"/>
  <c r="H505" i="1"/>
  <c r="P505" i="1"/>
  <c r="Q505" i="1" s="1"/>
  <c r="N505" i="1"/>
  <c r="O505" i="1" s="1"/>
  <c r="L505" i="1"/>
  <c r="M505" i="1" s="1"/>
  <c r="J505" i="1"/>
  <c r="K505" i="1" s="1"/>
  <c r="V505" i="1"/>
  <c r="W505" i="1" s="1"/>
  <c r="R576" i="1"/>
  <c r="S576" i="1" s="1"/>
  <c r="V576" i="1"/>
  <c r="W576" i="1" s="1"/>
  <c r="P576" i="1"/>
  <c r="Q576" i="1" s="1"/>
  <c r="T576" i="1"/>
  <c r="U576" i="1" s="1"/>
  <c r="N576" i="1"/>
  <c r="O576" i="1" s="1"/>
  <c r="L576" i="1"/>
  <c r="M576" i="1" s="1"/>
  <c r="J576" i="1"/>
  <c r="K576" i="1" s="1"/>
  <c r="H576" i="1"/>
  <c r="I576" i="1" s="1"/>
  <c r="L508" i="1"/>
  <c r="M508" i="1" s="1"/>
  <c r="P508" i="1"/>
  <c r="Q508" i="1" s="1"/>
  <c r="J508" i="1"/>
  <c r="K508" i="1" s="1"/>
  <c r="H508" i="1"/>
  <c r="I508" i="1" s="1"/>
  <c r="R508" i="1"/>
  <c r="S508" i="1" s="1"/>
  <c r="V508" i="1"/>
  <c r="W508" i="1" s="1"/>
  <c r="T508" i="1"/>
  <c r="U508" i="1" s="1"/>
  <c r="N508" i="1"/>
  <c r="O508" i="1" s="1"/>
  <c r="T577" i="1"/>
  <c r="U577" i="1" s="1"/>
  <c r="R577" i="1"/>
  <c r="S577" i="1" s="1"/>
  <c r="P577" i="1"/>
  <c r="Q577" i="1" s="1"/>
  <c r="N577" i="1"/>
  <c r="O577" i="1" s="1"/>
  <c r="L577" i="1"/>
  <c r="M577" i="1" s="1"/>
  <c r="V577" i="1"/>
  <c r="W577" i="1" s="1"/>
  <c r="J577" i="1"/>
  <c r="K577" i="1" s="1"/>
  <c r="H577" i="1"/>
  <c r="I577" i="1" s="1"/>
  <c r="P509" i="1"/>
  <c r="Q509" i="1" s="1"/>
  <c r="V509" i="1"/>
  <c r="W509" i="1" s="1"/>
  <c r="H509" i="1"/>
  <c r="I509" i="1" s="1"/>
  <c r="T509" i="1"/>
  <c r="U509" i="1" s="1"/>
  <c r="N509" i="1"/>
  <c r="O509" i="1" s="1"/>
  <c r="L509" i="1"/>
  <c r="M509" i="1" s="1"/>
  <c r="J509" i="1"/>
  <c r="K509" i="1" s="1"/>
  <c r="R509" i="1"/>
  <c r="S509" i="1" s="1"/>
  <c r="N510" i="1"/>
  <c r="O510" i="1" s="1"/>
  <c r="L510" i="1"/>
  <c r="M510" i="1" s="1"/>
  <c r="J510" i="1"/>
  <c r="K510" i="1" s="1"/>
  <c r="H510" i="1"/>
  <c r="I510" i="1" s="1"/>
  <c r="V510" i="1"/>
  <c r="W510" i="1" s="1"/>
  <c r="R510" i="1"/>
  <c r="S510" i="1" s="1"/>
  <c r="T510" i="1"/>
  <c r="U510" i="1" s="1"/>
  <c r="P510" i="1"/>
  <c r="Q510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H512" i="1"/>
  <c r="I512" i="1" s="1"/>
  <c r="V512" i="1"/>
  <c r="W512" i="1" s="1"/>
  <c r="N516" i="1"/>
  <c r="O516" i="1" s="1"/>
  <c r="L516" i="1"/>
  <c r="M516" i="1" s="1"/>
  <c r="J516" i="1"/>
  <c r="K516" i="1" s="1"/>
  <c r="H516" i="1"/>
  <c r="I516" i="1" s="1"/>
  <c r="V516" i="1"/>
  <c r="W516" i="1" s="1"/>
  <c r="T516" i="1"/>
  <c r="U516" i="1" s="1"/>
  <c r="R516" i="1"/>
  <c r="S516" i="1" s="1"/>
  <c r="P516" i="1"/>
  <c r="Q516" i="1" s="1"/>
  <c r="R517" i="1"/>
  <c r="S517" i="1" s="1"/>
  <c r="P517" i="1"/>
  <c r="Q517" i="1" s="1"/>
  <c r="H517" i="1"/>
  <c r="I517" i="1" s="1"/>
  <c r="N517" i="1"/>
  <c r="O517" i="1" s="1"/>
  <c r="L517" i="1"/>
  <c r="M517" i="1" s="1"/>
  <c r="V517" i="1"/>
  <c r="W517" i="1" s="1"/>
  <c r="J517" i="1"/>
  <c r="K517" i="1" s="1"/>
  <c r="T517" i="1"/>
  <c r="U517" i="1" s="1"/>
  <c r="N537" i="1"/>
  <c r="O537" i="1" s="1"/>
  <c r="L537" i="1"/>
  <c r="M537" i="1" s="1"/>
  <c r="J537" i="1"/>
  <c r="K537" i="1" s="1"/>
  <c r="P537" i="1"/>
  <c r="Q537" i="1" s="1"/>
  <c r="H537" i="1"/>
  <c r="I537" i="1" s="1"/>
  <c r="V537" i="1"/>
  <c r="W537" i="1" s="1"/>
  <c r="T537" i="1"/>
  <c r="U537" i="1" s="1"/>
  <c r="R537" i="1"/>
  <c r="S537" i="1" s="1"/>
  <c r="L520" i="1"/>
  <c r="V520" i="1"/>
  <c r="T520" i="1"/>
  <c r="R520" i="1"/>
  <c r="P520" i="1"/>
  <c r="N520" i="1"/>
  <c r="N538" i="1"/>
  <c r="O538" i="1" s="1"/>
  <c r="L538" i="1"/>
  <c r="M538" i="1" s="1"/>
  <c r="R538" i="1"/>
  <c r="S538" i="1" s="1"/>
  <c r="J538" i="1"/>
  <c r="K538" i="1" s="1"/>
  <c r="H538" i="1"/>
  <c r="I538" i="1" s="1"/>
  <c r="V538" i="1"/>
  <c r="W538" i="1" s="1"/>
  <c r="T538" i="1"/>
  <c r="U538" i="1" s="1"/>
  <c r="P538" i="1"/>
  <c r="Q538" i="1" s="1"/>
  <c r="P565" i="1"/>
  <c r="Q565" i="1" s="1"/>
  <c r="N565" i="1"/>
  <c r="O565" i="1" s="1"/>
  <c r="J565" i="1"/>
  <c r="K565" i="1" s="1"/>
  <c r="H565" i="1"/>
  <c r="I565" i="1" s="1"/>
  <c r="R565" i="1"/>
  <c r="S565" i="1" s="1"/>
  <c r="L565" i="1"/>
  <c r="M565" i="1" s="1"/>
  <c r="V565" i="1"/>
  <c r="W565" i="1" s="1"/>
  <c r="T565" i="1"/>
  <c r="U565" i="1" s="1"/>
  <c r="V569" i="1"/>
  <c r="W569" i="1" s="1"/>
  <c r="J569" i="1"/>
  <c r="K569" i="1" s="1"/>
  <c r="T569" i="1"/>
  <c r="U569" i="1" s="1"/>
  <c r="R569" i="1"/>
  <c r="S569" i="1" s="1"/>
  <c r="P569" i="1"/>
  <c r="Q569" i="1" s="1"/>
  <c r="N569" i="1"/>
  <c r="O569" i="1" s="1"/>
  <c r="L569" i="1"/>
  <c r="M569" i="1" s="1"/>
  <c r="R574" i="1"/>
  <c r="J574" i="1"/>
  <c r="V574" i="1"/>
  <c r="T574" i="1"/>
  <c r="H574" i="1"/>
  <c r="P574" i="1"/>
  <c r="N574" i="1"/>
  <c r="L574" i="1"/>
  <c r="L382" i="1"/>
  <c r="M382" i="1" s="1"/>
  <c r="V382" i="1"/>
  <c r="W382" i="1" s="1"/>
  <c r="T382" i="1"/>
  <c r="U382" i="1" s="1"/>
  <c r="R382" i="1"/>
  <c r="S382" i="1" s="1"/>
  <c r="P382" i="1"/>
  <c r="Q382" i="1" s="1"/>
  <c r="N382" i="1"/>
  <c r="O382" i="1" s="1"/>
  <c r="L433" i="1"/>
  <c r="M433" i="1" s="1"/>
  <c r="V433" i="1"/>
  <c r="W433" i="1" s="1"/>
  <c r="N433" i="1"/>
  <c r="O433" i="1" s="1"/>
  <c r="P433" i="1"/>
  <c r="Q433" i="1" s="1"/>
  <c r="R433" i="1"/>
  <c r="S433" i="1" s="1"/>
  <c r="T433" i="1"/>
  <c r="U433" i="1" s="1"/>
  <c r="R431" i="1"/>
  <c r="S431" i="1" s="1"/>
  <c r="T431" i="1"/>
  <c r="U431" i="1" s="1"/>
  <c r="V431" i="1"/>
  <c r="W431" i="1" s="1"/>
  <c r="N431" i="1"/>
  <c r="O431" i="1" s="1"/>
  <c r="L431" i="1"/>
  <c r="M431" i="1" s="1"/>
  <c r="P431" i="1"/>
  <c r="Q431" i="1" s="1"/>
  <c r="R435" i="1"/>
  <c r="S435" i="1" s="1"/>
  <c r="T435" i="1"/>
  <c r="U435" i="1" s="1"/>
  <c r="V435" i="1"/>
  <c r="W435" i="1" s="1"/>
  <c r="L435" i="1"/>
  <c r="M435" i="1" s="1"/>
  <c r="N435" i="1"/>
  <c r="O435" i="1" s="1"/>
  <c r="P435" i="1"/>
  <c r="Q435" i="1" s="1"/>
  <c r="T381" i="1"/>
  <c r="U381" i="1" s="1"/>
  <c r="R381" i="1"/>
  <c r="S381" i="1" s="1"/>
  <c r="P381" i="1"/>
  <c r="Q381" i="1" s="1"/>
  <c r="N381" i="1"/>
  <c r="O381" i="1" s="1"/>
  <c r="L381" i="1"/>
  <c r="M381" i="1" s="1"/>
  <c r="V381" i="1"/>
  <c r="W381" i="1" s="1"/>
  <c r="R457" i="1"/>
  <c r="S457" i="1" s="1"/>
  <c r="V457" i="1"/>
  <c r="W457" i="1" s="1"/>
  <c r="P457" i="1"/>
  <c r="Q457" i="1" s="1"/>
  <c r="N457" i="1"/>
  <c r="O457" i="1" s="1"/>
  <c r="L457" i="1"/>
  <c r="M457" i="1" s="1"/>
  <c r="J457" i="1"/>
  <c r="K457" i="1" s="1"/>
  <c r="H457" i="1"/>
  <c r="I457" i="1" s="1"/>
  <c r="T457" i="1"/>
  <c r="U457" i="1" s="1"/>
  <c r="L415" i="1"/>
  <c r="M415" i="1" s="1"/>
  <c r="N415" i="1"/>
  <c r="O415" i="1" s="1"/>
  <c r="P415" i="1"/>
  <c r="Q415" i="1" s="1"/>
  <c r="R415" i="1"/>
  <c r="S415" i="1" s="1"/>
  <c r="T415" i="1"/>
  <c r="U415" i="1" s="1"/>
  <c r="V415" i="1"/>
  <c r="W415" i="1" s="1"/>
  <c r="V419" i="1"/>
  <c r="W419" i="1" s="1"/>
  <c r="T419" i="1"/>
  <c r="U419" i="1" s="1"/>
  <c r="R419" i="1"/>
  <c r="S419" i="1" s="1"/>
  <c r="P419" i="1"/>
  <c r="Q419" i="1" s="1"/>
  <c r="N419" i="1"/>
  <c r="O419" i="1" s="1"/>
  <c r="L419" i="1"/>
  <c r="M419" i="1" s="1"/>
  <c r="V437" i="1"/>
  <c r="W437" i="1" s="1"/>
  <c r="L437" i="1"/>
  <c r="M437" i="1" s="1"/>
  <c r="N437" i="1"/>
  <c r="O437" i="1" s="1"/>
  <c r="P437" i="1"/>
  <c r="Q437" i="1" s="1"/>
  <c r="R437" i="1"/>
  <c r="S437" i="1" s="1"/>
  <c r="T437" i="1"/>
  <c r="U437" i="1" s="1"/>
  <c r="T406" i="1"/>
  <c r="U406" i="1" s="1"/>
  <c r="V406" i="1"/>
  <c r="W406" i="1" s="1"/>
  <c r="L406" i="1"/>
  <c r="M406" i="1" s="1"/>
  <c r="N406" i="1"/>
  <c r="O406" i="1" s="1"/>
  <c r="P406" i="1"/>
  <c r="Q406" i="1" s="1"/>
  <c r="R406" i="1"/>
  <c r="S406" i="1" s="1"/>
  <c r="T420" i="1"/>
  <c r="U420" i="1" s="1"/>
  <c r="V420" i="1"/>
  <c r="W420" i="1" s="1"/>
  <c r="R420" i="1"/>
  <c r="S420" i="1" s="1"/>
  <c r="L420" i="1"/>
  <c r="M420" i="1" s="1"/>
  <c r="N420" i="1"/>
  <c r="O420" i="1" s="1"/>
  <c r="P420" i="1"/>
  <c r="Q420" i="1" s="1"/>
  <c r="V441" i="1"/>
  <c r="W441" i="1" s="1"/>
  <c r="L441" i="1"/>
  <c r="M441" i="1" s="1"/>
  <c r="N441" i="1"/>
  <c r="O441" i="1" s="1"/>
  <c r="P441" i="1"/>
  <c r="Q441" i="1" s="1"/>
  <c r="R441" i="1"/>
  <c r="S441" i="1" s="1"/>
  <c r="T441" i="1"/>
  <c r="U441" i="1" s="1"/>
  <c r="J462" i="1"/>
  <c r="K462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H462" i="1"/>
  <c r="I462" i="1" s="1"/>
  <c r="P413" i="1"/>
  <c r="Q413" i="1" s="1"/>
  <c r="L413" i="1"/>
  <c r="M413" i="1" s="1"/>
  <c r="R413" i="1"/>
  <c r="S413" i="1" s="1"/>
  <c r="T413" i="1"/>
  <c r="U413" i="1" s="1"/>
  <c r="V413" i="1"/>
  <c r="W413" i="1" s="1"/>
  <c r="N413" i="1"/>
  <c r="O413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02" i="1"/>
  <c r="W402" i="1" s="1"/>
  <c r="T402" i="1"/>
  <c r="U402" i="1" s="1"/>
  <c r="R402" i="1"/>
  <c r="S402" i="1" s="1"/>
  <c r="P402" i="1"/>
  <c r="Q402" i="1" s="1"/>
  <c r="N402" i="1"/>
  <c r="O402" i="1" s="1"/>
  <c r="L402" i="1"/>
  <c r="M402" i="1" s="1"/>
  <c r="P403" i="1"/>
  <c r="Q403" i="1" s="1"/>
  <c r="N403" i="1"/>
  <c r="O403" i="1" s="1"/>
  <c r="L403" i="1"/>
  <c r="M403" i="1" s="1"/>
  <c r="V403" i="1"/>
  <c r="W403" i="1" s="1"/>
  <c r="T403" i="1"/>
  <c r="U403" i="1" s="1"/>
  <c r="R403" i="1"/>
  <c r="S403" i="1" s="1"/>
  <c r="N383" i="1"/>
  <c r="O383" i="1" s="1"/>
  <c r="L383" i="1"/>
  <c r="M383" i="1" s="1"/>
  <c r="V383" i="1"/>
  <c r="W383" i="1" s="1"/>
  <c r="T383" i="1"/>
  <c r="U383" i="1" s="1"/>
  <c r="R383" i="1"/>
  <c r="S383" i="1" s="1"/>
  <c r="P383" i="1"/>
  <c r="Q383" i="1" s="1"/>
  <c r="N369" i="1"/>
  <c r="O369" i="1" s="1"/>
  <c r="L369" i="1"/>
  <c r="M369" i="1" s="1"/>
  <c r="V369" i="1"/>
  <c r="W369" i="1" s="1"/>
  <c r="T369" i="1"/>
  <c r="U369" i="1" s="1"/>
  <c r="R369" i="1"/>
  <c r="S369" i="1" s="1"/>
  <c r="P369" i="1"/>
  <c r="Q369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L371" i="1"/>
  <c r="M371" i="1" s="1"/>
  <c r="P371" i="1"/>
  <c r="Q371" i="1" s="1"/>
  <c r="V371" i="1"/>
  <c r="W371" i="1" s="1"/>
  <c r="T371" i="1"/>
  <c r="U371" i="1" s="1"/>
  <c r="R371" i="1"/>
  <c r="S371" i="1" s="1"/>
  <c r="N371" i="1"/>
  <c r="O371" i="1" s="1"/>
  <c r="L408" i="1"/>
  <c r="M408" i="1" s="1"/>
  <c r="N408" i="1"/>
  <c r="O408" i="1" s="1"/>
  <c r="P408" i="1"/>
  <c r="Q408" i="1" s="1"/>
  <c r="R408" i="1"/>
  <c r="S408" i="1" s="1"/>
  <c r="T408" i="1"/>
  <c r="U408" i="1" s="1"/>
  <c r="V408" i="1"/>
  <c r="W408" i="1" s="1"/>
  <c r="R423" i="1"/>
  <c r="S423" i="1" s="1"/>
  <c r="T423" i="1"/>
  <c r="U423" i="1" s="1"/>
  <c r="V423" i="1"/>
  <c r="W423" i="1" s="1"/>
  <c r="N423" i="1"/>
  <c r="O423" i="1" s="1"/>
  <c r="L423" i="1"/>
  <c r="M423" i="1" s="1"/>
  <c r="P423" i="1"/>
  <c r="Q423" i="1" s="1"/>
  <c r="T444" i="1"/>
  <c r="U444" i="1" s="1"/>
  <c r="V444" i="1"/>
  <c r="W444" i="1" s="1"/>
  <c r="L444" i="1"/>
  <c r="M444" i="1" s="1"/>
  <c r="N444" i="1"/>
  <c r="O444" i="1" s="1"/>
  <c r="P444" i="1"/>
  <c r="Q444" i="1" s="1"/>
  <c r="R444" i="1"/>
  <c r="S444" i="1" s="1"/>
  <c r="R465" i="1"/>
  <c r="S465" i="1" s="1"/>
  <c r="P465" i="1"/>
  <c r="Q465" i="1" s="1"/>
  <c r="V465" i="1"/>
  <c r="W465" i="1" s="1"/>
  <c r="N465" i="1"/>
  <c r="O465" i="1" s="1"/>
  <c r="T465" i="1"/>
  <c r="U465" i="1" s="1"/>
  <c r="L465" i="1"/>
  <c r="M465" i="1" s="1"/>
  <c r="J465" i="1"/>
  <c r="K465" i="1" s="1"/>
  <c r="T401" i="1"/>
  <c r="U401" i="1" s="1"/>
  <c r="V401" i="1"/>
  <c r="W401" i="1" s="1"/>
  <c r="R401" i="1"/>
  <c r="S401" i="1" s="1"/>
  <c r="P401" i="1"/>
  <c r="Q401" i="1" s="1"/>
  <c r="N401" i="1"/>
  <c r="O401" i="1" s="1"/>
  <c r="L401" i="1"/>
  <c r="M401" i="1" s="1"/>
  <c r="L438" i="1"/>
  <c r="M438" i="1" s="1"/>
  <c r="N438" i="1"/>
  <c r="O438" i="1" s="1"/>
  <c r="P438" i="1"/>
  <c r="Q438" i="1" s="1"/>
  <c r="R438" i="1"/>
  <c r="S438" i="1" s="1"/>
  <c r="T438" i="1"/>
  <c r="U438" i="1" s="1"/>
  <c r="V438" i="1"/>
  <c r="W438" i="1" s="1"/>
  <c r="L386" i="1"/>
  <c r="M386" i="1" s="1"/>
  <c r="P386" i="1"/>
  <c r="Q386" i="1" s="1"/>
  <c r="V386" i="1"/>
  <c r="W386" i="1" s="1"/>
  <c r="T386" i="1"/>
  <c r="U386" i="1" s="1"/>
  <c r="R386" i="1"/>
  <c r="S386" i="1" s="1"/>
  <c r="N386" i="1"/>
  <c r="O386" i="1" s="1"/>
  <c r="P390" i="1"/>
  <c r="Q390" i="1" s="1"/>
  <c r="N390" i="1"/>
  <c r="O390" i="1" s="1"/>
  <c r="L390" i="1"/>
  <c r="M390" i="1" s="1"/>
  <c r="V390" i="1"/>
  <c r="W390" i="1" s="1"/>
  <c r="T390" i="1"/>
  <c r="U390" i="1" s="1"/>
  <c r="R390" i="1"/>
  <c r="S390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P409" i="1"/>
  <c r="Q409" i="1" s="1"/>
  <c r="R409" i="1"/>
  <c r="S409" i="1" s="1"/>
  <c r="T409" i="1"/>
  <c r="U409" i="1" s="1"/>
  <c r="L409" i="1"/>
  <c r="M409" i="1" s="1"/>
  <c r="V409" i="1"/>
  <c r="W409" i="1" s="1"/>
  <c r="N409" i="1"/>
  <c r="O409" i="1" s="1"/>
  <c r="R427" i="1"/>
  <c r="S427" i="1" s="1"/>
  <c r="T427" i="1"/>
  <c r="U427" i="1" s="1"/>
  <c r="V427" i="1"/>
  <c r="W427" i="1" s="1"/>
  <c r="N427" i="1"/>
  <c r="O427" i="1" s="1"/>
  <c r="L427" i="1"/>
  <c r="M427" i="1" s="1"/>
  <c r="P427" i="1"/>
  <c r="Q427" i="1" s="1"/>
  <c r="V445" i="1"/>
  <c r="W445" i="1" s="1"/>
  <c r="L445" i="1"/>
  <c r="M445" i="1" s="1"/>
  <c r="N445" i="1"/>
  <c r="O445" i="1" s="1"/>
  <c r="P445" i="1"/>
  <c r="Q445" i="1" s="1"/>
  <c r="R445" i="1"/>
  <c r="S445" i="1" s="1"/>
  <c r="T445" i="1"/>
  <c r="U445" i="1" s="1"/>
  <c r="L470" i="1"/>
  <c r="M470" i="1" s="1"/>
  <c r="J470" i="1"/>
  <c r="K470" i="1" s="1"/>
  <c r="H470" i="1"/>
  <c r="I470" i="1" s="1"/>
  <c r="V470" i="1"/>
  <c r="W470" i="1" s="1"/>
  <c r="R470" i="1"/>
  <c r="S470" i="1" s="1"/>
  <c r="T470" i="1"/>
  <c r="U470" i="1" s="1"/>
  <c r="P470" i="1"/>
  <c r="Q470" i="1" s="1"/>
  <c r="N470" i="1"/>
  <c r="O470" i="1" s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H460" i="1"/>
  <c r="I460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L422" i="1"/>
  <c r="M422" i="1" s="1"/>
  <c r="N422" i="1"/>
  <c r="O422" i="1" s="1"/>
  <c r="P422" i="1"/>
  <c r="Q422" i="1" s="1"/>
  <c r="R422" i="1"/>
  <c r="S422" i="1" s="1"/>
  <c r="T422" i="1"/>
  <c r="U422" i="1" s="1"/>
  <c r="V422" i="1"/>
  <c r="W422" i="1" s="1"/>
  <c r="P392" i="1"/>
  <c r="Q392" i="1" s="1"/>
  <c r="N392" i="1"/>
  <c r="O392" i="1" s="1"/>
  <c r="L392" i="1"/>
  <c r="M392" i="1" s="1"/>
  <c r="R392" i="1"/>
  <c r="S392" i="1" s="1"/>
  <c r="V392" i="1"/>
  <c r="W392" i="1" s="1"/>
  <c r="T392" i="1"/>
  <c r="U392" i="1" s="1"/>
  <c r="T410" i="1"/>
  <c r="U410" i="1" s="1"/>
  <c r="V410" i="1"/>
  <c r="W410" i="1" s="1"/>
  <c r="L410" i="1"/>
  <c r="M410" i="1" s="1"/>
  <c r="N410" i="1"/>
  <c r="O410" i="1" s="1"/>
  <c r="P410" i="1"/>
  <c r="Q410" i="1" s="1"/>
  <c r="R410" i="1"/>
  <c r="S410" i="1" s="1"/>
  <c r="T428" i="1"/>
  <c r="U428" i="1" s="1"/>
  <c r="V428" i="1"/>
  <c r="W428" i="1" s="1"/>
  <c r="R428" i="1"/>
  <c r="S428" i="1" s="1"/>
  <c r="L428" i="1"/>
  <c r="M428" i="1" s="1"/>
  <c r="N428" i="1"/>
  <c r="O428" i="1" s="1"/>
  <c r="P428" i="1"/>
  <c r="Q428" i="1" s="1"/>
  <c r="L446" i="1"/>
  <c r="M446" i="1" s="1"/>
  <c r="N446" i="1"/>
  <c r="O446" i="1" s="1"/>
  <c r="P446" i="1"/>
  <c r="Q446" i="1" s="1"/>
  <c r="R446" i="1"/>
  <c r="S446" i="1" s="1"/>
  <c r="T446" i="1"/>
  <c r="U446" i="1" s="1"/>
  <c r="V446" i="1"/>
  <c r="W446" i="1" s="1"/>
  <c r="R472" i="1"/>
  <c r="S472" i="1" s="1"/>
  <c r="P472" i="1"/>
  <c r="Q472" i="1" s="1"/>
  <c r="N472" i="1"/>
  <c r="O472" i="1" s="1"/>
  <c r="J472" i="1"/>
  <c r="K472" i="1" s="1"/>
  <c r="L472" i="1"/>
  <c r="M472" i="1" s="1"/>
  <c r="H472" i="1"/>
  <c r="I472" i="1" s="1"/>
  <c r="T472" i="1"/>
  <c r="U472" i="1" s="1"/>
  <c r="V472" i="1"/>
  <c r="W472" i="1" s="1"/>
  <c r="L416" i="1"/>
  <c r="M416" i="1" s="1"/>
  <c r="N416" i="1"/>
  <c r="O416" i="1" s="1"/>
  <c r="P416" i="1"/>
  <c r="Q416" i="1" s="1"/>
  <c r="R416" i="1"/>
  <c r="S416" i="1" s="1"/>
  <c r="T416" i="1"/>
  <c r="U416" i="1" s="1"/>
  <c r="V416" i="1"/>
  <c r="W416" i="1" s="1"/>
  <c r="P380" i="1"/>
  <c r="Q380" i="1" s="1"/>
  <c r="N380" i="1"/>
  <c r="O380" i="1" s="1"/>
  <c r="L380" i="1"/>
  <c r="M380" i="1" s="1"/>
  <c r="V380" i="1"/>
  <c r="W380" i="1" s="1"/>
  <c r="T380" i="1"/>
  <c r="U380" i="1" s="1"/>
  <c r="R380" i="1"/>
  <c r="S380" i="1" s="1"/>
  <c r="P417" i="1"/>
  <c r="Q417" i="1" s="1"/>
  <c r="R417" i="1"/>
  <c r="S417" i="1" s="1"/>
  <c r="T417" i="1"/>
  <c r="U417" i="1" s="1"/>
  <c r="V417" i="1"/>
  <c r="W417" i="1" s="1"/>
  <c r="L417" i="1"/>
  <c r="M417" i="1" s="1"/>
  <c r="N417" i="1"/>
  <c r="O417" i="1" s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R443" i="1"/>
  <c r="S443" i="1" s="1"/>
  <c r="T443" i="1"/>
  <c r="U443" i="1" s="1"/>
  <c r="N443" i="1"/>
  <c r="O443" i="1" s="1"/>
  <c r="V443" i="1"/>
  <c r="W443" i="1" s="1"/>
  <c r="L443" i="1"/>
  <c r="M443" i="1" s="1"/>
  <c r="P443" i="1"/>
  <c r="Q443" i="1" s="1"/>
  <c r="N375" i="1"/>
  <c r="O375" i="1" s="1"/>
  <c r="L375" i="1"/>
  <c r="M375" i="1" s="1"/>
  <c r="V375" i="1"/>
  <c r="W375" i="1" s="1"/>
  <c r="T375" i="1"/>
  <c r="U375" i="1" s="1"/>
  <c r="P375" i="1"/>
  <c r="Q375" i="1" s="1"/>
  <c r="R375" i="1"/>
  <c r="S375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412" i="1"/>
  <c r="L412" i="1"/>
  <c r="M412" i="1" s="1"/>
  <c r="N412" i="1"/>
  <c r="O412" i="1" s="1"/>
  <c r="P412" i="1"/>
  <c r="Q412" i="1" s="1"/>
  <c r="R412" i="1"/>
  <c r="S412" i="1" s="1"/>
  <c r="T412" i="1"/>
  <c r="U412" i="1" s="1"/>
  <c r="V412" i="1"/>
  <c r="W412" i="1" s="1"/>
  <c r="L429" i="1"/>
  <c r="M429" i="1" s="1"/>
  <c r="N429" i="1"/>
  <c r="O429" i="1" s="1"/>
  <c r="P429" i="1"/>
  <c r="Q429" i="1" s="1"/>
  <c r="R429" i="1"/>
  <c r="S429" i="1" s="1"/>
  <c r="V429" i="1"/>
  <c r="W429" i="1" s="1"/>
  <c r="T429" i="1"/>
  <c r="U429" i="1" s="1"/>
  <c r="V447" i="1"/>
  <c r="W447" i="1" s="1"/>
  <c r="H447" i="1"/>
  <c r="I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T473" i="1"/>
  <c r="U473" i="1" s="1"/>
  <c r="V473" i="1"/>
  <c r="W473" i="1" s="1"/>
  <c r="R473" i="1"/>
  <c r="S473" i="1" s="1"/>
  <c r="P473" i="1"/>
  <c r="Q473" i="1" s="1"/>
  <c r="N473" i="1"/>
  <c r="O473" i="1" s="1"/>
  <c r="J473" i="1"/>
  <c r="K473" i="1" s="1"/>
  <c r="L473" i="1"/>
  <c r="M473" i="1" s="1"/>
  <c r="R449" i="1"/>
  <c r="S449" i="1" s="1"/>
  <c r="P449" i="1"/>
  <c r="Q449" i="1" s="1"/>
  <c r="N449" i="1"/>
  <c r="O449" i="1" s="1"/>
  <c r="L449" i="1"/>
  <c r="M449" i="1" s="1"/>
  <c r="J449" i="1"/>
  <c r="K449" i="1" s="1"/>
  <c r="H449" i="1"/>
  <c r="I449" i="1" s="1"/>
  <c r="T449" i="1"/>
  <c r="U449" i="1" s="1"/>
  <c r="V449" i="1"/>
  <c r="W449" i="1" s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P405" i="1"/>
  <c r="Q405" i="1" s="1"/>
  <c r="R405" i="1"/>
  <c r="S405" i="1" s="1"/>
  <c r="T405" i="1"/>
  <c r="U405" i="1" s="1"/>
  <c r="V405" i="1"/>
  <c r="W405" i="1" s="1"/>
  <c r="L405" i="1"/>
  <c r="M405" i="1" s="1"/>
  <c r="N405" i="1"/>
  <c r="O405" i="1" s="1"/>
  <c r="R384" i="1"/>
  <c r="S384" i="1" s="1"/>
  <c r="P384" i="1"/>
  <c r="Q384" i="1" s="1"/>
  <c r="N384" i="1"/>
  <c r="O384" i="1" s="1"/>
  <c r="L384" i="1"/>
  <c r="M384" i="1" s="1"/>
  <c r="V384" i="1"/>
  <c r="W384" i="1" s="1"/>
  <c r="T384" i="1"/>
  <c r="U384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L407" i="1"/>
  <c r="M407" i="1" s="1"/>
  <c r="N407" i="1"/>
  <c r="O407" i="1" s="1"/>
  <c r="P407" i="1"/>
  <c r="Q407" i="1" s="1"/>
  <c r="R407" i="1"/>
  <c r="S407" i="1" s="1"/>
  <c r="T407" i="1"/>
  <c r="U407" i="1" s="1"/>
  <c r="V407" i="1"/>
  <c r="W407" i="1" s="1"/>
  <c r="R372" i="1"/>
  <c r="S372" i="1" s="1"/>
  <c r="P372" i="1"/>
  <c r="Q372" i="1" s="1"/>
  <c r="N372" i="1"/>
  <c r="O372" i="1" s="1"/>
  <c r="L372" i="1"/>
  <c r="M372" i="1" s="1"/>
  <c r="V372" i="1"/>
  <c r="W372" i="1" s="1"/>
  <c r="T372" i="1"/>
  <c r="U372" i="1" s="1"/>
  <c r="N374" i="1"/>
  <c r="L374" i="1"/>
  <c r="P376" i="1"/>
  <c r="Q376" i="1" s="1"/>
  <c r="N376" i="1"/>
  <c r="O376" i="1" s="1"/>
  <c r="L376" i="1"/>
  <c r="M376" i="1" s="1"/>
  <c r="T376" i="1"/>
  <c r="U376" i="1" s="1"/>
  <c r="R376" i="1"/>
  <c r="S376" i="1" s="1"/>
  <c r="L394" i="1"/>
  <c r="M394" i="1" s="1"/>
  <c r="P394" i="1"/>
  <c r="Q394" i="1" s="1"/>
  <c r="V394" i="1"/>
  <c r="W394" i="1" s="1"/>
  <c r="T394" i="1"/>
  <c r="U394" i="1" s="1"/>
  <c r="R394" i="1"/>
  <c r="S394" i="1" s="1"/>
  <c r="N394" i="1"/>
  <c r="O394" i="1" s="1"/>
  <c r="T414" i="1"/>
  <c r="U414" i="1" s="1"/>
  <c r="V414" i="1"/>
  <c r="W414" i="1" s="1"/>
  <c r="L414" i="1"/>
  <c r="M414" i="1" s="1"/>
  <c r="N414" i="1"/>
  <c r="O414" i="1" s="1"/>
  <c r="P414" i="1"/>
  <c r="Q414" i="1" s="1"/>
  <c r="R414" i="1"/>
  <c r="S414" i="1" s="1"/>
  <c r="L430" i="1"/>
  <c r="M430" i="1" s="1"/>
  <c r="N430" i="1"/>
  <c r="O430" i="1" s="1"/>
  <c r="P430" i="1"/>
  <c r="Q430" i="1" s="1"/>
  <c r="R430" i="1"/>
  <c r="S430" i="1" s="1"/>
  <c r="T430" i="1"/>
  <c r="U430" i="1" s="1"/>
  <c r="V430" i="1"/>
  <c r="W430" i="1" s="1"/>
  <c r="N448" i="1"/>
  <c r="O448" i="1" s="1"/>
  <c r="L448" i="1"/>
  <c r="M448" i="1" s="1"/>
  <c r="R448" i="1"/>
  <c r="S448" i="1" s="1"/>
  <c r="J448" i="1"/>
  <c r="K448" i="1" s="1"/>
  <c r="P448" i="1"/>
  <c r="Q448" i="1" s="1"/>
  <c r="H448" i="1"/>
  <c r="I448" i="1" s="1"/>
  <c r="V448" i="1"/>
  <c r="W448" i="1" s="1"/>
  <c r="T448" i="1"/>
  <c r="U448" i="1" s="1"/>
  <c r="T528" i="1"/>
  <c r="U528" i="1" s="1"/>
  <c r="N528" i="1"/>
  <c r="O528" i="1" s="1"/>
  <c r="V528" i="1"/>
  <c r="W528" i="1" s="1"/>
  <c r="N527" i="1"/>
  <c r="O527" i="1" s="1"/>
  <c r="J528" i="1"/>
  <c r="K528" i="1" s="1"/>
  <c r="P527" i="1"/>
  <c r="Q527" i="1" s="1"/>
  <c r="R527" i="1"/>
  <c r="S527" i="1" s="1"/>
  <c r="T527" i="1"/>
  <c r="U527" i="1" s="1"/>
  <c r="V527" i="1"/>
  <c r="W527" i="1" s="1"/>
  <c r="L528" i="1"/>
  <c r="M528" i="1" s="1"/>
  <c r="J527" i="1"/>
  <c r="K527" i="1" s="1"/>
  <c r="P528" i="1"/>
  <c r="Q528" i="1" s="1"/>
  <c r="F362" i="1"/>
  <c r="F357" i="1"/>
  <c r="F353" i="1"/>
  <c r="F352" i="1"/>
  <c r="F351" i="1"/>
  <c r="F349" i="1"/>
  <c r="F348" i="1"/>
  <c r="F347" i="1"/>
  <c r="F345" i="1"/>
  <c r="F344" i="1"/>
  <c r="F343" i="1"/>
  <c r="F341" i="1"/>
  <c r="F340" i="1"/>
  <c r="F339" i="1"/>
  <c r="F338" i="1"/>
  <c r="H362" i="1" l="1"/>
  <c r="J362" i="1"/>
  <c r="T357" i="1"/>
  <c r="U357" i="1" s="1"/>
  <c r="R357" i="1"/>
  <c r="S357" i="1" s="1"/>
  <c r="P357" i="1"/>
  <c r="Q357" i="1" s="1"/>
  <c r="N357" i="1"/>
  <c r="O357" i="1" s="1"/>
  <c r="L357" i="1"/>
  <c r="M357" i="1" s="1"/>
  <c r="J357" i="1"/>
  <c r="K357" i="1" s="1"/>
  <c r="H357" i="1"/>
  <c r="I357" i="1" s="1"/>
  <c r="V357" i="1"/>
  <c r="W357" i="1" s="1"/>
  <c r="L351" i="1"/>
  <c r="M351" i="1" s="1"/>
  <c r="H351" i="1"/>
  <c r="I351" i="1" s="1"/>
  <c r="N351" i="1"/>
  <c r="O351" i="1" s="1"/>
  <c r="J351" i="1"/>
  <c r="K351" i="1" s="1"/>
  <c r="P351" i="1"/>
  <c r="Q351" i="1" s="1"/>
  <c r="V351" i="1"/>
  <c r="W351" i="1" s="1"/>
  <c r="T351" i="1"/>
  <c r="U351" i="1" s="1"/>
  <c r="R351" i="1"/>
  <c r="S351" i="1" s="1"/>
  <c r="P352" i="1"/>
  <c r="Q352" i="1" s="1"/>
  <c r="J352" i="1"/>
  <c r="K352" i="1" s="1"/>
  <c r="N352" i="1"/>
  <c r="O352" i="1" s="1"/>
  <c r="L352" i="1"/>
  <c r="M352" i="1" s="1"/>
  <c r="R352" i="1"/>
  <c r="S352" i="1" s="1"/>
  <c r="H352" i="1"/>
  <c r="I352" i="1" s="1"/>
  <c r="V352" i="1"/>
  <c r="W352" i="1" s="1"/>
  <c r="T352" i="1"/>
  <c r="U352" i="1" s="1"/>
  <c r="V353" i="1"/>
  <c r="W353" i="1" s="1"/>
  <c r="R353" i="1"/>
  <c r="S353" i="1" s="1"/>
  <c r="P353" i="1"/>
  <c r="Q353" i="1" s="1"/>
  <c r="N353" i="1"/>
  <c r="O353" i="1" s="1"/>
  <c r="T353" i="1"/>
  <c r="U353" i="1" s="1"/>
  <c r="L353" i="1"/>
  <c r="M353" i="1" s="1"/>
  <c r="J353" i="1"/>
  <c r="K353" i="1" s="1"/>
  <c r="H353" i="1"/>
  <c r="I353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V339" i="1"/>
  <c r="W339" i="1" s="1"/>
  <c r="T339" i="1"/>
  <c r="U339" i="1" s="1"/>
  <c r="T340" i="1"/>
  <c r="U340" i="1" s="1"/>
  <c r="R340" i="1"/>
  <c r="S340" i="1" s="1"/>
  <c r="P340" i="1"/>
  <c r="Q340" i="1" s="1"/>
  <c r="H340" i="1"/>
  <c r="I340" i="1" s="1"/>
  <c r="N340" i="1"/>
  <c r="O340" i="1" s="1"/>
  <c r="L340" i="1"/>
  <c r="M340" i="1" s="1"/>
  <c r="V340" i="1"/>
  <c r="W340" i="1" s="1"/>
  <c r="J340" i="1"/>
  <c r="K340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J349" i="1"/>
  <c r="K349" i="1" s="1"/>
  <c r="H349" i="1"/>
  <c r="I349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H343" i="1"/>
  <c r="I343" i="1" s="1"/>
  <c r="V343" i="1"/>
  <c r="W343" i="1" s="1"/>
  <c r="N343" i="1"/>
  <c r="O343" i="1" s="1"/>
  <c r="T343" i="1"/>
  <c r="U343" i="1" s="1"/>
  <c r="R343" i="1"/>
  <c r="S343" i="1" s="1"/>
  <c r="P343" i="1"/>
  <c r="Q343" i="1" s="1"/>
  <c r="L343" i="1"/>
  <c r="M343" i="1" s="1"/>
  <c r="J343" i="1"/>
  <c r="K343" i="1" s="1"/>
  <c r="L338" i="1"/>
  <c r="M338" i="1" s="1"/>
  <c r="N338" i="1"/>
  <c r="O338" i="1" s="1"/>
  <c r="J338" i="1"/>
  <c r="K338" i="1" s="1"/>
  <c r="T338" i="1"/>
  <c r="U338" i="1" s="1"/>
  <c r="P338" i="1"/>
  <c r="Q338" i="1" s="1"/>
  <c r="H338" i="1"/>
  <c r="I338" i="1" s="1"/>
  <c r="V338" i="1"/>
  <c r="W338" i="1" s="1"/>
  <c r="R338" i="1"/>
  <c r="S338" i="1" s="1"/>
  <c r="J344" i="1"/>
  <c r="K344" i="1" s="1"/>
  <c r="H344" i="1"/>
  <c r="I344" i="1" s="1"/>
  <c r="V344" i="1"/>
  <c r="W344" i="1" s="1"/>
  <c r="T344" i="1"/>
  <c r="U344" i="1" s="1"/>
  <c r="L344" i="1"/>
  <c r="M344" i="1" s="1"/>
  <c r="R344" i="1"/>
  <c r="S344" i="1" s="1"/>
  <c r="P344" i="1"/>
  <c r="Q344" i="1" s="1"/>
  <c r="N344" i="1"/>
  <c r="O344" i="1" s="1"/>
  <c r="N345" i="1"/>
  <c r="O345" i="1" s="1"/>
  <c r="L345" i="1"/>
  <c r="M345" i="1" s="1"/>
  <c r="J345" i="1"/>
  <c r="K345" i="1" s="1"/>
  <c r="P345" i="1"/>
  <c r="Q345" i="1" s="1"/>
  <c r="H345" i="1"/>
  <c r="I345" i="1" s="1"/>
  <c r="V345" i="1"/>
  <c r="W345" i="1" s="1"/>
  <c r="T345" i="1"/>
  <c r="U345" i="1" s="1"/>
  <c r="R345" i="1"/>
  <c r="S345" i="1" s="1"/>
  <c r="H347" i="1"/>
  <c r="I347" i="1" s="1"/>
  <c r="V347" i="1"/>
  <c r="W347" i="1" s="1"/>
  <c r="L347" i="1"/>
  <c r="M347" i="1" s="1"/>
  <c r="T347" i="1"/>
  <c r="U347" i="1" s="1"/>
  <c r="R347" i="1"/>
  <c r="S347" i="1" s="1"/>
  <c r="P347" i="1"/>
  <c r="Q347" i="1" s="1"/>
  <c r="N347" i="1"/>
  <c r="O347" i="1" s="1"/>
  <c r="J347" i="1"/>
  <c r="K347" i="1" s="1"/>
  <c r="R348" i="1"/>
  <c r="S348" i="1" s="1"/>
  <c r="P348" i="1"/>
  <c r="Q348" i="1" s="1"/>
  <c r="N348" i="1"/>
  <c r="O348" i="1" s="1"/>
  <c r="L348" i="1"/>
  <c r="M348" i="1" s="1"/>
  <c r="J348" i="1"/>
  <c r="K348" i="1" s="1"/>
  <c r="H348" i="1"/>
  <c r="I348" i="1" s="1"/>
  <c r="T348" i="1"/>
  <c r="U348" i="1" s="1"/>
  <c r="V348" i="1"/>
  <c r="W348" i="1" s="1"/>
  <c r="F330" i="1"/>
  <c r="F329" i="1"/>
  <c r="F326" i="1"/>
  <c r="F322" i="1"/>
  <c r="F321" i="1"/>
  <c r="F320" i="1"/>
  <c r="F311" i="1"/>
  <c r="W308" i="1"/>
  <c r="U308" i="1"/>
  <c r="S308" i="1"/>
  <c r="Q308" i="1"/>
  <c r="O308" i="1"/>
  <c r="M308" i="1"/>
  <c r="K308" i="1"/>
  <c r="F302" i="1"/>
  <c r="F294" i="1"/>
  <c r="F289" i="1"/>
  <c r="F287" i="1"/>
  <c r="F286" i="1"/>
  <c r="F280" i="1"/>
  <c r="F279" i="1"/>
  <c r="F277" i="1"/>
  <c r="F275" i="1"/>
  <c r="F266" i="1"/>
  <c r="F258" i="1"/>
  <c r="F257" i="1"/>
  <c r="F256" i="1"/>
  <c r="N250" i="1"/>
  <c r="O250" i="1" s="1"/>
  <c r="L250" i="1"/>
  <c r="M250" i="1" s="1"/>
  <c r="J250" i="1"/>
  <c r="K250" i="1" s="1"/>
  <c r="F222" i="1"/>
  <c r="F610" i="1"/>
  <c r="F609" i="1"/>
  <c r="F188" i="1"/>
  <c r="F187" i="1"/>
  <c r="F185" i="1"/>
  <c r="T609" i="1" l="1"/>
  <c r="U609" i="1" s="1"/>
  <c r="R609" i="1"/>
  <c r="S609" i="1" s="1"/>
  <c r="P609" i="1"/>
  <c r="Q609" i="1" s="1"/>
  <c r="N609" i="1"/>
  <c r="O609" i="1" s="1"/>
  <c r="L609" i="1"/>
  <c r="M609" i="1" s="1"/>
  <c r="V609" i="1"/>
  <c r="W609" i="1" s="1"/>
  <c r="J609" i="1"/>
  <c r="K609" i="1" s="1"/>
  <c r="H609" i="1"/>
  <c r="I609" i="1" s="1"/>
  <c r="H188" i="1"/>
  <c r="I188" i="1" s="1"/>
  <c r="V188" i="1"/>
  <c r="W188" i="1" s="1"/>
  <c r="T188" i="1"/>
  <c r="U188" i="1" s="1"/>
  <c r="R188" i="1"/>
  <c r="S188" i="1" s="1"/>
  <c r="L188" i="1"/>
  <c r="M188" i="1" s="1"/>
  <c r="P188" i="1"/>
  <c r="Q188" i="1" s="1"/>
  <c r="N188" i="1"/>
  <c r="O188" i="1" s="1"/>
  <c r="J188" i="1"/>
  <c r="K188" i="1" s="1"/>
  <c r="H322" i="1"/>
  <c r="I322" i="1" s="1"/>
  <c r="V322" i="1"/>
  <c r="W322" i="1" s="1"/>
  <c r="T322" i="1"/>
  <c r="U322" i="1" s="1"/>
  <c r="N322" i="1"/>
  <c r="O322" i="1" s="1"/>
  <c r="R322" i="1"/>
  <c r="S322" i="1" s="1"/>
  <c r="P322" i="1"/>
  <c r="Q322" i="1" s="1"/>
  <c r="L322" i="1"/>
  <c r="M322" i="1" s="1"/>
  <c r="J322" i="1"/>
  <c r="K322" i="1" s="1"/>
  <c r="V256" i="1"/>
  <c r="W256" i="1" s="1"/>
  <c r="T256" i="1"/>
  <c r="U256" i="1" s="1"/>
  <c r="J256" i="1"/>
  <c r="K256" i="1" s="1"/>
  <c r="L256" i="1"/>
  <c r="M256" i="1" s="1"/>
  <c r="R256" i="1"/>
  <c r="S256" i="1" s="1"/>
  <c r="P256" i="1"/>
  <c r="Q256" i="1" s="1"/>
  <c r="N256" i="1"/>
  <c r="O256" i="1" s="1"/>
  <c r="V610" i="1"/>
  <c r="W610" i="1" s="1"/>
  <c r="T610" i="1"/>
  <c r="U610" i="1" s="1"/>
  <c r="L610" i="1"/>
  <c r="M610" i="1" s="1"/>
  <c r="J610" i="1"/>
  <c r="K610" i="1" s="1"/>
  <c r="H610" i="1"/>
  <c r="I610" i="1" s="1"/>
  <c r="R610" i="1"/>
  <c r="S610" i="1" s="1"/>
  <c r="P610" i="1"/>
  <c r="Q610" i="1" s="1"/>
  <c r="N610" i="1"/>
  <c r="O610" i="1" s="1"/>
  <c r="P311" i="1"/>
  <c r="Q311" i="1" s="1"/>
  <c r="N311" i="1"/>
  <c r="O311" i="1" s="1"/>
  <c r="L311" i="1"/>
  <c r="M311" i="1" s="1"/>
  <c r="J311" i="1"/>
  <c r="K311" i="1" s="1"/>
  <c r="H311" i="1"/>
  <c r="I311" i="1" s="1"/>
  <c r="T311" i="1"/>
  <c r="U311" i="1" s="1"/>
  <c r="V311" i="1"/>
  <c r="W311" i="1" s="1"/>
  <c r="R311" i="1"/>
  <c r="S311" i="1" s="1"/>
  <c r="R330" i="1"/>
  <c r="S330" i="1" s="1"/>
  <c r="H330" i="1"/>
  <c r="I330" i="1" s="1"/>
  <c r="V330" i="1"/>
  <c r="W330" i="1" s="1"/>
  <c r="T330" i="1"/>
  <c r="U330" i="1" s="1"/>
  <c r="P330" i="1"/>
  <c r="Q330" i="1" s="1"/>
  <c r="N330" i="1"/>
  <c r="O330" i="1" s="1"/>
  <c r="L330" i="1"/>
  <c r="M330" i="1" s="1"/>
  <c r="J330" i="1"/>
  <c r="K330" i="1" s="1"/>
  <c r="P326" i="1"/>
  <c r="Q326" i="1" s="1"/>
  <c r="L326" i="1"/>
  <c r="M326" i="1" s="1"/>
  <c r="N326" i="1"/>
  <c r="O326" i="1" s="1"/>
  <c r="J326" i="1"/>
  <c r="K326" i="1" s="1"/>
  <c r="H326" i="1"/>
  <c r="I326" i="1" s="1"/>
  <c r="V326" i="1"/>
  <c r="W326" i="1" s="1"/>
  <c r="T326" i="1"/>
  <c r="U326" i="1" s="1"/>
  <c r="R326" i="1"/>
  <c r="S326" i="1" s="1"/>
  <c r="V329" i="1"/>
  <c r="W329" i="1" s="1"/>
  <c r="T329" i="1"/>
  <c r="U329" i="1" s="1"/>
  <c r="R329" i="1"/>
  <c r="S329" i="1" s="1"/>
  <c r="P329" i="1"/>
  <c r="Q329" i="1" s="1"/>
  <c r="L329" i="1"/>
  <c r="M329" i="1" s="1"/>
  <c r="H329" i="1"/>
  <c r="I329" i="1" s="1"/>
  <c r="N329" i="1"/>
  <c r="O329" i="1" s="1"/>
  <c r="J329" i="1"/>
  <c r="K329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P280" i="1"/>
  <c r="Q280" i="1" s="1"/>
  <c r="R280" i="1"/>
  <c r="S280" i="1" s="1"/>
  <c r="N280" i="1"/>
  <c r="O280" i="1" s="1"/>
  <c r="L280" i="1"/>
  <c r="M280" i="1" s="1"/>
  <c r="V280" i="1"/>
  <c r="W280" i="1" s="1"/>
  <c r="T280" i="1"/>
  <c r="U280" i="1" s="1"/>
  <c r="T320" i="1"/>
  <c r="R320" i="1"/>
  <c r="P320" i="1"/>
  <c r="N320" i="1"/>
  <c r="L320" i="1"/>
  <c r="V320" i="1"/>
  <c r="J320" i="1"/>
  <c r="H320" i="1"/>
  <c r="H185" i="1"/>
  <c r="I185" i="1" s="1"/>
  <c r="T185" i="1"/>
  <c r="U185" i="1" s="1"/>
  <c r="V185" i="1"/>
  <c r="W185" i="1" s="1"/>
  <c r="J185" i="1"/>
  <c r="K185" i="1" s="1"/>
  <c r="R185" i="1"/>
  <c r="S185" i="1" s="1"/>
  <c r="P185" i="1"/>
  <c r="Q185" i="1" s="1"/>
  <c r="N185" i="1"/>
  <c r="O185" i="1" s="1"/>
  <c r="L185" i="1"/>
  <c r="M185" i="1" s="1"/>
  <c r="V266" i="1"/>
  <c r="W266" i="1" s="1"/>
  <c r="J266" i="1"/>
  <c r="K266" i="1" s="1"/>
  <c r="L266" i="1"/>
  <c r="M266" i="1" s="1"/>
  <c r="N266" i="1"/>
  <c r="O266" i="1" s="1"/>
  <c r="P266" i="1"/>
  <c r="Q266" i="1" s="1"/>
  <c r="H266" i="1"/>
  <c r="I266" i="1" s="1"/>
  <c r="R266" i="1"/>
  <c r="S266" i="1" s="1"/>
  <c r="T266" i="1"/>
  <c r="U266" i="1" s="1"/>
  <c r="R187" i="1"/>
  <c r="S187" i="1" s="1"/>
  <c r="N187" i="1"/>
  <c r="O187" i="1" s="1"/>
  <c r="P187" i="1"/>
  <c r="Q187" i="1" s="1"/>
  <c r="L187" i="1"/>
  <c r="M187" i="1" s="1"/>
  <c r="H187" i="1"/>
  <c r="I187" i="1" s="1"/>
  <c r="J187" i="1"/>
  <c r="K187" i="1" s="1"/>
  <c r="V187" i="1"/>
  <c r="W187" i="1" s="1"/>
  <c r="T187" i="1"/>
  <c r="U187" i="1" s="1"/>
  <c r="V275" i="1"/>
  <c r="W275" i="1" s="1"/>
  <c r="H275" i="1"/>
  <c r="I275" i="1" s="1"/>
  <c r="J275" i="1"/>
  <c r="K275" i="1" s="1"/>
  <c r="L275" i="1"/>
  <c r="M275" i="1" s="1"/>
  <c r="N275" i="1"/>
  <c r="O275" i="1" s="1"/>
  <c r="P275" i="1"/>
  <c r="Q275" i="1" s="1"/>
  <c r="R275" i="1"/>
  <c r="S275" i="1" s="1"/>
  <c r="T275" i="1"/>
  <c r="U275" i="1" s="1"/>
  <c r="V277" i="1"/>
  <c r="W277" i="1" s="1"/>
  <c r="J277" i="1"/>
  <c r="K277" i="1" s="1"/>
  <c r="H277" i="1"/>
  <c r="I277" i="1" s="1"/>
  <c r="L277" i="1"/>
  <c r="M277" i="1" s="1"/>
  <c r="N277" i="1"/>
  <c r="O277" i="1" s="1"/>
  <c r="P277" i="1"/>
  <c r="Q277" i="1" s="1"/>
  <c r="R277" i="1"/>
  <c r="S277" i="1" s="1"/>
  <c r="T277" i="1"/>
  <c r="U277" i="1" s="1"/>
  <c r="V279" i="1"/>
  <c r="W279" i="1" s="1"/>
  <c r="J279" i="1"/>
  <c r="K279" i="1" s="1"/>
  <c r="L279" i="1"/>
  <c r="M279" i="1" s="1"/>
  <c r="N279" i="1"/>
  <c r="O279" i="1" s="1"/>
  <c r="P279" i="1"/>
  <c r="Q279" i="1" s="1"/>
  <c r="R279" i="1"/>
  <c r="S279" i="1" s="1"/>
  <c r="T279" i="1"/>
  <c r="U279" i="1" s="1"/>
  <c r="H279" i="1"/>
  <c r="I279" i="1" s="1"/>
  <c r="J280" i="1"/>
  <c r="K280" i="1" s="1"/>
  <c r="H280" i="1"/>
  <c r="I280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T287" i="1"/>
  <c r="U287" i="1" s="1"/>
  <c r="R287" i="1"/>
  <c r="S287" i="1" s="1"/>
  <c r="P287" i="1"/>
  <c r="Q287" i="1" s="1"/>
  <c r="N287" i="1"/>
  <c r="O287" i="1" s="1"/>
  <c r="L287" i="1"/>
  <c r="M287" i="1" s="1"/>
  <c r="V287" i="1"/>
  <c r="W287" i="1" s="1"/>
  <c r="J287" i="1"/>
  <c r="K287" i="1" s="1"/>
  <c r="H287" i="1"/>
  <c r="I287" i="1" s="1"/>
  <c r="N289" i="1"/>
  <c r="O289" i="1" s="1"/>
  <c r="L289" i="1"/>
  <c r="M289" i="1" s="1"/>
  <c r="J289" i="1"/>
  <c r="K289" i="1" s="1"/>
  <c r="H289" i="1"/>
  <c r="I289" i="1" s="1"/>
  <c r="V289" i="1"/>
  <c r="W289" i="1" s="1"/>
  <c r="T289" i="1"/>
  <c r="U289" i="1" s="1"/>
  <c r="R289" i="1"/>
  <c r="S289" i="1" s="1"/>
  <c r="P289" i="1"/>
  <c r="Q289" i="1" s="1"/>
  <c r="N258" i="1"/>
  <c r="O258" i="1" s="1"/>
  <c r="J258" i="1"/>
  <c r="K258" i="1" s="1"/>
  <c r="P258" i="1"/>
  <c r="Q258" i="1" s="1"/>
  <c r="V258" i="1"/>
  <c r="W258" i="1" s="1"/>
  <c r="T258" i="1"/>
  <c r="U258" i="1" s="1"/>
  <c r="R258" i="1"/>
  <c r="S258" i="1" s="1"/>
  <c r="L258" i="1"/>
  <c r="M258" i="1" s="1"/>
  <c r="J294" i="1"/>
  <c r="K294" i="1" s="1"/>
  <c r="H294" i="1"/>
  <c r="I294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T222" i="1"/>
  <c r="U222" i="1" s="1"/>
  <c r="V222" i="1"/>
  <c r="W222" i="1" s="1"/>
  <c r="R222" i="1"/>
  <c r="S222" i="1" s="1"/>
  <c r="P222" i="1"/>
  <c r="Q222" i="1" s="1"/>
  <c r="N222" i="1"/>
  <c r="O222" i="1" s="1"/>
  <c r="L222" i="1"/>
  <c r="M222" i="1" s="1"/>
  <c r="J222" i="1"/>
  <c r="K222" i="1" s="1"/>
  <c r="R302" i="1"/>
  <c r="S302" i="1" s="1"/>
  <c r="N302" i="1"/>
  <c r="O302" i="1" s="1"/>
  <c r="L302" i="1"/>
  <c r="M302" i="1" s="1"/>
  <c r="J302" i="1"/>
  <c r="K302" i="1" s="1"/>
  <c r="H302" i="1"/>
  <c r="I302" i="1" s="1"/>
  <c r="P302" i="1"/>
  <c r="Q302" i="1" s="1"/>
  <c r="V302" i="1"/>
  <c r="W302" i="1" s="1"/>
  <c r="T302" i="1"/>
  <c r="U302" i="1" s="1"/>
  <c r="V257" i="1"/>
  <c r="W257" i="1" s="1"/>
  <c r="R257" i="1"/>
  <c r="S257" i="1" s="1"/>
  <c r="T257" i="1"/>
  <c r="U257" i="1" s="1"/>
  <c r="P257" i="1"/>
  <c r="Q257" i="1" s="1"/>
  <c r="N257" i="1"/>
  <c r="O257" i="1" s="1"/>
  <c r="L257" i="1"/>
  <c r="M257" i="1" s="1"/>
  <c r="J257" i="1"/>
  <c r="K257" i="1" s="1"/>
  <c r="F182" i="1"/>
  <c r="F181" i="1"/>
  <c r="F179" i="1"/>
  <c r="F173" i="1"/>
  <c r="W153" i="1"/>
  <c r="U153" i="1"/>
  <c r="S153" i="1"/>
  <c r="Q153" i="1"/>
  <c r="O153" i="1"/>
  <c r="M153" i="1"/>
  <c r="K153" i="1"/>
  <c r="W152" i="1"/>
  <c r="U152" i="1"/>
  <c r="S152" i="1"/>
  <c r="Q152" i="1"/>
  <c r="O152" i="1"/>
  <c r="M152" i="1"/>
  <c r="K152" i="1"/>
  <c r="J94" i="1"/>
  <c r="M52" i="1"/>
  <c r="K52" i="1"/>
  <c r="W12" i="1"/>
  <c r="W11" i="1"/>
  <c r="W10" i="1"/>
  <c r="U10" i="1"/>
  <c r="S10" i="1"/>
  <c r="Q10" i="1"/>
  <c r="O10" i="1"/>
  <c r="K69" i="1"/>
  <c r="F584" i="1"/>
  <c r="F583" i="1"/>
  <c r="R583" i="1" l="1"/>
  <c r="S583" i="1" s="1"/>
  <c r="P583" i="1"/>
  <c r="Q583" i="1" s="1"/>
  <c r="L583" i="1"/>
  <c r="M583" i="1" s="1"/>
  <c r="N583" i="1"/>
  <c r="O583" i="1" s="1"/>
  <c r="J583" i="1"/>
  <c r="K583" i="1" s="1"/>
  <c r="H583" i="1"/>
  <c r="I583" i="1" s="1"/>
  <c r="T583" i="1"/>
  <c r="U583" i="1" s="1"/>
  <c r="V583" i="1"/>
  <c r="W583" i="1" s="1"/>
  <c r="R584" i="1"/>
  <c r="S584" i="1" s="1"/>
  <c r="T584" i="1"/>
  <c r="U584" i="1" s="1"/>
  <c r="P584" i="1"/>
  <c r="Q584" i="1" s="1"/>
  <c r="V584" i="1"/>
  <c r="W584" i="1" s="1"/>
  <c r="N584" i="1"/>
  <c r="O584" i="1" s="1"/>
  <c r="L584" i="1"/>
  <c r="M584" i="1" s="1"/>
  <c r="J584" i="1"/>
  <c r="K584" i="1" s="1"/>
  <c r="H584" i="1"/>
  <c r="I584" i="1" s="1"/>
  <c r="T182" i="1"/>
  <c r="U182" i="1" s="1"/>
  <c r="R182" i="1"/>
  <c r="S182" i="1" s="1"/>
  <c r="P182" i="1"/>
  <c r="Q182" i="1" s="1"/>
  <c r="N182" i="1"/>
  <c r="O182" i="1" s="1"/>
  <c r="V182" i="1"/>
  <c r="W182" i="1" s="1"/>
  <c r="L182" i="1"/>
  <c r="M182" i="1" s="1"/>
  <c r="J182" i="1"/>
  <c r="K182" i="1" s="1"/>
  <c r="H182" i="1"/>
  <c r="I182" i="1" s="1"/>
  <c r="P173" i="1"/>
  <c r="Q173" i="1" s="1"/>
  <c r="L173" i="1"/>
  <c r="M173" i="1" s="1"/>
  <c r="T173" i="1"/>
  <c r="U173" i="1" s="1"/>
  <c r="N173" i="1"/>
  <c r="O173" i="1" s="1"/>
  <c r="R173" i="1"/>
  <c r="S173" i="1" s="1"/>
  <c r="V173" i="1"/>
  <c r="W173" i="1" s="1"/>
  <c r="J179" i="1"/>
  <c r="K179" i="1" s="1"/>
  <c r="H179" i="1"/>
  <c r="I179" i="1" s="1"/>
  <c r="V179" i="1"/>
  <c r="W179" i="1" s="1"/>
  <c r="T179" i="1"/>
  <c r="U179" i="1" s="1"/>
  <c r="L179" i="1"/>
  <c r="M179" i="1" s="1"/>
  <c r="R179" i="1"/>
  <c r="S179" i="1" s="1"/>
  <c r="P179" i="1"/>
  <c r="Q179" i="1" s="1"/>
  <c r="N179" i="1"/>
  <c r="O179" i="1" s="1"/>
  <c r="P181" i="1"/>
  <c r="Q181" i="1" s="1"/>
  <c r="L181" i="1"/>
  <c r="M181" i="1" s="1"/>
  <c r="N181" i="1"/>
  <c r="O181" i="1" s="1"/>
  <c r="J181" i="1"/>
  <c r="K181" i="1" s="1"/>
  <c r="H181" i="1"/>
  <c r="I181" i="1" s="1"/>
  <c r="R181" i="1"/>
  <c r="S181" i="1" s="1"/>
  <c r="T181" i="1"/>
  <c r="U181" i="1" s="1"/>
  <c r="V181" i="1"/>
  <c r="W181" i="1" s="1"/>
  <c r="W135" i="1"/>
  <c r="U135" i="1"/>
  <c r="S135" i="1"/>
  <c r="Q135" i="1"/>
  <c r="O135" i="1"/>
  <c r="M56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O43" i="1"/>
  <c r="W42" i="1"/>
  <c r="U42" i="1"/>
  <c r="S42" i="1"/>
  <c r="Q42" i="1"/>
  <c r="O42" i="1"/>
  <c r="W41" i="1"/>
  <c r="U41" i="1"/>
  <c r="S41" i="1"/>
  <c r="Q41" i="1"/>
  <c r="O41" i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28" i="1"/>
  <c r="F14" i="1"/>
  <c r="H14" i="1" s="1"/>
  <c r="T28" i="1" l="1"/>
  <c r="U28" i="1" s="1"/>
  <c r="R28" i="1"/>
  <c r="S28" i="1" s="1"/>
  <c r="V28" i="1"/>
  <c r="W28" i="1" s="1"/>
  <c r="L28" i="1"/>
  <c r="M28" i="1" s="1"/>
  <c r="P28" i="1"/>
  <c r="Q28" i="1" s="1"/>
  <c r="N28" i="1"/>
  <c r="O28" i="1" s="1"/>
  <c r="T14" i="1"/>
  <c r="J14" i="1"/>
  <c r="L14" i="1"/>
  <c r="R14" i="1"/>
  <c r="P14" i="1"/>
  <c r="N14" i="1"/>
  <c r="Q778" i="1" l="1"/>
  <c r="G64" i="1" l="1"/>
  <c r="W167" i="1" l="1"/>
  <c r="U167" i="1"/>
  <c r="S167" i="1"/>
  <c r="Q167" i="1"/>
  <c r="O167" i="1"/>
  <c r="M167" i="1"/>
  <c r="K167" i="1"/>
  <c r="I167" i="1"/>
  <c r="W165" i="1"/>
  <c r="U165" i="1"/>
  <c r="S165" i="1"/>
  <c r="Q165" i="1"/>
  <c r="O165" i="1"/>
  <c r="M165" i="1"/>
  <c r="K165" i="1"/>
  <c r="I165" i="1"/>
  <c r="W163" i="1"/>
  <c r="U163" i="1"/>
  <c r="S163" i="1"/>
  <c r="Q163" i="1"/>
  <c r="O163" i="1"/>
  <c r="M163" i="1"/>
  <c r="K163" i="1"/>
  <c r="I163" i="1"/>
  <c r="W162" i="1"/>
  <c r="U162" i="1"/>
  <c r="S162" i="1"/>
  <c r="Q162" i="1"/>
  <c r="O162" i="1"/>
  <c r="M162" i="1"/>
  <c r="K162" i="1"/>
  <c r="I162" i="1"/>
  <c r="I164" i="1"/>
  <c r="K164" i="1"/>
  <c r="M164" i="1"/>
  <c r="W164" i="1"/>
  <c r="U164" i="1"/>
  <c r="S164" i="1"/>
  <c r="Q164" i="1"/>
  <c r="O164" i="1"/>
  <c r="W166" i="1"/>
  <c r="U166" i="1"/>
  <c r="S166" i="1"/>
  <c r="Q166" i="1"/>
  <c r="O166" i="1"/>
  <c r="M166" i="1"/>
  <c r="K166" i="1"/>
  <c r="I166" i="1"/>
  <c r="G463" i="1" l="1"/>
  <c r="G252" i="1" l="1"/>
  <c r="G607" i="1"/>
  <c r="W487" i="1" l="1"/>
  <c r="U487" i="1"/>
  <c r="S487" i="1"/>
  <c r="Q487" i="1"/>
  <c r="O487" i="1"/>
  <c r="W488" i="1" l="1"/>
  <c r="U488" i="1"/>
  <c r="S488" i="1"/>
  <c r="Q488" i="1"/>
  <c r="O488" i="1"/>
  <c r="W486" i="1"/>
  <c r="U486" i="1"/>
  <c r="S486" i="1"/>
  <c r="Q486" i="1"/>
  <c r="O486" i="1"/>
  <c r="W224" i="1" l="1"/>
  <c r="W223" i="1"/>
  <c r="U224" i="1"/>
  <c r="U223" i="1"/>
  <c r="S224" i="1"/>
  <c r="S223" i="1"/>
  <c r="Q224" i="1"/>
  <c r="Q223" i="1"/>
  <c r="O224" i="1"/>
  <c r="O223" i="1"/>
  <c r="W490" i="1"/>
  <c r="W489" i="1"/>
  <c r="U490" i="1"/>
  <c r="U489" i="1"/>
  <c r="S490" i="1"/>
  <c r="S489" i="1"/>
  <c r="Q490" i="1"/>
  <c r="Q489" i="1"/>
  <c r="O490" i="1"/>
  <c r="O489" i="1"/>
  <c r="F662" i="1" l="1"/>
  <c r="V662" i="1" s="1"/>
  <c r="W497" i="1" l="1"/>
  <c r="U497" i="1"/>
  <c r="S497" i="1"/>
  <c r="Q497" i="1"/>
  <c r="O497" i="1"/>
  <c r="M497" i="1"/>
  <c r="W225" i="1" l="1"/>
  <c r="U225" i="1"/>
  <c r="S225" i="1"/>
  <c r="Q225" i="1"/>
  <c r="O225" i="1"/>
  <c r="I361" i="1" l="1"/>
  <c r="U574" i="1" l="1"/>
  <c r="S574" i="1" l="1"/>
  <c r="G574" i="1"/>
  <c r="K574" i="1"/>
  <c r="W574" i="1"/>
  <c r="M574" i="1"/>
  <c r="O574" i="1"/>
  <c r="Q574" i="1"/>
  <c r="I574" i="1"/>
  <c r="G183" i="1" l="1"/>
  <c r="W117" i="1"/>
  <c r="U117" i="1"/>
  <c r="S117" i="1"/>
  <c r="Q117" i="1"/>
  <c r="O117" i="1"/>
  <c r="W116" i="1"/>
  <c r="U116" i="1"/>
  <c r="S116" i="1"/>
  <c r="Q116" i="1"/>
  <c r="O116" i="1"/>
  <c r="W115" i="1"/>
  <c r="W114" i="1"/>
  <c r="W113" i="1"/>
  <c r="W112" i="1"/>
  <c r="U115" i="1"/>
  <c r="U114" i="1"/>
  <c r="U113" i="1"/>
  <c r="U112" i="1"/>
  <c r="S115" i="1"/>
  <c r="S114" i="1"/>
  <c r="S113" i="1"/>
  <c r="S112" i="1"/>
  <c r="Q115" i="1"/>
  <c r="Q114" i="1"/>
  <c r="Q113" i="1"/>
  <c r="Q112" i="1"/>
  <c r="O115" i="1"/>
  <c r="O114" i="1"/>
  <c r="O113" i="1"/>
  <c r="O112" i="1"/>
  <c r="W24" i="1" l="1"/>
  <c r="F216" i="1" l="1"/>
  <c r="T216" i="1" l="1"/>
  <c r="U216" i="1" s="1"/>
  <c r="V216" i="1"/>
  <c r="W216" i="1" s="1"/>
  <c r="P216" i="1"/>
  <c r="Q216" i="1" s="1"/>
  <c r="R216" i="1"/>
  <c r="S216" i="1" s="1"/>
  <c r="N216" i="1"/>
  <c r="O216" i="1" s="1"/>
  <c r="L216" i="1"/>
  <c r="M216" i="1" s="1"/>
  <c r="F485" i="1"/>
  <c r="P485" i="1" s="1"/>
  <c r="Q485" i="1" s="1"/>
  <c r="R485" i="1" l="1"/>
  <c r="S485" i="1" s="1"/>
  <c r="T485" i="1"/>
  <c r="U485" i="1" s="1"/>
  <c r="V485" i="1"/>
  <c r="W485" i="1" s="1"/>
  <c r="G485" i="1"/>
  <c r="N485" i="1"/>
  <c r="O485" i="1" s="1"/>
  <c r="F228" i="1" l="1"/>
  <c r="L228" i="1" l="1"/>
  <c r="M228" i="1" s="1"/>
  <c r="N228" i="1"/>
  <c r="O228" i="1" s="1"/>
  <c r="J228" i="1"/>
  <c r="K228" i="1" s="1"/>
  <c r="P228" i="1"/>
  <c r="Q228" i="1" s="1"/>
  <c r="V228" i="1"/>
  <c r="W228" i="1" s="1"/>
  <c r="T228" i="1"/>
  <c r="U228" i="1" s="1"/>
  <c r="R228" i="1"/>
  <c r="S228" i="1" s="1"/>
  <c r="G228" i="1"/>
  <c r="H703" i="1"/>
  <c r="H700" i="1"/>
  <c r="H698" i="1"/>
  <c r="I698" i="1" s="1"/>
  <c r="G250" i="1"/>
  <c r="F484" i="1"/>
  <c r="P484" i="1" s="1"/>
  <c r="Q484" i="1" s="1"/>
  <c r="F483" i="1"/>
  <c r="N483" i="1" s="1"/>
  <c r="O483" i="1" s="1"/>
  <c r="F482" i="1"/>
  <c r="V482" i="1" s="1"/>
  <c r="W482" i="1" s="1"/>
  <c r="F481" i="1"/>
  <c r="V481" i="1" s="1"/>
  <c r="W481" i="1" s="1"/>
  <c r="F480" i="1"/>
  <c r="N480" i="1" s="1"/>
  <c r="O480" i="1" s="1"/>
  <c r="F474" i="1"/>
  <c r="G474" i="1" s="1"/>
  <c r="G625" i="1"/>
  <c r="N625" i="1"/>
  <c r="O625" i="1" s="1"/>
  <c r="J698" i="1" l="1"/>
  <c r="K698" i="1" s="1"/>
  <c r="L698" i="1"/>
  <c r="M698" i="1" s="1"/>
  <c r="N698" i="1"/>
  <c r="O698" i="1" s="1"/>
  <c r="T698" i="1"/>
  <c r="U698" i="1" s="1"/>
  <c r="P698" i="1"/>
  <c r="Q698" i="1" s="1"/>
  <c r="R698" i="1"/>
  <c r="S698" i="1" s="1"/>
  <c r="V698" i="1"/>
  <c r="W698" i="1" s="1"/>
  <c r="G484" i="1"/>
  <c r="R484" i="1"/>
  <c r="S484" i="1" s="1"/>
  <c r="T484" i="1"/>
  <c r="U484" i="1" s="1"/>
  <c r="V484" i="1"/>
  <c r="W484" i="1" s="1"/>
  <c r="N484" i="1"/>
  <c r="O484" i="1" s="1"/>
  <c r="N474" i="1"/>
  <c r="O474" i="1" s="1"/>
  <c r="R474" i="1"/>
  <c r="S474" i="1" s="1"/>
  <c r="V474" i="1"/>
  <c r="W474" i="1" s="1"/>
  <c r="P474" i="1"/>
  <c r="Q474" i="1" s="1"/>
  <c r="T474" i="1"/>
  <c r="U474" i="1" s="1"/>
  <c r="P483" i="1"/>
  <c r="Q483" i="1" s="1"/>
  <c r="R483" i="1"/>
  <c r="S483" i="1" s="1"/>
  <c r="V483" i="1"/>
  <c r="W483" i="1" s="1"/>
  <c r="G483" i="1"/>
  <c r="T483" i="1"/>
  <c r="U483" i="1" s="1"/>
  <c r="R482" i="1"/>
  <c r="S482" i="1" s="1"/>
  <c r="P482" i="1"/>
  <c r="Q482" i="1" s="1"/>
  <c r="N482" i="1"/>
  <c r="O482" i="1" s="1"/>
  <c r="T482" i="1"/>
  <c r="U482" i="1" s="1"/>
  <c r="G482" i="1"/>
  <c r="T481" i="1"/>
  <c r="U481" i="1" s="1"/>
  <c r="G481" i="1"/>
  <c r="N481" i="1"/>
  <c r="O481" i="1" s="1"/>
  <c r="P481" i="1"/>
  <c r="Q481" i="1" s="1"/>
  <c r="R481" i="1"/>
  <c r="S481" i="1" s="1"/>
  <c r="G480" i="1"/>
  <c r="P480" i="1"/>
  <c r="Q480" i="1" s="1"/>
  <c r="R480" i="1"/>
  <c r="S480" i="1" s="1"/>
  <c r="T480" i="1"/>
  <c r="U480" i="1" s="1"/>
  <c r="V480" i="1"/>
  <c r="W480" i="1" s="1"/>
  <c r="R625" i="1"/>
  <c r="S625" i="1" s="1"/>
  <c r="T625" i="1"/>
  <c r="U625" i="1" s="1"/>
  <c r="W625" i="1"/>
  <c r="P625" i="1"/>
  <c r="Q625" i="1" s="1"/>
  <c r="W683" i="1"/>
  <c r="T683" i="1"/>
  <c r="U683" i="1" s="1"/>
  <c r="R683" i="1"/>
  <c r="S683" i="1" s="1"/>
  <c r="P683" i="1"/>
  <c r="Q683" i="1" s="1"/>
  <c r="N683" i="1"/>
  <c r="O683" i="1" s="1"/>
  <c r="L683" i="1"/>
  <c r="M683" i="1" s="1"/>
  <c r="G683" i="1"/>
  <c r="W682" i="1"/>
  <c r="T682" i="1"/>
  <c r="U682" i="1" s="1"/>
  <c r="R682" i="1"/>
  <c r="S682" i="1" s="1"/>
  <c r="P682" i="1"/>
  <c r="Q682" i="1" s="1"/>
  <c r="N682" i="1"/>
  <c r="O682" i="1" s="1"/>
  <c r="L682" i="1"/>
  <c r="M682" i="1" s="1"/>
  <c r="G682" i="1"/>
  <c r="W680" i="1"/>
  <c r="T680" i="1"/>
  <c r="U680" i="1" s="1"/>
  <c r="R680" i="1"/>
  <c r="S680" i="1" s="1"/>
  <c r="P680" i="1"/>
  <c r="Q680" i="1" s="1"/>
  <c r="N680" i="1"/>
  <c r="O680" i="1" s="1"/>
  <c r="L680" i="1"/>
  <c r="M680" i="1" s="1"/>
  <c r="G680" i="1"/>
  <c r="W679" i="1"/>
  <c r="T679" i="1"/>
  <c r="U679" i="1" s="1"/>
  <c r="R679" i="1"/>
  <c r="S679" i="1" s="1"/>
  <c r="P679" i="1"/>
  <c r="Q679" i="1" s="1"/>
  <c r="N679" i="1"/>
  <c r="O679" i="1" s="1"/>
  <c r="L679" i="1"/>
  <c r="M679" i="1" s="1"/>
  <c r="G679" i="1"/>
  <c r="W678" i="1"/>
  <c r="T678" i="1"/>
  <c r="U678" i="1" s="1"/>
  <c r="R678" i="1"/>
  <c r="S678" i="1" s="1"/>
  <c r="P678" i="1"/>
  <c r="Q678" i="1" s="1"/>
  <c r="N678" i="1"/>
  <c r="O678" i="1" s="1"/>
  <c r="G678" i="1"/>
  <c r="F620" i="1" l="1"/>
  <c r="V620" i="1" s="1"/>
  <c r="F464" i="1"/>
  <c r="F461" i="1"/>
  <c r="F456" i="1"/>
  <c r="F442" i="1"/>
  <c r="F440" i="1"/>
  <c r="F436" i="1"/>
  <c r="F432" i="1"/>
  <c r="F400" i="1"/>
  <c r="F304" i="1"/>
  <c r="F62" i="1"/>
  <c r="F298" i="1"/>
  <c r="F285" i="1"/>
  <c r="F274" i="1"/>
  <c r="F270" i="1"/>
  <c r="F268" i="1"/>
  <c r="F259" i="1"/>
  <c r="F214" i="1"/>
  <c r="F215" i="1"/>
  <c r="F154" i="1"/>
  <c r="F388" i="1"/>
  <c r="F387" i="1"/>
  <c r="F379" i="1"/>
  <c r="F378" i="1"/>
  <c r="F377" i="1"/>
  <c r="F363" i="1"/>
  <c r="F368" i="1"/>
  <c r="F309" i="1"/>
  <c r="G311" i="1"/>
  <c r="T154" i="1" l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H154" i="1"/>
  <c r="I154" i="1" s="1"/>
  <c r="V154" i="1"/>
  <c r="W154" i="1" s="1"/>
  <c r="T363" i="1"/>
  <c r="U363" i="1" s="1"/>
  <c r="R363" i="1"/>
  <c r="S363" i="1" s="1"/>
  <c r="P363" i="1"/>
  <c r="Q363" i="1" s="1"/>
  <c r="N363" i="1"/>
  <c r="O363" i="1" s="1"/>
  <c r="L363" i="1"/>
  <c r="M363" i="1" s="1"/>
  <c r="V363" i="1"/>
  <c r="W363" i="1" s="1"/>
  <c r="V309" i="1"/>
  <c r="T309" i="1"/>
  <c r="R309" i="1"/>
  <c r="P309" i="1"/>
  <c r="N309" i="1"/>
  <c r="L309" i="1"/>
  <c r="J309" i="1"/>
  <c r="H309" i="1"/>
  <c r="J62" i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T432" i="1"/>
  <c r="U432" i="1" s="1"/>
  <c r="R432" i="1"/>
  <c r="S432" i="1" s="1"/>
  <c r="V432" i="1"/>
  <c r="W432" i="1" s="1"/>
  <c r="L432" i="1"/>
  <c r="M432" i="1" s="1"/>
  <c r="N432" i="1"/>
  <c r="O432" i="1" s="1"/>
  <c r="P432" i="1"/>
  <c r="Q432" i="1" s="1"/>
  <c r="T388" i="1"/>
  <c r="U388" i="1" s="1"/>
  <c r="R388" i="1"/>
  <c r="S388" i="1" s="1"/>
  <c r="P388" i="1"/>
  <c r="Q388" i="1" s="1"/>
  <c r="N388" i="1"/>
  <c r="O388" i="1" s="1"/>
  <c r="L388" i="1"/>
  <c r="M388" i="1" s="1"/>
  <c r="V388" i="1"/>
  <c r="W388" i="1" s="1"/>
  <c r="V268" i="1"/>
  <c r="W268" i="1" s="1"/>
  <c r="J268" i="1"/>
  <c r="K268" i="1" s="1"/>
  <c r="H268" i="1"/>
  <c r="I268" i="1" s="1"/>
  <c r="L268" i="1"/>
  <c r="M268" i="1" s="1"/>
  <c r="N268" i="1"/>
  <c r="O268" i="1" s="1"/>
  <c r="P268" i="1"/>
  <c r="Q268" i="1" s="1"/>
  <c r="R268" i="1"/>
  <c r="S268" i="1" s="1"/>
  <c r="T268" i="1"/>
  <c r="U268" i="1" s="1"/>
  <c r="P378" i="1"/>
  <c r="Q378" i="1" s="1"/>
  <c r="N378" i="1"/>
  <c r="O378" i="1" s="1"/>
  <c r="L378" i="1"/>
  <c r="M378" i="1" s="1"/>
  <c r="T378" i="1"/>
  <c r="U378" i="1" s="1"/>
  <c r="V378" i="1"/>
  <c r="W378" i="1" s="1"/>
  <c r="R378" i="1"/>
  <c r="S378" i="1" s="1"/>
  <c r="T387" i="1"/>
  <c r="U387" i="1" s="1"/>
  <c r="R387" i="1"/>
  <c r="S387" i="1" s="1"/>
  <c r="P387" i="1"/>
  <c r="Q387" i="1" s="1"/>
  <c r="N387" i="1"/>
  <c r="O387" i="1" s="1"/>
  <c r="L387" i="1"/>
  <c r="M387" i="1" s="1"/>
  <c r="T440" i="1"/>
  <c r="U440" i="1" s="1"/>
  <c r="V440" i="1"/>
  <c r="W440" i="1" s="1"/>
  <c r="L440" i="1"/>
  <c r="M440" i="1" s="1"/>
  <c r="N440" i="1"/>
  <c r="O440" i="1" s="1"/>
  <c r="R440" i="1"/>
  <c r="S440" i="1" s="1"/>
  <c r="P440" i="1"/>
  <c r="Q440" i="1" s="1"/>
  <c r="R259" i="1"/>
  <c r="S259" i="1" s="1"/>
  <c r="N259" i="1"/>
  <c r="O259" i="1" s="1"/>
  <c r="L259" i="1"/>
  <c r="M259" i="1" s="1"/>
  <c r="J259" i="1"/>
  <c r="K259" i="1" s="1"/>
  <c r="V259" i="1"/>
  <c r="W259" i="1" s="1"/>
  <c r="T259" i="1"/>
  <c r="U259" i="1" s="1"/>
  <c r="P259" i="1"/>
  <c r="Q259" i="1" s="1"/>
  <c r="L461" i="1"/>
  <c r="M461" i="1" s="1"/>
  <c r="J461" i="1"/>
  <c r="K461" i="1" s="1"/>
  <c r="H461" i="1"/>
  <c r="I461" i="1" s="1"/>
  <c r="P461" i="1"/>
  <c r="Q461" i="1" s="1"/>
  <c r="N461" i="1"/>
  <c r="O461" i="1" s="1"/>
  <c r="V461" i="1"/>
  <c r="W461" i="1" s="1"/>
  <c r="T461" i="1"/>
  <c r="U461" i="1" s="1"/>
  <c r="R461" i="1"/>
  <c r="S461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P400" i="1"/>
  <c r="Q400" i="1" s="1"/>
  <c r="N400" i="1"/>
  <c r="O400" i="1" s="1"/>
  <c r="T400" i="1"/>
  <c r="U400" i="1" s="1"/>
  <c r="L400" i="1"/>
  <c r="M400" i="1" s="1"/>
  <c r="V400" i="1"/>
  <c r="W400" i="1" s="1"/>
  <c r="R400" i="1"/>
  <c r="S400" i="1" s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L442" i="1"/>
  <c r="M442" i="1" s="1"/>
  <c r="N442" i="1"/>
  <c r="O442" i="1" s="1"/>
  <c r="P442" i="1"/>
  <c r="Q442" i="1" s="1"/>
  <c r="R442" i="1"/>
  <c r="S442" i="1" s="1"/>
  <c r="T442" i="1"/>
  <c r="U442" i="1" s="1"/>
  <c r="V442" i="1"/>
  <c r="W442" i="1" s="1"/>
  <c r="V274" i="1"/>
  <c r="W274" i="1" s="1"/>
  <c r="J274" i="1"/>
  <c r="K274" i="1" s="1"/>
  <c r="L274" i="1"/>
  <c r="M274" i="1" s="1"/>
  <c r="N274" i="1"/>
  <c r="O274" i="1" s="1"/>
  <c r="P274" i="1"/>
  <c r="Q274" i="1" s="1"/>
  <c r="R274" i="1"/>
  <c r="S274" i="1" s="1"/>
  <c r="H274" i="1"/>
  <c r="I274" i="1" s="1"/>
  <c r="T274" i="1"/>
  <c r="U274" i="1" s="1"/>
  <c r="T464" i="1"/>
  <c r="U464" i="1" s="1"/>
  <c r="R464" i="1"/>
  <c r="S464" i="1" s="1"/>
  <c r="P464" i="1"/>
  <c r="Q464" i="1" s="1"/>
  <c r="V464" i="1"/>
  <c r="W464" i="1" s="1"/>
  <c r="N464" i="1"/>
  <c r="O464" i="1" s="1"/>
  <c r="L464" i="1"/>
  <c r="M464" i="1" s="1"/>
  <c r="J464" i="1"/>
  <c r="K464" i="1" s="1"/>
  <c r="H464" i="1"/>
  <c r="I464" i="1" s="1"/>
  <c r="R298" i="1"/>
  <c r="S298" i="1" s="1"/>
  <c r="N298" i="1"/>
  <c r="O298" i="1" s="1"/>
  <c r="P298" i="1"/>
  <c r="Q298" i="1" s="1"/>
  <c r="L298" i="1"/>
  <c r="M298" i="1" s="1"/>
  <c r="J298" i="1"/>
  <c r="K298" i="1" s="1"/>
  <c r="H298" i="1"/>
  <c r="I298" i="1" s="1"/>
  <c r="V298" i="1"/>
  <c r="W298" i="1" s="1"/>
  <c r="T298" i="1"/>
  <c r="U298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4" i="1"/>
  <c r="W304" i="1" s="1"/>
  <c r="T304" i="1"/>
  <c r="U304" i="1" s="1"/>
  <c r="P215" i="1"/>
  <c r="Q215" i="1" s="1"/>
  <c r="L215" i="1"/>
  <c r="M215" i="1" s="1"/>
  <c r="N215" i="1"/>
  <c r="O215" i="1" s="1"/>
  <c r="V215" i="1"/>
  <c r="W215" i="1" s="1"/>
  <c r="T215" i="1"/>
  <c r="U215" i="1" s="1"/>
  <c r="R215" i="1"/>
  <c r="S215" i="1" s="1"/>
  <c r="T436" i="1"/>
  <c r="U436" i="1" s="1"/>
  <c r="V436" i="1"/>
  <c r="W436" i="1" s="1"/>
  <c r="L436" i="1"/>
  <c r="M436" i="1" s="1"/>
  <c r="R436" i="1"/>
  <c r="S436" i="1" s="1"/>
  <c r="N436" i="1"/>
  <c r="O436" i="1" s="1"/>
  <c r="P436" i="1"/>
  <c r="Q436" i="1" s="1"/>
  <c r="R456" i="1"/>
  <c r="N456" i="1"/>
  <c r="L456" i="1"/>
  <c r="J456" i="1"/>
  <c r="H456" i="1"/>
  <c r="V456" i="1"/>
  <c r="T456" i="1"/>
  <c r="P456" i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270" i="1"/>
  <c r="W270" i="1" s="1"/>
  <c r="J270" i="1"/>
  <c r="K270" i="1" s="1"/>
  <c r="L270" i="1"/>
  <c r="M270" i="1" s="1"/>
  <c r="N270" i="1"/>
  <c r="O270" i="1" s="1"/>
  <c r="P270" i="1"/>
  <c r="Q270" i="1" s="1"/>
  <c r="R270" i="1"/>
  <c r="S270" i="1" s="1"/>
  <c r="T270" i="1"/>
  <c r="U270" i="1" s="1"/>
  <c r="H270" i="1"/>
  <c r="I270" i="1" s="1"/>
  <c r="R377" i="1"/>
  <c r="S377" i="1" s="1"/>
  <c r="P377" i="1"/>
  <c r="Q377" i="1" s="1"/>
  <c r="N377" i="1"/>
  <c r="O377" i="1" s="1"/>
  <c r="L377" i="1"/>
  <c r="M377" i="1" s="1"/>
  <c r="R285" i="1"/>
  <c r="S285" i="1" s="1"/>
  <c r="N285" i="1"/>
  <c r="O285" i="1" s="1"/>
  <c r="L285" i="1"/>
  <c r="M285" i="1" s="1"/>
  <c r="J285" i="1"/>
  <c r="K285" i="1" s="1"/>
  <c r="H285" i="1"/>
  <c r="I285" i="1" s="1"/>
  <c r="V285" i="1"/>
  <c r="W285" i="1" s="1"/>
  <c r="P285" i="1"/>
  <c r="Q285" i="1" s="1"/>
  <c r="T285" i="1"/>
  <c r="U285" i="1" s="1"/>
  <c r="M309" i="1"/>
  <c r="K309" i="1"/>
  <c r="W309" i="1"/>
  <c r="U309" i="1"/>
  <c r="S309" i="1"/>
  <c r="Q309" i="1"/>
  <c r="O309" i="1"/>
  <c r="I309" i="1"/>
  <c r="G309" i="1"/>
  <c r="G242" i="1" l="1"/>
  <c r="G179" i="1" l="1"/>
  <c r="G417" i="1" l="1"/>
  <c r="F425" i="1" l="1"/>
  <c r="F189" i="1"/>
  <c r="F186" i="1"/>
  <c r="F434" i="1"/>
  <c r="J189" i="1" l="1"/>
  <c r="K189" i="1" s="1"/>
  <c r="H189" i="1"/>
  <c r="I189" i="1" s="1"/>
  <c r="V189" i="1"/>
  <c r="W189" i="1" s="1"/>
  <c r="T189" i="1"/>
  <c r="U189" i="1" s="1"/>
  <c r="R189" i="1"/>
  <c r="S189" i="1" s="1"/>
  <c r="P189" i="1"/>
  <c r="Q189" i="1" s="1"/>
  <c r="L189" i="1"/>
  <c r="M189" i="1" s="1"/>
  <c r="N189" i="1"/>
  <c r="O189" i="1" s="1"/>
  <c r="L434" i="1"/>
  <c r="M434" i="1" s="1"/>
  <c r="N434" i="1"/>
  <c r="O434" i="1" s="1"/>
  <c r="P434" i="1"/>
  <c r="Q434" i="1" s="1"/>
  <c r="R434" i="1"/>
  <c r="S434" i="1" s="1"/>
  <c r="T434" i="1"/>
  <c r="U434" i="1" s="1"/>
  <c r="V434" i="1"/>
  <c r="W434" i="1" s="1"/>
  <c r="N186" i="1"/>
  <c r="O186" i="1" s="1"/>
  <c r="L186" i="1"/>
  <c r="M186" i="1" s="1"/>
  <c r="J186" i="1"/>
  <c r="K186" i="1" s="1"/>
  <c r="H186" i="1"/>
  <c r="I186" i="1" s="1"/>
  <c r="V186" i="1"/>
  <c r="W186" i="1" s="1"/>
  <c r="T186" i="1"/>
  <c r="U186" i="1" s="1"/>
  <c r="R186" i="1"/>
  <c r="S186" i="1" s="1"/>
  <c r="P186" i="1"/>
  <c r="Q186" i="1" s="1"/>
  <c r="V425" i="1"/>
  <c r="W425" i="1" s="1"/>
  <c r="L425" i="1"/>
  <c r="M425" i="1" s="1"/>
  <c r="N425" i="1"/>
  <c r="O425" i="1" s="1"/>
  <c r="P425" i="1"/>
  <c r="Q425" i="1" s="1"/>
  <c r="R425" i="1"/>
  <c r="S425" i="1" s="1"/>
  <c r="T425" i="1"/>
  <c r="U425" i="1" s="1"/>
  <c r="F312" i="1"/>
  <c r="J312" i="1" s="1"/>
  <c r="K312" i="1" s="1"/>
  <c r="G344" i="1" l="1"/>
  <c r="G312" i="1"/>
  <c r="L312" i="1"/>
  <c r="M312" i="1" s="1"/>
  <c r="N312" i="1"/>
  <c r="O312" i="1" s="1"/>
  <c r="P312" i="1"/>
  <c r="Q312" i="1" s="1"/>
  <c r="V312" i="1"/>
  <c r="W312" i="1" s="1"/>
  <c r="R312" i="1"/>
  <c r="S312" i="1" s="1"/>
  <c r="H312" i="1"/>
  <c r="I312" i="1" s="1"/>
  <c r="T312" i="1"/>
  <c r="U312" i="1" s="1"/>
  <c r="P689" i="1" l="1"/>
  <c r="Q689" i="1" s="1"/>
  <c r="F273" i="1"/>
  <c r="V273" i="1" l="1"/>
  <c r="W273" i="1" s="1"/>
  <c r="J273" i="1"/>
  <c r="K273" i="1" s="1"/>
  <c r="L273" i="1"/>
  <c r="M273" i="1" s="1"/>
  <c r="N273" i="1"/>
  <c r="O273" i="1" s="1"/>
  <c r="H273" i="1"/>
  <c r="I273" i="1" s="1"/>
  <c r="P273" i="1"/>
  <c r="Q273" i="1" s="1"/>
  <c r="R273" i="1"/>
  <c r="S273" i="1" s="1"/>
  <c r="T273" i="1"/>
  <c r="U273" i="1" s="1"/>
  <c r="G689" i="1"/>
  <c r="H689" i="1"/>
  <c r="I689" i="1" s="1"/>
  <c r="J689" i="1"/>
  <c r="K689" i="1" s="1"/>
  <c r="L689" i="1"/>
  <c r="M689" i="1" s="1"/>
  <c r="R689" i="1"/>
  <c r="S689" i="1" s="1"/>
  <c r="T689" i="1"/>
  <c r="U689" i="1" s="1"/>
  <c r="W689" i="1"/>
  <c r="N689" i="1"/>
  <c r="O689" i="1" s="1"/>
  <c r="G349" i="1"/>
  <c r="G348" i="1"/>
  <c r="G310" i="1"/>
  <c r="G359" i="1" l="1"/>
  <c r="J665" i="1" l="1"/>
  <c r="J668" i="1"/>
  <c r="J669" i="1"/>
  <c r="J670" i="1"/>
  <c r="J671" i="1"/>
  <c r="J672" i="1"/>
  <c r="J666" i="1"/>
  <c r="J644" i="1"/>
  <c r="J645" i="1"/>
  <c r="J646" i="1"/>
  <c r="J647" i="1"/>
  <c r="J653" i="1"/>
  <c r="J656" i="1"/>
  <c r="J657" i="1"/>
  <c r="J658" i="1"/>
  <c r="J660" i="1"/>
  <c r="J661" i="1"/>
  <c r="J662" i="1"/>
  <c r="J663" i="1"/>
  <c r="J664" i="1"/>
  <c r="J642" i="1"/>
  <c r="K642" i="1" s="1"/>
  <c r="J641" i="1"/>
  <c r="J634" i="1"/>
  <c r="J633" i="1"/>
  <c r="J632" i="1"/>
  <c r="J631" i="1"/>
  <c r="G357" i="1" l="1"/>
  <c r="F426" i="1"/>
  <c r="L426" i="1" l="1"/>
  <c r="M426" i="1" s="1"/>
  <c r="N426" i="1"/>
  <c r="O426" i="1" s="1"/>
  <c r="P426" i="1"/>
  <c r="Q426" i="1" s="1"/>
  <c r="R426" i="1"/>
  <c r="S426" i="1" s="1"/>
  <c r="T426" i="1"/>
  <c r="U426" i="1" s="1"/>
  <c r="V426" i="1"/>
  <c r="W426" i="1" s="1"/>
  <c r="F758" i="1"/>
  <c r="R761" i="1"/>
  <c r="T491" i="1"/>
  <c r="R491" i="1"/>
  <c r="L491" i="1"/>
  <c r="R758" i="1" l="1"/>
  <c r="S758" i="1" s="1"/>
  <c r="P758" i="1"/>
  <c r="Q758" i="1" s="1"/>
  <c r="N758" i="1"/>
  <c r="O758" i="1" s="1"/>
  <c r="H758" i="1"/>
  <c r="I758" i="1" s="1"/>
  <c r="V758" i="1"/>
  <c r="W758" i="1" s="1"/>
  <c r="T758" i="1"/>
  <c r="U758" i="1" s="1"/>
  <c r="J761" i="1"/>
  <c r="K761" i="1" s="1"/>
  <c r="L761" i="1"/>
  <c r="M761" i="1" s="1"/>
  <c r="N761" i="1"/>
  <c r="O761" i="1" s="1"/>
  <c r="P761" i="1"/>
  <c r="Q761" i="1" s="1"/>
  <c r="H761" i="1"/>
  <c r="I761" i="1" s="1"/>
  <c r="V761" i="1"/>
  <c r="W761" i="1" s="1"/>
  <c r="T761" i="1"/>
  <c r="U761" i="1" s="1"/>
  <c r="L758" i="1"/>
  <c r="M758" i="1" s="1"/>
  <c r="G758" i="1"/>
  <c r="J758" i="1"/>
  <c r="K758" i="1" s="1"/>
  <c r="G761" i="1"/>
  <c r="S761" i="1"/>
  <c r="G517" i="1"/>
  <c r="G505" i="1" l="1"/>
  <c r="I505" i="1"/>
  <c r="G509" i="1"/>
  <c r="G519" i="1" l="1"/>
  <c r="G512" i="1"/>
  <c r="T630" i="1"/>
  <c r="U630" i="1" s="1"/>
  <c r="F346" i="1"/>
  <c r="N346" i="1" l="1"/>
  <c r="O346" i="1" s="1"/>
  <c r="L346" i="1"/>
  <c r="M346" i="1" s="1"/>
  <c r="J346" i="1"/>
  <c r="K346" i="1" s="1"/>
  <c r="H346" i="1"/>
  <c r="I346" i="1" s="1"/>
  <c r="T346" i="1"/>
  <c r="U346" i="1" s="1"/>
  <c r="V346" i="1"/>
  <c r="W346" i="1" s="1"/>
  <c r="R346" i="1"/>
  <c r="S346" i="1" s="1"/>
  <c r="P346" i="1"/>
  <c r="Q346" i="1" s="1"/>
  <c r="W630" i="1"/>
  <c r="G630" i="1"/>
  <c r="L630" i="1"/>
  <c r="M630" i="1" s="1"/>
  <c r="N630" i="1"/>
  <c r="O630" i="1" s="1"/>
  <c r="P630" i="1"/>
  <c r="Q630" i="1" s="1"/>
  <c r="R630" i="1"/>
  <c r="S630" i="1" s="1"/>
  <c r="G346" i="1"/>
  <c r="V491" i="1" l="1"/>
  <c r="P491" i="1"/>
  <c r="N491" i="1"/>
  <c r="O491" i="1" s="1"/>
  <c r="T496" i="1"/>
  <c r="U496" i="1" s="1"/>
  <c r="R496" i="1"/>
  <c r="S496" i="1" s="1"/>
  <c r="P496" i="1"/>
  <c r="Q496" i="1" s="1"/>
  <c r="N496" i="1"/>
  <c r="O496" i="1" s="1"/>
  <c r="L496" i="1"/>
  <c r="M496" i="1" s="1"/>
  <c r="T495" i="1"/>
  <c r="U495" i="1" s="1"/>
  <c r="R495" i="1"/>
  <c r="S495" i="1" s="1"/>
  <c r="P495" i="1"/>
  <c r="Q495" i="1" s="1"/>
  <c r="N495" i="1"/>
  <c r="O495" i="1" s="1"/>
  <c r="L495" i="1"/>
  <c r="M495" i="1" s="1"/>
  <c r="T494" i="1"/>
  <c r="U494" i="1" s="1"/>
  <c r="R494" i="1"/>
  <c r="S494" i="1" s="1"/>
  <c r="P494" i="1"/>
  <c r="Q494" i="1" s="1"/>
  <c r="N494" i="1"/>
  <c r="O494" i="1" s="1"/>
  <c r="L494" i="1"/>
  <c r="M494" i="1" s="1"/>
  <c r="T493" i="1"/>
  <c r="R493" i="1"/>
  <c r="P493" i="1"/>
  <c r="N493" i="1"/>
  <c r="L493" i="1"/>
  <c r="G351" i="1" l="1"/>
  <c r="G508" i="1"/>
  <c r="G516" i="1" l="1"/>
  <c r="G510" i="1"/>
  <c r="G229" i="1" l="1"/>
  <c r="V707" i="1" l="1"/>
  <c r="W707" i="1" s="1"/>
  <c r="T707" i="1"/>
  <c r="U707" i="1" s="1"/>
  <c r="R707" i="1"/>
  <c r="S707" i="1" s="1"/>
  <c r="P707" i="1"/>
  <c r="Q707" i="1" s="1"/>
  <c r="N707" i="1"/>
  <c r="O707" i="1" s="1"/>
  <c r="L707" i="1"/>
  <c r="M707" i="1" s="1"/>
  <c r="G16" i="1"/>
  <c r="F366" i="1" l="1"/>
  <c r="N681" i="1" l="1"/>
  <c r="O681" i="1" s="1"/>
  <c r="J681" i="1"/>
  <c r="W681" i="1"/>
  <c r="K681" i="1"/>
  <c r="L681" i="1"/>
  <c r="M681" i="1" s="1"/>
  <c r="P681" i="1"/>
  <c r="Q681" i="1" s="1"/>
  <c r="R681" i="1"/>
  <c r="S681" i="1" s="1"/>
  <c r="G681" i="1"/>
  <c r="H681" i="1"/>
  <c r="I681" i="1" s="1"/>
  <c r="T681" i="1"/>
  <c r="U681" i="1" s="1"/>
  <c r="G266" i="1"/>
  <c r="G120" i="1"/>
  <c r="G119" i="1"/>
  <c r="G118" i="1"/>
  <c r="F667" i="1" l="1"/>
  <c r="J673" i="1"/>
  <c r="F675" i="1"/>
  <c r="J643" i="1"/>
  <c r="J624" i="1"/>
  <c r="J635" i="1"/>
  <c r="J620" i="1"/>
  <c r="J675" i="1" l="1"/>
  <c r="V675" i="1"/>
  <c r="J667" i="1"/>
  <c r="V667" i="1"/>
  <c r="M135" i="1"/>
  <c r="G431" i="1" l="1"/>
  <c r="G61" i="1" l="1"/>
  <c r="V697" i="1" l="1"/>
  <c r="W697" i="1" s="1"/>
  <c r="T697" i="1"/>
  <c r="U697" i="1" s="1"/>
  <c r="R697" i="1"/>
  <c r="S697" i="1" s="1"/>
  <c r="P697" i="1"/>
  <c r="Q697" i="1" s="1"/>
  <c r="N697" i="1"/>
  <c r="O697" i="1" s="1"/>
  <c r="L697" i="1"/>
  <c r="M697" i="1" s="1"/>
  <c r="J697" i="1"/>
  <c r="K697" i="1" s="1"/>
  <c r="V313" i="1" l="1"/>
  <c r="W313" i="1" s="1"/>
  <c r="L313" i="1" l="1"/>
  <c r="M313" i="1" s="1"/>
  <c r="R313" i="1"/>
  <c r="S313" i="1" s="1"/>
  <c r="T313" i="1"/>
  <c r="U313" i="1" s="1"/>
  <c r="N313" i="1"/>
  <c r="O313" i="1" s="1"/>
  <c r="G313" i="1"/>
  <c r="P313" i="1"/>
  <c r="Q313" i="1" s="1"/>
  <c r="J313" i="1"/>
  <c r="K313" i="1" s="1"/>
  <c r="F554" i="1" l="1"/>
  <c r="F217" i="1"/>
  <c r="F192" i="1"/>
  <c r="H192" i="1" s="1"/>
  <c r="F190" i="1"/>
  <c r="N554" i="1" l="1"/>
  <c r="O554" i="1" s="1"/>
  <c r="L554" i="1"/>
  <c r="M554" i="1" s="1"/>
  <c r="J554" i="1"/>
  <c r="K554" i="1" s="1"/>
  <c r="T554" i="1"/>
  <c r="U554" i="1" s="1"/>
  <c r="P554" i="1"/>
  <c r="Q554" i="1" s="1"/>
  <c r="V554" i="1"/>
  <c r="W554" i="1" s="1"/>
  <c r="H554" i="1"/>
  <c r="R554" i="1"/>
  <c r="S554" i="1" s="1"/>
  <c r="R190" i="1"/>
  <c r="S190" i="1" s="1"/>
  <c r="P190" i="1"/>
  <c r="Q190" i="1" s="1"/>
  <c r="L190" i="1"/>
  <c r="M190" i="1" s="1"/>
  <c r="J190" i="1"/>
  <c r="K190" i="1" s="1"/>
  <c r="H190" i="1"/>
  <c r="I190" i="1" s="1"/>
  <c r="V190" i="1"/>
  <c r="W190" i="1" s="1"/>
  <c r="T190" i="1"/>
  <c r="U190" i="1" s="1"/>
  <c r="N190" i="1"/>
  <c r="O190" i="1" s="1"/>
  <c r="T217" i="1"/>
  <c r="U217" i="1" s="1"/>
  <c r="P217" i="1"/>
  <c r="Q217" i="1" s="1"/>
  <c r="J217" i="1"/>
  <c r="K217" i="1" s="1"/>
  <c r="V217" i="1"/>
  <c r="W217" i="1" s="1"/>
  <c r="N217" i="1"/>
  <c r="O217" i="1" s="1"/>
  <c r="L217" i="1"/>
  <c r="M217" i="1" s="1"/>
  <c r="H217" i="1"/>
  <c r="I217" i="1" s="1"/>
  <c r="R217" i="1"/>
  <c r="S217" i="1" s="1"/>
  <c r="I192" i="1"/>
  <c r="G589" i="1" l="1"/>
  <c r="W641" i="1"/>
  <c r="N641" i="1" l="1"/>
  <c r="O641" i="1" s="1"/>
  <c r="P641" i="1"/>
  <c r="Q641" i="1" s="1"/>
  <c r="G641" i="1"/>
  <c r="H641" i="1"/>
  <c r="I641" i="1" s="1"/>
  <c r="T641" i="1"/>
  <c r="U641" i="1" s="1"/>
  <c r="L641" i="1"/>
  <c r="M641" i="1" s="1"/>
  <c r="R641" i="1"/>
  <c r="S641" i="1" s="1"/>
  <c r="K641" i="1"/>
  <c r="T665" i="1"/>
  <c r="H665" i="1" l="1"/>
  <c r="I665" i="1" s="1"/>
  <c r="K665" i="1"/>
  <c r="L665" i="1"/>
  <c r="R665" i="1"/>
  <c r="S665" i="1" s="1"/>
  <c r="U665" i="1"/>
  <c r="N665" i="1"/>
  <c r="O665" i="1" s="1"/>
  <c r="V665" i="1"/>
  <c r="W665" i="1" s="1"/>
  <c r="P665" i="1"/>
  <c r="Q665" i="1" s="1"/>
  <c r="M665" i="1"/>
  <c r="G665" i="1"/>
  <c r="G425" i="1" l="1"/>
  <c r="F293" i="1"/>
  <c r="T293" i="1" l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V293" i="1"/>
  <c r="W293" i="1" s="1"/>
  <c r="G528" i="1"/>
  <c r="G314" i="1"/>
  <c r="G15" i="1" l="1"/>
  <c r="G69" i="1" l="1"/>
  <c r="G343" i="1" l="1"/>
  <c r="W21" i="1" l="1"/>
  <c r="W20" i="1"/>
  <c r="G161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08" i="1"/>
  <c r="U108" i="1"/>
  <c r="S108" i="1"/>
  <c r="Q108" i="1"/>
  <c r="O108" i="1"/>
  <c r="W129" i="1"/>
  <c r="U129" i="1"/>
  <c r="S129" i="1"/>
  <c r="Q129" i="1"/>
  <c r="O129" i="1"/>
  <c r="M129" i="1"/>
  <c r="W124" i="1"/>
  <c r="U124" i="1"/>
  <c r="S124" i="1"/>
  <c r="Q124" i="1"/>
  <c r="O124" i="1"/>
  <c r="M124" i="1"/>
  <c r="O105" i="1"/>
  <c r="O104" i="1"/>
  <c r="V699" i="1" l="1"/>
  <c r="W699" i="1" s="1"/>
  <c r="T699" i="1"/>
  <c r="U699" i="1" s="1"/>
  <c r="R699" i="1"/>
  <c r="S699" i="1" s="1"/>
  <c r="P699" i="1"/>
  <c r="Q699" i="1" s="1"/>
  <c r="N699" i="1"/>
  <c r="O699" i="1" s="1"/>
  <c r="L699" i="1"/>
  <c r="M699" i="1" s="1"/>
  <c r="V706" i="1"/>
  <c r="W706" i="1" s="1"/>
  <c r="T706" i="1"/>
  <c r="U706" i="1" s="1"/>
  <c r="R706" i="1"/>
  <c r="S706" i="1" s="1"/>
  <c r="P706" i="1"/>
  <c r="Q706" i="1" s="1"/>
  <c r="N706" i="1"/>
  <c r="O706" i="1" s="1"/>
  <c r="L706" i="1"/>
  <c r="M706" i="1" s="1"/>
  <c r="J706" i="1"/>
  <c r="K706" i="1" s="1"/>
  <c r="V705" i="1"/>
  <c r="W705" i="1" s="1"/>
  <c r="T705" i="1"/>
  <c r="U705" i="1" s="1"/>
  <c r="R705" i="1"/>
  <c r="S705" i="1" s="1"/>
  <c r="P705" i="1"/>
  <c r="Q705" i="1" s="1"/>
  <c r="N705" i="1"/>
  <c r="O705" i="1" s="1"/>
  <c r="L705" i="1"/>
  <c r="M705" i="1" s="1"/>
  <c r="J705" i="1"/>
  <c r="K705" i="1" s="1"/>
  <c r="V704" i="1"/>
  <c r="W704" i="1" s="1"/>
  <c r="T704" i="1"/>
  <c r="U704" i="1" s="1"/>
  <c r="R704" i="1"/>
  <c r="S704" i="1" s="1"/>
  <c r="P704" i="1"/>
  <c r="Q704" i="1" s="1"/>
  <c r="N704" i="1"/>
  <c r="O704" i="1" s="1"/>
  <c r="L704" i="1"/>
  <c r="M704" i="1" s="1"/>
  <c r="J704" i="1"/>
  <c r="K704" i="1" s="1"/>
  <c r="V703" i="1"/>
  <c r="W703" i="1" s="1"/>
  <c r="T703" i="1"/>
  <c r="U703" i="1" s="1"/>
  <c r="R703" i="1"/>
  <c r="S703" i="1" s="1"/>
  <c r="P703" i="1"/>
  <c r="Q703" i="1" s="1"/>
  <c r="N703" i="1"/>
  <c r="O703" i="1" s="1"/>
  <c r="L703" i="1"/>
  <c r="M703" i="1" s="1"/>
  <c r="J703" i="1"/>
  <c r="K703" i="1" s="1"/>
  <c r="V702" i="1"/>
  <c r="W702" i="1" s="1"/>
  <c r="T702" i="1"/>
  <c r="U702" i="1" s="1"/>
  <c r="R702" i="1"/>
  <c r="S702" i="1" s="1"/>
  <c r="P702" i="1"/>
  <c r="Q702" i="1" s="1"/>
  <c r="N702" i="1"/>
  <c r="O702" i="1" s="1"/>
  <c r="L702" i="1"/>
  <c r="M702" i="1" s="1"/>
  <c r="J702" i="1"/>
  <c r="K702" i="1" s="1"/>
  <c r="V701" i="1"/>
  <c r="W701" i="1" s="1"/>
  <c r="T701" i="1"/>
  <c r="U701" i="1" s="1"/>
  <c r="R701" i="1"/>
  <c r="S701" i="1" s="1"/>
  <c r="P701" i="1"/>
  <c r="Q701" i="1" s="1"/>
  <c r="N701" i="1"/>
  <c r="O701" i="1" s="1"/>
  <c r="L701" i="1"/>
  <c r="M701" i="1" s="1"/>
  <c r="J701" i="1"/>
  <c r="K701" i="1" s="1"/>
  <c r="V700" i="1"/>
  <c r="W700" i="1" s="1"/>
  <c r="T700" i="1"/>
  <c r="U700" i="1" s="1"/>
  <c r="R700" i="1"/>
  <c r="S700" i="1" s="1"/>
  <c r="P700" i="1"/>
  <c r="Q700" i="1" s="1"/>
  <c r="N700" i="1"/>
  <c r="O700" i="1" s="1"/>
  <c r="L700" i="1"/>
  <c r="M700" i="1" s="1"/>
  <c r="J700" i="1"/>
  <c r="K700" i="1" s="1"/>
  <c r="T696" i="1"/>
  <c r="R696" i="1"/>
  <c r="P696" i="1"/>
  <c r="L696" i="1"/>
  <c r="V696" i="1"/>
  <c r="N696" i="1"/>
  <c r="J696" i="1"/>
  <c r="W767" i="1"/>
  <c r="U767" i="1"/>
  <c r="S767" i="1"/>
  <c r="Q767" i="1"/>
  <c r="O767" i="1"/>
  <c r="M767" i="1"/>
  <c r="V765" i="1"/>
  <c r="W765" i="1" s="1"/>
  <c r="T765" i="1"/>
  <c r="U765" i="1" s="1"/>
  <c r="R765" i="1"/>
  <c r="S765" i="1" s="1"/>
  <c r="P765" i="1"/>
  <c r="Q765" i="1" s="1"/>
  <c r="N765" i="1"/>
  <c r="O765" i="1" s="1"/>
  <c r="L765" i="1"/>
  <c r="M765" i="1" s="1"/>
  <c r="V764" i="1"/>
  <c r="W764" i="1" s="1"/>
  <c r="T764" i="1"/>
  <c r="U764" i="1" s="1"/>
  <c r="R764" i="1"/>
  <c r="S764" i="1" s="1"/>
  <c r="P764" i="1"/>
  <c r="Q764" i="1" s="1"/>
  <c r="N764" i="1"/>
  <c r="O764" i="1" s="1"/>
  <c r="L764" i="1"/>
  <c r="M764" i="1" s="1"/>
  <c r="W729" i="1"/>
  <c r="U729" i="1"/>
  <c r="S729" i="1"/>
  <c r="P729" i="1"/>
  <c r="Q729" i="1" s="1"/>
  <c r="L753" i="1"/>
  <c r="M753" i="1" s="1"/>
  <c r="J753" i="1"/>
  <c r="K753" i="1" s="1"/>
  <c r="I753" i="1"/>
  <c r="L752" i="1"/>
  <c r="M752" i="1" s="1"/>
  <c r="J752" i="1"/>
  <c r="K752" i="1" s="1"/>
  <c r="I752" i="1"/>
  <c r="V750" i="1"/>
  <c r="W750" i="1" s="1"/>
  <c r="T750" i="1"/>
  <c r="U750" i="1" s="1"/>
  <c r="R750" i="1"/>
  <c r="S750" i="1" s="1"/>
  <c r="V749" i="1"/>
  <c r="W749" i="1" s="1"/>
  <c r="T749" i="1"/>
  <c r="U749" i="1" s="1"/>
  <c r="R749" i="1"/>
  <c r="S749" i="1" s="1"/>
  <c r="V748" i="1"/>
  <c r="W748" i="1" s="1"/>
  <c r="T748" i="1"/>
  <c r="U748" i="1" s="1"/>
  <c r="R748" i="1"/>
  <c r="S748" i="1" s="1"/>
  <c r="V747" i="1"/>
  <c r="W747" i="1" s="1"/>
  <c r="T747" i="1"/>
  <c r="U747" i="1" s="1"/>
  <c r="R747" i="1"/>
  <c r="S747" i="1" s="1"/>
  <c r="L746" i="1"/>
  <c r="M746" i="1" s="1"/>
  <c r="W498" i="1" l="1"/>
  <c r="U498" i="1"/>
  <c r="S498" i="1"/>
  <c r="Q498" i="1"/>
  <c r="O498" i="1"/>
  <c r="M498" i="1"/>
  <c r="K498" i="1"/>
  <c r="U770" i="1"/>
  <c r="S770" i="1"/>
  <c r="Q770" i="1"/>
  <c r="O770" i="1"/>
  <c r="M770" i="1"/>
  <c r="K770" i="1"/>
  <c r="T766" i="1"/>
  <c r="U766" i="1" s="1"/>
  <c r="R766" i="1"/>
  <c r="S766" i="1" s="1"/>
  <c r="P766" i="1"/>
  <c r="Q766" i="1" s="1"/>
  <c r="N766" i="1"/>
  <c r="O766" i="1" s="1"/>
  <c r="L766" i="1"/>
  <c r="M766" i="1" s="1"/>
  <c r="J766" i="1"/>
  <c r="K766" i="1" s="1"/>
  <c r="J650" i="1"/>
  <c r="J649" i="1"/>
  <c r="K773" i="1" l="1"/>
  <c r="K774" i="1"/>
  <c r="K772" i="1"/>
  <c r="W642" i="1" l="1"/>
  <c r="T642" i="1"/>
  <c r="U642" i="1" s="1"/>
  <c r="R642" i="1"/>
  <c r="S642" i="1" s="1"/>
  <c r="P642" i="1"/>
  <c r="Q642" i="1" s="1"/>
  <c r="N642" i="1"/>
  <c r="O642" i="1" s="1"/>
  <c r="L642" i="1"/>
  <c r="M642" i="1" s="1"/>
  <c r="H649" i="1"/>
  <c r="I649" i="1" s="1"/>
  <c r="K649" i="1"/>
  <c r="L649" i="1"/>
  <c r="M649" i="1" s="1"/>
  <c r="N649" i="1"/>
  <c r="O649" i="1" s="1"/>
  <c r="P649" i="1"/>
  <c r="Q649" i="1" s="1"/>
  <c r="R649" i="1"/>
  <c r="S649" i="1" s="1"/>
  <c r="T649" i="1"/>
  <c r="U649" i="1" s="1"/>
  <c r="W649" i="1"/>
  <c r="H650" i="1"/>
  <c r="I650" i="1" s="1"/>
  <c r="K650" i="1"/>
  <c r="L650" i="1"/>
  <c r="M650" i="1" s="1"/>
  <c r="N650" i="1"/>
  <c r="O650" i="1" s="1"/>
  <c r="P650" i="1"/>
  <c r="Q650" i="1" s="1"/>
  <c r="R650" i="1"/>
  <c r="S650" i="1" s="1"/>
  <c r="T650" i="1"/>
  <c r="U650" i="1" s="1"/>
  <c r="W650" i="1"/>
  <c r="W633" i="1"/>
  <c r="T633" i="1"/>
  <c r="U633" i="1" s="1"/>
  <c r="R633" i="1"/>
  <c r="S633" i="1" s="1"/>
  <c r="P633" i="1"/>
  <c r="Q633" i="1" s="1"/>
  <c r="N633" i="1"/>
  <c r="O633" i="1" s="1"/>
  <c r="L633" i="1"/>
  <c r="M633" i="1" s="1"/>
  <c r="K633" i="1"/>
  <c r="H633" i="1"/>
  <c r="I633" i="1" s="1"/>
  <c r="W626" i="1"/>
  <c r="T626" i="1"/>
  <c r="U626" i="1" s="1"/>
  <c r="R626" i="1"/>
  <c r="S626" i="1" s="1"/>
  <c r="W629" i="1"/>
  <c r="T629" i="1"/>
  <c r="U629" i="1" s="1"/>
  <c r="R629" i="1"/>
  <c r="S629" i="1" s="1"/>
  <c r="P629" i="1"/>
  <c r="Q629" i="1" s="1"/>
  <c r="N629" i="1"/>
  <c r="O629" i="1" s="1"/>
  <c r="L629" i="1"/>
  <c r="M629" i="1" s="1"/>
  <c r="W539" i="1"/>
  <c r="U539" i="1"/>
  <c r="S539" i="1"/>
  <c r="Q539" i="1"/>
  <c r="O539" i="1"/>
  <c r="M539" i="1"/>
  <c r="W491" i="1" l="1"/>
  <c r="W492" i="1"/>
  <c r="O389" i="1"/>
  <c r="M389" i="1"/>
  <c r="K389" i="1"/>
  <c r="I389" i="1"/>
  <c r="W206" i="1" l="1"/>
  <c r="U206" i="1"/>
  <c r="S206" i="1"/>
  <c r="Q206" i="1"/>
  <c r="O206" i="1"/>
  <c r="M206" i="1"/>
  <c r="G364" i="1" l="1"/>
  <c r="G286" i="1" l="1"/>
  <c r="J676" i="1"/>
  <c r="H672" i="1" l="1"/>
  <c r="I672" i="1" s="1"/>
  <c r="N672" i="1"/>
  <c r="O672" i="1" s="1"/>
  <c r="L672" i="1"/>
  <c r="M672" i="1" s="1"/>
  <c r="T672" i="1"/>
  <c r="U672" i="1" s="1"/>
  <c r="W672" i="1"/>
  <c r="P672" i="1"/>
  <c r="Q672" i="1" s="1"/>
  <c r="R672" i="1"/>
  <c r="S672" i="1" s="1"/>
  <c r="K672" i="1"/>
  <c r="H676" i="1"/>
  <c r="I676" i="1" s="1"/>
  <c r="N676" i="1"/>
  <c r="O676" i="1" s="1"/>
  <c r="L676" i="1"/>
  <c r="M676" i="1" s="1"/>
  <c r="T676" i="1"/>
  <c r="U676" i="1" s="1"/>
  <c r="W676" i="1"/>
  <c r="K676" i="1"/>
  <c r="P676" i="1"/>
  <c r="Q676" i="1" s="1"/>
  <c r="R676" i="1"/>
  <c r="S676" i="1" s="1"/>
  <c r="G187" i="1" l="1"/>
  <c r="G565" i="1" l="1"/>
  <c r="G564" i="1"/>
  <c r="G730" i="1" l="1"/>
  <c r="G729" i="1"/>
  <c r="G731" i="1"/>
  <c r="G732" i="1"/>
  <c r="G733" i="1"/>
  <c r="G734" i="1"/>
  <c r="G735" i="1"/>
  <c r="G736" i="1"/>
  <c r="G472" i="1" l="1"/>
  <c r="J690" i="1"/>
  <c r="L690" i="1" l="1"/>
  <c r="M690" i="1" s="1"/>
  <c r="R690" i="1"/>
  <c r="S690" i="1" s="1"/>
  <c r="H690" i="1"/>
  <c r="I690" i="1" s="1"/>
  <c r="N690" i="1"/>
  <c r="O690" i="1" s="1"/>
  <c r="K690" i="1"/>
  <c r="P690" i="1"/>
  <c r="Q690" i="1" s="1"/>
  <c r="T690" i="1"/>
  <c r="U690" i="1" s="1"/>
  <c r="W690" i="1"/>
  <c r="G690" i="1"/>
  <c r="G404" i="1" l="1"/>
  <c r="G470" i="1"/>
  <c r="F260" i="1" l="1"/>
  <c r="T260" i="1" l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60" i="1"/>
  <c r="W260" i="1" s="1"/>
  <c r="F101" i="1"/>
  <c r="R101" i="1" l="1"/>
  <c r="S101" i="1" s="1"/>
  <c r="P101" i="1"/>
  <c r="Q101" i="1" s="1"/>
  <c r="L101" i="1"/>
  <c r="M101" i="1" s="1"/>
  <c r="N101" i="1"/>
  <c r="O101" i="1" s="1"/>
  <c r="J101" i="1"/>
  <c r="K101" i="1" s="1"/>
  <c r="V101" i="1"/>
  <c r="W101" i="1" s="1"/>
  <c r="T101" i="1"/>
  <c r="U101" i="1" s="1"/>
  <c r="G101" i="1"/>
  <c r="G192" i="1" l="1"/>
  <c r="G190" i="1" l="1"/>
  <c r="G185" i="1"/>
  <c r="F621" i="1"/>
  <c r="V621" i="1" s="1"/>
  <c r="P621" i="1" l="1"/>
  <c r="Q621" i="1" s="1"/>
  <c r="T621" i="1"/>
  <c r="U621" i="1" s="1"/>
  <c r="N621" i="1"/>
  <c r="O621" i="1" s="1"/>
  <c r="W621" i="1"/>
  <c r="L621" i="1"/>
  <c r="M621" i="1" s="1"/>
  <c r="R621" i="1"/>
  <c r="S621" i="1" s="1"/>
  <c r="G621" i="1"/>
  <c r="F622" i="1" l="1"/>
  <c r="N622" i="1" l="1"/>
  <c r="O622" i="1" s="1"/>
  <c r="P622" i="1"/>
  <c r="Q622" i="1" s="1"/>
  <c r="U456" i="1" l="1"/>
  <c r="O456" i="1"/>
  <c r="K456" i="1"/>
  <c r="W456" i="1"/>
  <c r="I456" i="1"/>
  <c r="M456" i="1"/>
  <c r="S456" i="1"/>
  <c r="Q456" i="1"/>
  <c r="H666" i="1" l="1"/>
  <c r="I666" i="1" s="1"/>
  <c r="L666" i="1"/>
  <c r="M666" i="1" s="1"/>
  <c r="P666" i="1"/>
  <c r="Q666" i="1" s="1"/>
  <c r="T666" i="1"/>
  <c r="U666" i="1" s="1"/>
  <c r="K666" i="1"/>
  <c r="W666" i="1"/>
  <c r="N666" i="1"/>
  <c r="O666" i="1" s="1"/>
  <c r="R666" i="1"/>
  <c r="S666" i="1" s="1"/>
  <c r="G666" i="1"/>
  <c r="F469" i="1" l="1"/>
  <c r="F468" i="1"/>
  <c r="F218" i="1"/>
  <c r="J218" i="1" l="1"/>
  <c r="K218" i="1" s="1"/>
  <c r="H218" i="1"/>
  <c r="I218" i="1" s="1"/>
  <c r="N218" i="1"/>
  <c r="O218" i="1" s="1"/>
  <c r="V218" i="1"/>
  <c r="W218" i="1" s="1"/>
  <c r="T218" i="1"/>
  <c r="U218" i="1" s="1"/>
  <c r="R218" i="1"/>
  <c r="S218" i="1" s="1"/>
  <c r="P218" i="1"/>
  <c r="Q218" i="1" s="1"/>
  <c r="L218" i="1"/>
  <c r="M218" i="1" s="1"/>
  <c r="L468" i="1"/>
  <c r="M468" i="1" s="1"/>
  <c r="J468" i="1"/>
  <c r="K468" i="1" s="1"/>
  <c r="H468" i="1"/>
  <c r="I468" i="1" s="1"/>
  <c r="N468" i="1"/>
  <c r="O468" i="1" s="1"/>
  <c r="V468" i="1"/>
  <c r="W468" i="1" s="1"/>
  <c r="T468" i="1"/>
  <c r="U468" i="1" s="1"/>
  <c r="P468" i="1"/>
  <c r="Q468" i="1" s="1"/>
  <c r="R468" i="1"/>
  <c r="S468" i="1" s="1"/>
  <c r="H469" i="1"/>
  <c r="I469" i="1" s="1"/>
  <c r="V469" i="1"/>
  <c r="W469" i="1" s="1"/>
  <c r="T469" i="1"/>
  <c r="U469" i="1" s="1"/>
  <c r="R469" i="1"/>
  <c r="S469" i="1" s="1"/>
  <c r="P469" i="1"/>
  <c r="Q469" i="1" s="1"/>
  <c r="L469" i="1"/>
  <c r="M469" i="1" s="1"/>
  <c r="N469" i="1"/>
  <c r="O469" i="1" s="1"/>
  <c r="J469" i="1"/>
  <c r="K469" i="1" s="1"/>
  <c r="R627" i="1"/>
  <c r="S627" i="1" s="1"/>
  <c r="W627" i="1"/>
  <c r="P627" i="1"/>
  <c r="Q627" i="1" s="1"/>
  <c r="N627" i="1"/>
  <c r="O627" i="1" s="1"/>
  <c r="T627" i="1"/>
  <c r="U627" i="1" s="1"/>
  <c r="G626" i="1"/>
  <c r="G469" i="1"/>
  <c r="G468" i="1"/>
  <c r="G218" i="1"/>
  <c r="G217" i="1" l="1"/>
  <c r="G182" i="1"/>
  <c r="F754" i="1"/>
  <c r="F743" i="1"/>
  <c r="F759" i="1"/>
  <c r="F267" i="1"/>
  <c r="N759" i="1" l="1"/>
  <c r="O759" i="1" s="1"/>
  <c r="V759" i="1"/>
  <c r="W759" i="1" s="1"/>
  <c r="H759" i="1"/>
  <c r="T759" i="1"/>
  <c r="U759" i="1" s="1"/>
  <c r="R759" i="1"/>
  <c r="S759" i="1" s="1"/>
  <c r="P759" i="1"/>
  <c r="Q759" i="1" s="1"/>
  <c r="N743" i="1"/>
  <c r="V743" i="1"/>
  <c r="W743" i="1" s="1"/>
  <c r="R743" i="1"/>
  <c r="S743" i="1" s="1"/>
  <c r="H743" i="1"/>
  <c r="T743" i="1"/>
  <c r="U743" i="1" s="1"/>
  <c r="P743" i="1"/>
  <c r="Q743" i="1" s="1"/>
  <c r="V267" i="1"/>
  <c r="W267" i="1" s="1"/>
  <c r="J267" i="1"/>
  <c r="K267" i="1" s="1"/>
  <c r="L267" i="1"/>
  <c r="M267" i="1" s="1"/>
  <c r="N267" i="1"/>
  <c r="O267" i="1" s="1"/>
  <c r="P267" i="1"/>
  <c r="Q267" i="1" s="1"/>
  <c r="H267" i="1"/>
  <c r="I267" i="1" s="1"/>
  <c r="R267" i="1"/>
  <c r="S267" i="1" s="1"/>
  <c r="T267" i="1"/>
  <c r="U267" i="1" s="1"/>
  <c r="T754" i="1"/>
  <c r="U754" i="1" s="1"/>
  <c r="L754" i="1"/>
  <c r="M754" i="1" s="1"/>
  <c r="R754" i="1"/>
  <c r="S754" i="1" s="1"/>
  <c r="J754" i="1"/>
  <c r="K754" i="1" s="1"/>
  <c r="P754" i="1"/>
  <c r="Q754" i="1" s="1"/>
  <c r="V754" i="1"/>
  <c r="W754" i="1" s="1"/>
  <c r="N754" i="1"/>
  <c r="O754" i="1" s="1"/>
  <c r="J759" i="1"/>
  <c r="K759" i="1" s="1"/>
  <c r="I759" i="1"/>
  <c r="L759" i="1"/>
  <c r="M759" i="1" s="1"/>
  <c r="J743" i="1"/>
  <c r="K743" i="1" s="1"/>
  <c r="L743" i="1"/>
  <c r="M743" i="1" s="1"/>
  <c r="O743" i="1"/>
  <c r="G754" i="1"/>
  <c r="G743" i="1"/>
  <c r="I743" i="1"/>
  <c r="G759" i="1"/>
  <c r="G267" i="1"/>
  <c r="G268" i="1"/>
  <c r="G285" i="1" l="1"/>
  <c r="J687" i="1" l="1"/>
  <c r="J686" i="1"/>
  <c r="J685" i="1"/>
  <c r="J674" i="1"/>
  <c r="J651" i="1"/>
  <c r="P632" i="1" l="1"/>
  <c r="Q632" i="1" s="1"/>
  <c r="H632" i="1"/>
  <c r="I632" i="1" s="1"/>
  <c r="W632" i="1"/>
  <c r="N632" i="1"/>
  <c r="O632" i="1" s="1"/>
  <c r="T632" i="1"/>
  <c r="U632" i="1" s="1"/>
  <c r="L632" i="1"/>
  <c r="M632" i="1" s="1"/>
  <c r="R632" i="1"/>
  <c r="S632" i="1" s="1"/>
  <c r="K632" i="1"/>
  <c r="H662" i="1"/>
  <c r="I662" i="1" s="1"/>
  <c r="L662" i="1"/>
  <c r="M662" i="1" s="1"/>
  <c r="P662" i="1"/>
  <c r="Q662" i="1" s="1"/>
  <c r="T662" i="1"/>
  <c r="U662" i="1" s="1"/>
  <c r="N662" i="1"/>
  <c r="O662" i="1" s="1"/>
  <c r="W662" i="1"/>
  <c r="R662" i="1"/>
  <c r="S662" i="1" s="1"/>
  <c r="K662" i="1"/>
  <c r="H667" i="1"/>
  <c r="I667" i="1" s="1"/>
  <c r="L667" i="1"/>
  <c r="M667" i="1" s="1"/>
  <c r="P667" i="1"/>
  <c r="Q667" i="1" s="1"/>
  <c r="T667" i="1"/>
  <c r="U667" i="1" s="1"/>
  <c r="K667" i="1"/>
  <c r="W667" i="1"/>
  <c r="R667" i="1"/>
  <c r="S667" i="1" s="1"/>
  <c r="N667" i="1"/>
  <c r="O667" i="1" s="1"/>
  <c r="H668" i="1"/>
  <c r="I668" i="1" s="1"/>
  <c r="L668" i="1"/>
  <c r="M668" i="1" s="1"/>
  <c r="P668" i="1"/>
  <c r="Q668" i="1" s="1"/>
  <c r="T668" i="1"/>
  <c r="U668" i="1" s="1"/>
  <c r="K668" i="1"/>
  <c r="W668" i="1"/>
  <c r="N668" i="1"/>
  <c r="O668" i="1" s="1"/>
  <c r="R668" i="1"/>
  <c r="S668" i="1" s="1"/>
  <c r="L685" i="1"/>
  <c r="M685" i="1" s="1"/>
  <c r="R685" i="1"/>
  <c r="S685" i="1" s="1"/>
  <c r="H685" i="1"/>
  <c r="I685" i="1" s="1"/>
  <c r="N685" i="1"/>
  <c r="O685" i="1" s="1"/>
  <c r="K685" i="1"/>
  <c r="T685" i="1"/>
  <c r="U685" i="1" s="1"/>
  <c r="W685" i="1"/>
  <c r="P685" i="1"/>
  <c r="Q685" i="1" s="1"/>
  <c r="K651" i="1"/>
  <c r="T651" i="1"/>
  <c r="U651" i="1" s="1"/>
  <c r="P651" i="1"/>
  <c r="Q651" i="1" s="1"/>
  <c r="W651" i="1"/>
  <c r="L651" i="1"/>
  <c r="M651" i="1" s="1"/>
  <c r="N651" i="1"/>
  <c r="O651" i="1" s="1"/>
  <c r="R651" i="1"/>
  <c r="S651" i="1" s="1"/>
  <c r="H651" i="1"/>
  <c r="I651" i="1" s="1"/>
  <c r="H673" i="1"/>
  <c r="I673" i="1" s="1"/>
  <c r="N673" i="1"/>
  <c r="O673" i="1" s="1"/>
  <c r="R673" i="1"/>
  <c r="S673" i="1" s="1"/>
  <c r="L673" i="1"/>
  <c r="M673" i="1" s="1"/>
  <c r="T673" i="1"/>
  <c r="U673" i="1" s="1"/>
  <c r="K673" i="1"/>
  <c r="P673" i="1"/>
  <c r="Q673" i="1" s="1"/>
  <c r="W673" i="1"/>
  <c r="L686" i="1"/>
  <c r="M686" i="1" s="1"/>
  <c r="R686" i="1"/>
  <c r="S686" i="1" s="1"/>
  <c r="H686" i="1"/>
  <c r="I686" i="1" s="1"/>
  <c r="N686" i="1"/>
  <c r="O686" i="1" s="1"/>
  <c r="P686" i="1"/>
  <c r="Q686" i="1" s="1"/>
  <c r="K686" i="1"/>
  <c r="T686" i="1"/>
  <c r="U686" i="1" s="1"/>
  <c r="W686" i="1"/>
  <c r="H675" i="1"/>
  <c r="I675" i="1" s="1"/>
  <c r="N675" i="1"/>
  <c r="O675" i="1" s="1"/>
  <c r="W675" i="1"/>
  <c r="K675" i="1"/>
  <c r="P675" i="1"/>
  <c r="Q675" i="1" s="1"/>
  <c r="T675" i="1"/>
  <c r="U675" i="1" s="1"/>
  <c r="L675" i="1"/>
  <c r="M675" i="1" s="1"/>
  <c r="R675" i="1"/>
  <c r="S675" i="1" s="1"/>
  <c r="P643" i="1"/>
  <c r="Q643" i="1" s="1"/>
  <c r="H643" i="1"/>
  <c r="I643" i="1" s="1"/>
  <c r="W643" i="1"/>
  <c r="N643" i="1"/>
  <c r="O643" i="1" s="1"/>
  <c r="T643" i="1"/>
  <c r="U643" i="1" s="1"/>
  <c r="R643" i="1"/>
  <c r="S643" i="1" s="1"/>
  <c r="L643" i="1"/>
  <c r="M643" i="1" s="1"/>
  <c r="K643" i="1"/>
  <c r="R628" i="1"/>
  <c r="S628" i="1" s="1"/>
  <c r="W628" i="1"/>
  <c r="P628" i="1"/>
  <c r="Q628" i="1" s="1"/>
  <c r="T628" i="1"/>
  <c r="U628" i="1" s="1"/>
  <c r="N628" i="1"/>
  <c r="O628" i="1" s="1"/>
  <c r="H653" i="1"/>
  <c r="I653" i="1" s="1"/>
  <c r="L653" i="1"/>
  <c r="M653" i="1" s="1"/>
  <c r="P653" i="1"/>
  <c r="Q653" i="1" s="1"/>
  <c r="T653" i="1"/>
  <c r="U653" i="1" s="1"/>
  <c r="N653" i="1"/>
  <c r="O653" i="1" s="1"/>
  <c r="W653" i="1"/>
  <c r="K653" i="1"/>
  <c r="R653" i="1"/>
  <c r="S653" i="1" s="1"/>
  <c r="H674" i="1"/>
  <c r="I674" i="1" s="1"/>
  <c r="N674" i="1"/>
  <c r="O674" i="1" s="1"/>
  <c r="K674" i="1"/>
  <c r="P674" i="1"/>
  <c r="Q674" i="1" s="1"/>
  <c r="R674" i="1"/>
  <c r="S674" i="1" s="1"/>
  <c r="L674" i="1"/>
  <c r="M674" i="1" s="1"/>
  <c r="T674" i="1"/>
  <c r="U674" i="1" s="1"/>
  <c r="W674" i="1"/>
  <c r="L687" i="1"/>
  <c r="M687" i="1" s="1"/>
  <c r="R687" i="1"/>
  <c r="S687" i="1" s="1"/>
  <c r="H687" i="1"/>
  <c r="I687" i="1" s="1"/>
  <c r="N687" i="1"/>
  <c r="O687" i="1" s="1"/>
  <c r="K687" i="1"/>
  <c r="T687" i="1"/>
  <c r="U687" i="1" s="1"/>
  <c r="P687" i="1"/>
  <c r="Q687" i="1" s="1"/>
  <c r="W687" i="1"/>
  <c r="G180" i="1"/>
  <c r="G667" i="1"/>
  <c r="F288" i="1" l="1"/>
  <c r="F281" i="1"/>
  <c r="F213" i="1"/>
  <c r="F219" i="1"/>
  <c r="F102" i="1"/>
  <c r="F100" i="1"/>
  <c r="F99" i="1"/>
  <c r="F98" i="1"/>
  <c r="F97" i="1"/>
  <c r="J98" i="1" l="1"/>
  <c r="K98" i="1" s="1"/>
  <c r="T98" i="1"/>
  <c r="U98" i="1" s="1"/>
  <c r="P98" i="1"/>
  <c r="Q98" i="1" s="1"/>
  <c r="R98" i="1"/>
  <c r="S98" i="1" s="1"/>
  <c r="N98" i="1"/>
  <c r="O98" i="1" s="1"/>
  <c r="L98" i="1"/>
  <c r="M98" i="1" s="1"/>
  <c r="H98" i="1"/>
  <c r="I98" i="1" s="1"/>
  <c r="V98" i="1"/>
  <c r="W98" i="1" s="1"/>
  <c r="R97" i="1"/>
  <c r="S97" i="1" s="1"/>
  <c r="N97" i="1"/>
  <c r="O97" i="1" s="1"/>
  <c r="P97" i="1"/>
  <c r="Q97" i="1" s="1"/>
  <c r="L97" i="1"/>
  <c r="M97" i="1" s="1"/>
  <c r="J97" i="1"/>
  <c r="K97" i="1" s="1"/>
  <c r="H97" i="1"/>
  <c r="T97" i="1"/>
  <c r="U97" i="1" s="1"/>
  <c r="V97" i="1"/>
  <c r="W97" i="1" s="1"/>
  <c r="H100" i="1"/>
  <c r="I100" i="1" s="1"/>
  <c r="J100" i="1"/>
  <c r="K100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281" i="1"/>
  <c r="K281" i="1" s="1"/>
  <c r="H281" i="1"/>
  <c r="I281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T99" i="1"/>
  <c r="U99" i="1" s="1"/>
  <c r="J99" i="1"/>
  <c r="K99" i="1" s="1"/>
  <c r="V99" i="1"/>
  <c r="W99" i="1" s="1"/>
  <c r="R99" i="1"/>
  <c r="S99" i="1" s="1"/>
  <c r="P99" i="1"/>
  <c r="Q99" i="1" s="1"/>
  <c r="N99" i="1"/>
  <c r="O99" i="1" s="1"/>
  <c r="L99" i="1"/>
  <c r="M99" i="1" s="1"/>
  <c r="H99" i="1"/>
  <c r="I99" i="1" s="1"/>
  <c r="H102" i="1"/>
  <c r="I102" i="1" s="1"/>
  <c r="J102" i="1"/>
  <c r="K102" i="1" s="1"/>
  <c r="T102" i="1"/>
  <c r="U102" i="1" s="1"/>
  <c r="V102" i="1"/>
  <c r="W102" i="1" s="1"/>
  <c r="R102" i="1"/>
  <c r="S102" i="1" s="1"/>
  <c r="P102" i="1"/>
  <c r="Q102" i="1" s="1"/>
  <c r="N102" i="1"/>
  <c r="O102" i="1" s="1"/>
  <c r="L102" i="1"/>
  <c r="M102" i="1" s="1"/>
  <c r="N219" i="1"/>
  <c r="O219" i="1" s="1"/>
  <c r="J219" i="1"/>
  <c r="K219" i="1" s="1"/>
  <c r="L219" i="1"/>
  <c r="M219" i="1" s="1"/>
  <c r="H219" i="1"/>
  <c r="I219" i="1" s="1"/>
  <c r="V219" i="1"/>
  <c r="W219" i="1" s="1"/>
  <c r="T219" i="1"/>
  <c r="U219" i="1" s="1"/>
  <c r="R219" i="1"/>
  <c r="S219" i="1" s="1"/>
  <c r="P219" i="1"/>
  <c r="Q219" i="1" s="1"/>
  <c r="R213" i="1"/>
  <c r="S213" i="1" s="1"/>
  <c r="N213" i="1"/>
  <c r="O213" i="1" s="1"/>
  <c r="P213" i="1"/>
  <c r="Q213" i="1" s="1"/>
  <c r="L213" i="1"/>
  <c r="M213" i="1" s="1"/>
  <c r="V213" i="1"/>
  <c r="W213" i="1" s="1"/>
  <c r="T213" i="1"/>
  <c r="U213" i="1" s="1"/>
  <c r="H288" i="1"/>
  <c r="I288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I97" i="1"/>
  <c r="G188" i="1"/>
  <c r="F296" i="1" l="1"/>
  <c r="N296" i="1" l="1"/>
  <c r="O296" i="1" s="1"/>
  <c r="L296" i="1"/>
  <c r="M296" i="1" s="1"/>
  <c r="J296" i="1"/>
  <c r="K296" i="1" s="1"/>
  <c r="H296" i="1"/>
  <c r="I296" i="1" s="1"/>
  <c r="V296" i="1"/>
  <c r="W296" i="1" s="1"/>
  <c r="T296" i="1"/>
  <c r="U296" i="1" s="1"/>
  <c r="R296" i="1"/>
  <c r="S296" i="1" s="1"/>
  <c r="P296" i="1"/>
  <c r="Q296" i="1" s="1"/>
  <c r="I362" i="1"/>
  <c r="K362" i="1"/>
  <c r="G347" i="1"/>
  <c r="G341" i="1"/>
  <c r="G296" i="1"/>
  <c r="G427" i="1"/>
  <c r="G428" i="1"/>
  <c r="G459" i="1" l="1"/>
  <c r="F535" i="1" l="1"/>
  <c r="G563" i="1"/>
  <c r="F560" i="1"/>
  <c r="F744" i="1"/>
  <c r="F760" i="1"/>
  <c r="T760" i="1" l="1"/>
  <c r="U760" i="1" s="1"/>
  <c r="R760" i="1"/>
  <c r="S760" i="1" s="1"/>
  <c r="P760" i="1"/>
  <c r="Q760" i="1" s="1"/>
  <c r="N760" i="1"/>
  <c r="O760" i="1" s="1"/>
  <c r="H760" i="1"/>
  <c r="V760" i="1"/>
  <c r="W760" i="1" s="1"/>
  <c r="R744" i="1"/>
  <c r="S744" i="1" s="1"/>
  <c r="P744" i="1"/>
  <c r="Q744" i="1" s="1"/>
  <c r="V744" i="1"/>
  <c r="W744" i="1" s="1"/>
  <c r="T744" i="1"/>
  <c r="U744" i="1" s="1"/>
  <c r="N744" i="1"/>
  <c r="O744" i="1" s="1"/>
  <c r="H744" i="1"/>
  <c r="I744" i="1" s="1"/>
  <c r="T560" i="1"/>
  <c r="U560" i="1" s="1"/>
  <c r="L560" i="1"/>
  <c r="M560" i="1" s="1"/>
  <c r="R560" i="1"/>
  <c r="S560" i="1" s="1"/>
  <c r="N560" i="1"/>
  <c r="O560" i="1" s="1"/>
  <c r="P560" i="1"/>
  <c r="Q560" i="1" s="1"/>
  <c r="J560" i="1"/>
  <c r="K560" i="1" s="1"/>
  <c r="H560" i="1"/>
  <c r="I560" i="1" s="1"/>
  <c r="V560" i="1"/>
  <c r="W560" i="1" s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H535" i="1"/>
  <c r="I535" i="1" s="1"/>
  <c r="T762" i="1"/>
  <c r="N762" i="1"/>
  <c r="L762" i="1"/>
  <c r="P762" i="1"/>
  <c r="J762" i="1"/>
  <c r="K762" i="1" s="1"/>
  <c r="R762" i="1"/>
  <c r="R757" i="1"/>
  <c r="P757" i="1"/>
  <c r="T757" i="1"/>
  <c r="J757" i="1"/>
  <c r="K757" i="1" s="1"/>
  <c r="V757" i="1"/>
  <c r="L757" i="1"/>
  <c r="N757" i="1"/>
  <c r="J760" i="1"/>
  <c r="K760" i="1" s="1"/>
  <c r="I760" i="1"/>
  <c r="L760" i="1"/>
  <c r="M760" i="1" s="1"/>
  <c r="J744" i="1"/>
  <c r="K744" i="1" s="1"/>
  <c r="L744" i="1"/>
  <c r="M744" i="1" s="1"/>
  <c r="I554" i="1"/>
  <c r="G560" i="1"/>
  <c r="G554" i="1"/>
  <c r="G744" i="1"/>
  <c r="G760" i="1"/>
  <c r="J688" i="1" l="1"/>
  <c r="L688" i="1" l="1"/>
  <c r="M688" i="1" s="1"/>
  <c r="R688" i="1"/>
  <c r="S688" i="1" s="1"/>
  <c r="H688" i="1"/>
  <c r="I688" i="1" s="1"/>
  <c r="N688" i="1"/>
  <c r="O688" i="1" s="1"/>
  <c r="K688" i="1"/>
  <c r="W688" i="1"/>
  <c r="P688" i="1"/>
  <c r="Q688" i="1" s="1"/>
  <c r="T688" i="1"/>
  <c r="U688" i="1" s="1"/>
  <c r="G688" i="1"/>
  <c r="G522" i="1"/>
  <c r="G449" i="1" l="1"/>
  <c r="G521" i="1"/>
  <c r="G258" i="1" l="1"/>
  <c r="G600" i="1" l="1"/>
  <c r="S320" i="1" l="1"/>
  <c r="O320" i="1"/>
  <c r="M320" i="1"/>
  <c r="K320" i="1"/>
  <c r="I320" i="1"/>
  <c r="W320" i="1"/>
  <c r="U320" i="1"/>
  <c r="Q320" i="1"/>
  <c r="G320" i="1"/>
  <c r="G294" i="1" l="1"/>
  <c r="G467" i="1" l="1"/>
  <c r="G452" i="1"/>
  <c r="K543" i="1"/>
  <c r="G543" i="1"/>
  <c r="I703" i="1"/>
  <c r="G628" i="1" l="1"/>
  <c r="G273" i="1"/>
  <c r="G453" i="1"/>
  <c r="J520" i="1" l="1"/>
  <c r="K520" i="1" s="1"/>
  <c r="M520" i="1"/>
  <c r="O520" i="1"/>
  <c r="W520" i="1"/>
  <c r="U520" i="1"/>
  <c r="S520" i="1"/>
  <c r="Q520" i="1"/>
  <c r="G520" i="1"/>
  <c r="G280" i="1" l="1"/>
  <c r="G405" i="1" l="1"/>
  <c r="G668" i="1" l="1"/>
  <c r="P635" i="1" l="1"/>
  <c r="Q635" i="1" s="1"/>
  <c r="H635" i="1"/>
  <c r="I635" i="1" s="1"/>
  <c r="W635" i="1"/>
  <c r="N635" i="1"/>
  <c r="O635" i="1" s="1"/>
  <c r="T635" i="1"/>
  <c r="U635" i="1" s="1"/>
  <c r="L635" i="1"/>
  <c r="M635" i="1" s="1"/>
  <c r="K635" i="1"/>
  <c r="R635" i="1"/>
  <c r="S635" i="1" s="1"/>
  <c r="H663" i="1"/>
  <c r="I663" i="1" s="1"/>
  <c r="L663" i="1"/>
  <c r="M663" i="1" s="1"/>
  <c r="P663" i="1"/>
  <c r="Q663" i="1" s="1"/>
  <c r="T663" i="1"/>
  <c r="U663" i="1" s="1"/>
  <c r="N663" i="1"/>
  <c r="O663" i="1" s="1"/>
  <c r="W663" i="1"/>
  <c r="K663" i="1"/>
  <c r="R663" i="1"/>
  <c r="S663" i="1" s="1"/>
  <c r="P634" i="1"/>
  <c r="Q634" i="1" s="1"/>
  <c r="H634" i="1"/>
  <c r="I634" i="1" s="1"/>
  <c r="W634" i="1"/>
  <c r="N634" i="1"/>
  <c r="O634" i="1" s="1"/>
  <c r="T634" i="1"/>
  <c r="U634" i="1" s="1"/>
  <c r="R634" i="1"/>
  <c r="S634" i="1" s="1"/>
  <c r="L634" i="1"/>
  <c r="M634" i="1" s="1"/>
  <c r="K634" i="1"/>
  <c r="H657" i="1"/>
  <c r="I657" i="1" s="1"/>
  <c r="L657" i="1"/>
  <c r="M657" i="1" s="1"/>
  <c r="P657" i="1"/>
  <c r="Q657" i="1" s="1"/>
  <c r="T657" i="1"/>
  <c r="U657" i="1" s="1"/>
  <c r="N657" i="1"/>
  <c r="O657" i="1" s="1"/>
  <c r="W657" i="1"/>
  <c r="K657" i="1"/>
  <c r="R657" i="1"/>
  <c r="S657" i="1" s="1"/>
  <c r="P644" i="1"/>
  <c r="Q644" i="1" s="1"/>
  <c r="H644" i="1"/>
  <c r="I644" i="1" s="1"/>
  <c r="W644" i="1"/>
  <c r="N644" i="1"/>
  <c r="O644" i="1" s="1"/>
  <c r="T644" i="1"/>
  <c r="U644" i="1" s="1"/>
  <c r="L644" i="1"/>
  <c r="M644" i="1" s="1"/>
  <c r="K644" i="1"/>
  <c r="R644" i="1"/>
  <c r="S644" i="1" s="1"/>
  <c r="H647" i="1"/>
  <c r="I647" i="1" s="1"/>
  <c r="L647" i="1"/>
  <c r="M647" i="1" s="1"/>
  <c r="P647" i="1"/>
  <c r="Q647" i="1" s="1"/>
  <c r="T647" i="1"/>
  <c r="U647" i="1" s="1"/>
  <c r="K647" i="1"/>
  <c r="R647" i="1"/>
  <c r="S647" i="1" s="1"/>
  <c r="W647" i="1"/>
  <c r="N647" i="1"/>
  <c r="O647" i="1" s="1"/>
  <c r="P646" i="1"/>
  <c r="Q646" i="1" s="1"/>
  <c r="H646" i="1"/>
  <c r="I646" i="1" s="1"/>
  <c r="W646" i="1"/>
  <c r="N646" i="1"/>
  <c r="O646" i="1" s="1"/>
  <c r="T646" i="1"/>
  <c r="U646" i="1" s="1"/>
  <c r="L646" i="1"/>
  <c r="M646" i="1" s="1"/>
  <c r="K646" i="1"/>
  <c r="R646" i="1"/>
  <c r="S646" i="1" s="1"/>
  <c r="G663" i="1"/>
  <c r="G644" i="1"/>
  <c r="G635" i="1"/>
  <c r="F350" i="1" l="1"/>
  <c r="F327" i="1"/>
  <c r="F307" i="1"/>
  <c r="F300" i="1"/>
  <c r="F284" i="1"/>
  <c r="F283" i="1"/>
  <c r="F255" i="1"/>
  <c r="F176" i="1"/>
  <c r="F175" i="1"/>
  <c r="P176" i="1" l="1"/>
  <c r="Q176" i="1" s="1"/>
  <c r="N176" i="1"/>
  <c r="O176" i="1" s="1"/>
  <c r="L176" i="1"/>
  <c r="M176" i="1" s="1"/>
  <c r="J176" i="1"/>
  <c r="K176" i="1" s="1"/>
  <c r="H176" i="1"/>
  <c r="I176" i="1" s="1"/>
  <c r="V176" i="1"/>
  <c r="W176" i="1" s="1"/>
  <c r="T176" i="1"/>
  <c r="U176" i="1" s="1"/>
  <c r="R176" i="1"/>
  <c r="S176" i="1" s="1"/>
  <c r="R327" i="1"/>
  <c r="S327" i="1" s="1"/>
  <c r="N327" i="1"/>
  <c r="O327" i="1" s="1"/>
  <c r="L327" i="1"/>
  <c r="M327" i="1" s="1"/>
  <c r="J327" i="1"/>
  <c r="K327" i="1" s="1"/>
  <c r="P327" i="1"/>
  <c r="Q327" i="1" s="1"/>
  <c r="T327" i="1"/>
  <c r="U327" i="1" s="1"/>
  <c r="H327" i="1"/>
  <c r="I327" i="1" s="1"/>
  <c r="V327" i="1"/>
  <c r="W327" i="1" s="1"/>
  <c r="V350" i="1"/>
  <c r="W350" i="1" s="1"/>
  <c r="T350" i="1"/>
  <c r="U350" i="1" s="1"/>
  <c r="R350" i="1"/>
  <c r="S350" i="1" s="1"/>
  <c r="H350" i="1"/>
  <c r="I350" i="1" s="1"/>
  <c r="P350" i="1"/>
  <c r="Q350" i="1" s="1"/>
  <c r="N350" i="1"/>
  <c r="O350" i="1" s="1"/>
  <c r="L350" i="1"/>
  <c r="M350" i="1" s="1"/>
  <c r="J350" i="1"/>
  <c r="K350" i="1" s="1"/>
  <c r="J255" i="1"/>
  <c r="K255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L175" i="1"/>
  <c r="M175" i="1" s="1"/>
  <c r="J175" i="1"/>
  <c r="K175" i="1" s="1"/>
  <c r="V175" i="1"/>
  <c r="W175" i="1" s="1"/>
  <c r="T175" i="1"/>
  <c r="U175" i="1" s="1"/>
  <c r="R175" i="1"/>
  <c r="S175" i="1" s="1"/>
  <c r="P175" i="1"/>
  <c r="Q175" i="1" s="1"/>
  <c r="N175" i="1"/>
  <c r="O175" i="1" s="1"/>
  <c r="P284" i="1"/>
  <c r="Q284" i="1" s="1"/>
  <c r="L284" i="1"/>
  <c r="M284" i="1" s="1"/>
  <c r="J284" i="1"/>
  <c r="K284" i="1" s="1"/>
  <c r="H284" i="1"/>
  <c r="I284" i="1" s="1"/>
  <c r="V284" i="1"/>
  <c r="W284" i="1" s="1"/>
  <c r="T284" i="1"/>
  <c r="U284" i="1" s="1"/>
  <c r="R284" i="1"/>
  <c r="S284" i="1" s="1"/>
  <c r="N284" i="1"/>
  <c r="O284" i="1" s="1"/>
  <c r="N283" i="1"/>
  <c r="O283" i="1" s="1"/>
  <c r="L283" i="1"/>
  <c r="M283" i="1" s="1"/>
  <c r="H283" i="1"/>
  <c r="I283" i="1" s="1"/>
  <c r="J283" i="1"/>
  <c r="K283" i="1" s="1"/>
  <c r="V283" i="1"/>
  <c r="W283" i="1" s="1"/>
  <c r="T283" i="1"/>
  <c r="U283" i="1" s="1"/>
  <c r="R283" i="1"/>
  <c r="S283" i="1" s="1"/>
  <c r="P283" i="1"/>
  <c r="Q283" i="1" s="1"/>
  <c r="P300" i="1"/>
  <c r="Q300" i="1" s="1"/>
  <c r="L300" i="1"/>
  <c r="M300" i="1" s="1"/>
  <c r="J300" i="1"/>
  <c r="K300" i="1" s="1"/>
  <c r="H300" i="1"/>
  <c r="I300" i="1" s="1"/>
  <c r="N300" i="1"/>
  <c r="O300" i="1" s="1"/>
  <c r="V300" i="1"/>
  <c r="W300" i="1" s="1"/>
  <c r="T300" i="1"/>
  <c r="U300" i="1" s="1"/>
  <c r="R300" i="1"/>
  <c r="S300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V307" i="1"/>
  <c r="W307" i="1" s="1"/>
  <c r="H307" i="1"/>
  <c r="I307" i="1" s="1"/>
  <c r="H656" i="1"/>
  <c r="I656" i="1" s="1"/>
  <c r="L656" i="1"/>
  <c r="M656" i="1" s="1"/>
  <c r="K656" i="1"/>
  <c r="T620" i="1"/>
  <c r="U620" i="1" s="1"/>
  <c r="K620" i="1"/>
  <c r="W620" i="1"/>
  <c r="N620" i="1"/>
  <c r="O620" i="1" s="1"/>
  <c r="P620" i="1"/>
  <c r="Q620" i="1" s="1"/>
  <c r="L620" i="1"/>
  <c r="M620" i="1" s="1"/>
  <c r="R620" i="1"/>
  <c r="S620" i="1" s="1"/>
  <c r="G307" i="1"/>
  <c r="G271" i="1"/>
  <c r="G620" i="1"/>
  <c r="G419" i="1" l="1"/>
  <c r="H624" i="1" l="1"/>
  <c r="T624" i="1"/>
  <c r="U624" i="1" s="1"/>
  <c r="L624" i="1"/>
  <c r="M624" i="1" s="1"/>
  <c r="R624" i="1"/>
  <c r="S624" i="1" s="1"/>
  <c r="K624" i="1"/>
  <c r="N624" i="1"/>
  <c r="O624" i="1" s="1"/>
  <c r="W624" i="1"/>
  <c r="P624" i="1"/>
  <c r="Q624" i="1" s="1"/>
  <c r="W696" i="1"/>
  <c r="U696" i="1"/>
  <c r="S696" i="1"/>
  <c r="Q696" i="1"/>
  <c r="O696" i="1"/>
  <c r="M696" i="1"/>
  <c r="K696" i="1"/>
  <c r="K771" i="1" l="1"/>
  <c r="G345" i="1"/>
  <c r="G352" i="1" l="1"/>
  <c r="G447" i="1" l="1"/>
  <c r="T623" i="1" l="1"/>
  <c r="U623" i="1" s="1"/>
  <c r="N623" i="1"/>
  <c r="O623" i="1" s="1"/>
  <c r="P623" i="1"/>
  <c r="Q623" i="1" s="1"/>
  <c r="W623" i="1"/>
  <c r="R623" i="1"/>
  <c r="S623" i="1" s="1"/>
  <c r="G623" i="1"/>
  <c r="G622" i="1"/>
  <c r="P645" i="1" l="1"/>
  <c r="Q645" i="1" s="1"/>
  <c r="H645" i="1"/>
  <c r="I645" i="1" s="1"/>
  <c r="W645" i="1"/>
  <c r="N645" i="1"/>
  <c r="O645" i="1" s="1"/>
  <c r="T645" i="1"/>
  <c r="U645" i="1" s="1"/>
  <c r="R645" i="1"/>
  <c r="S645" i="1" s="1"/>
  <c r="L645" i="1"/>
  <c r="M645" i="1" s="1"/>
  <c r="K645" i="1"/>
  <c r="G645" i="1"/>
  <c r="F276" i="1" l="1"/>
  <c r="F724" i="1"/>
  <c r="G174" i="1"/>
  <c r="V276" i="1" l="1"/>
  <c r="W276" i="1" s="1"/>
  <c r="J276" i="1"/>
  <c r="K276" i="1" s="1"/>
  <c r="L276" i="1"/>
  <c r="M276" i="1" s="1"/>
  <c r="N276" i="1"/>
  <c r="O276" i="1" s="1"/>
  <c r="P276" i="1"/>
  <c r="Q276" i="1" s="1"/>
  <c r="R276" i="1"/>
  <c r="S276" i="1" s="1"/>
  <c r="T276" i="1"/>
  <c r="U276" i="1" s="1"/>
  <c r="H276" i="1"/>
  <c r="I276" i="1" s="1"/>
  <c r="J724" i="1"/>
  <c r="K724" i="1" s="1"/>
  <c r="P724" i="1"/>
  <c r="Q724" i="1" s="1"/>
  <c r="N724" i="1"/>
  <c r="O724" i="1" s="1"/>
  <c r="L724" i="1"/>
  <c r="M724" i="1" s="1"/>
  <c r="G434" i="1"/>
  <c r="G435" i="1"/>
  <c r="G276" i="1"/>
  <c r="G724" i="1"/>
  <c r="G136" i="1"/>
  <c r="G340" i="1" l="1"/>
  <c r="G293" i="1" l="1"/>
  <c r="G321" i="1"/>
  <c r="G284" i="1" l="1"/>
  <c r="J684" i="1"/>
  <c r="L684" i="1" l="1"/>
  <c r="M684" i="1" s="1"/>
  <c r="R684" i="1"/>
  <c r="S684" i="1" s="1"/>
  <c r="H684" i="1"/>
  <c r="I684" i="1" s="1"/>
  <c r="N684" i="1"/>
  <c r="O684" i="1" s="1"/>
  <c r="W684" i="1"/>
  <c r="P684" i="1"/>
  <c r="Q684" i="1" s="1"/>
  <c r="K684" i="1"/>
  <c r="T684" i="1"/>
  <c r="U684" i="1" s="1"/>
  <c r="G684" i="1"/>
  <c r="G326" i="1" l="1"/>
  <c r="G302" i="1"/>
  <c r="G383" i="1" l="1"/>
  <c r="G401" i="1" l="1"/>
  <c r="G765" i="1"/>
  <c r="G764" i="1"/>
  <c r="F725" i="1"/>
  <c r="H725" i="1" s="1"/>
  <c r="G551" i="1"/>
  <c r="T725" i="1" l="1"/>
  <c r="U725" i="1" s="1"/>
  <c r="L725" i="1"/>
  <c r="M725" i="1" s="1"/>
  <c r="P725" i="1"/>
  <c r="Q725" i="1" s="1"/>
  <c r="R725" i="1"/>
  <c r="S725" i="1" s="1"/>
  <c r="J725" i="1"/>
  <c r="K725" i="1" s="1"/>
  <c r="I725" i="1"/>
  <c r="V725" i="1"/>
  <c r="W725" i="1" s="1"/>
  <c r="N725" i="1"/>
  <c r="O725" i="1" s="1"/>
  <c r="G132" i="1" l="1"/>
  <c r="G462" i="1" l="1"/>
  <c r="F756" i="1"/>
  <c r="F723" i="1"/>
  <c r="H723" i="1" s="1"/>
  <c r="F580" i="1"/>
  <c r="V756" i="1" l="1"/>
  <c r="W756" i="1" s="1"/>
  <c r="T756" i="1"/>
  <c r="U756" i="1" s="1"/>
  <c r="R756" i="1"/>
  <c r="S756" i="1" s="1"/>
  <c r="P756" i="1"/>
  <c r="Q756" i="1" s="1"/>
  <c r="N756" i="1"/>
  <c r="O756" i="1" s="1"/>
  <c r="N580" i="1"/>
  <c r="O580" i="1" s="1"/>
  <c r="R580" i="1"/>
  <c r="S580" i="1" s="1"/>
  <c r="V580" i="1"/>
  <c r="W580" i="1" s="1"/>
  <c r="P580" i="1"/>
  <c r="Q580" i="1" s="1"/>
  <c r="T580" i="1"/>
  <c r="U580" i="1" s="1"/>
  <c r="L580" i="1"/>
  <c r="M580" i="1" s="1"/>
  <c r="J580" i="1"/>
  <c r="K580" i="1" s="1"/>
  <c r="H580" i="1"/>
  <c r="I580" i="1" s="1"/>
  <c r="L756" i="1"/>
  <c r="M756" i="1" s="1"/>
  <c r="H664" i="1"/>
  <c r="I664" i="1" s="1"/>
  <c r="L664" i="1"/>
  <c r="M664" i="1" s="1"/>
  <c r="P664" i="1"/>
  <c r="Q664" i="1" s="1"/>
  <c r="T664" i="1"/>
  <c r="U664" i="1" s="1"/>
  <c r="K664" i="1"/>
  <c r="W664" i="1"/>
  <c r="R664" i="1"/>
  <c r="S664" i="1" s="1"/>
  <c r="N664" i="1"/>
  <c r="O664" i="1" s="1"/>
  <c r="T723" i="1"/>
  <c r="U723" i="1" s="1"/>
  <c r="L723" i="1"/>
  <c r="M723" i="1" s="1"/>
  <c r="P723" i="1"/>
  <c r="Q723" i="1" s="1"/>
  <c r="V723" i="1"/>
  <c r="W723" i="1" s="1"/>
  <c r="R723" i="1"/>
  <c r="S723" i="1" s="1"/>
  <c r="J723" i="1"/>
  <c r="K723" i="1" s="1"/>
  <c r="I723" i="1"/>
  <c r="N723" i="1"/>
  <c r="O723" i="1" s="1"/>
  <c r="H669" i="1"/>
  <c r="I669" i="1" s="1"/>
  <c r="N669" i="1"/>
  <c r="O669" i="1" s="1"/>
  <c r="R669" i="1"/>
  <c r="S669" i="1" s="1"/>
  <c r="L669" i="1"/>
  <c r="M669" i="1" s="1"/>
  <c r="T669" i="1"/>
  <c r="U669" i="1" s="1"/>
  <c r="W669" i="1"/>
  <c r="P669" i="1"/>
  <c r="Q669" i="1" s="1"/>
  <c r="K669" i="1"/>
  <c r="P631" i="1"/>
  <c r="Q631" i="1" s="1"/>
  <c r="H631" i="1"/>
  <c r="I631" i="1" s="1"/>
  <c r="W631" i="1"/>
  <c r="N631" i="1"/>
  <c r="O631" i="1" s="1"/>
  <c r="T631" i="1"/>
  <c r="U631" i="1" s="1"/>
  <c r="K631" i="1"/>
  <c r="R631" i="1"/>
  <c r="S631" i="1" s="1"/>
  <c r="L631" i="1"/>
  <c r="M631" i="1" s="1"/>
  <c r="H670" i="1"/>
  <c r="I670" i="1" s="1"/>
  <c r="N670" i="1"/>
  <c r="O670" i="1" s="1"/>
  <c r="K670" i="1"/>
  <c r="P670" i="1"/>
  <c r="Q670" i="1" s="1"/>
  <c r="R670" i="1"/>
  <c r="S670" i="1" s="1"/>
  <c r="T670" i="1"/>
  <c r="U670" i="1" s="1"/>
  <c r="W670" i="1"/>
  <c r="L670" i="1"/>
  <c r="M670" i="1" s="1"/>
  <c r="H661" i="1"/>
  <c r="I661" i="1" s="1"/>
  <c r="L661" i="1"/>
  <c r="M661" i="1" s="1"/>
  <c r="P661" i="1"/>
  <c r="Q661" i="1" s="1"/>
  <c r="T661" i="1"/>
  <c r="U661" i="1" s="1"/>
  <c r="N661" i="1"/>
  <c r="O661" i="1" s="1"/>
  <c r="W661" i="1"/>
  <c r="K661" i="1"/>
  <c r="R661" i="1"/>
  <c r="S661" i="1" s="1"/>
  <c r="H671" i="1"/>
  <c r="I671" i="1" s="1"/>
  <c r="N671" i="1"/>
  <c r="O671" i="1" s="1"/>
  <c r="W671" i="1"/>
  <c r="K671" i="1"/>
  <c r="P671" i="1"/>
  <c r="Q671" i="1" s="1"/>
  <c r="R671" i="1"/>
  <c r="S671" i="1" s="1"/>
  <c r="L671" i="1"/>
  <c r="M671" i="1" s="1"/>
  <c r="T671" i="1"/>
  <c r="U671" i="1" s="1"/>
  <c r="F612" i="1"/>
  <c r="F611" i="1"/>
  <c r="F471" i="1"/>
  <c r="F234" i="1"/>
  <c r="T611" i="1" l="1"/>
  <c r="U611" i="1" s="1"/>
  <c r="P611" i="1"/>
  <c r="Q611" i="1" s="1"/>
  <c r="R611" i="1"/>
  <c r="S611" i="1" s="1"/>
  <c r="V611" i="1"/>
  <c r="W611" i="1" s="1"/>
  <c r="N611" i="1"/>
  <c r="O611" i="1" s="1"/>
  <c r="L611" i="1"/>
  <c r="M611" i="1" s="1"/>
  <c r="J611" i="1"/>
  <c r="K611" i="1" s="1"/>
  <c r="H611" i="1"/>
  <c r="I611" i="1" s="1"/>
  <c r="N612" i="1"/>
  <c r="O612" i="1" s="1"/>
  <c r="L612" i="1"/>
  <c r="M612" i="1" s="1"/>
  <c r="J612" i="1"/>
  <c r="K612" i="1" s="1"/>
  <c r="H612" i="1"/>
  <c r="I612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L471" i="1"/>
  <c r="M471" i="1" s="1"/>
  <c r="N471" i="1"/>
  <c r="O471" i="1" s="1"/>
  <c r="J471" i="1"/>
  <c r="K471" i="1" s="1"/>
  <c r="P471" i="1"/>
  <c r="Q471" i="1" s="1"/>
  <c r="H471" i="1"/>
  <c r="I471" i="1" s="1"/>
  <c r="R471" i="1"/>
  <c r="S471" i="1" s="1"/>
  <c r="V471" i="1"/>
  <c r="W471" i="1" s="1"/>
  <c r="T471" i="1"/>
  <c r="U471" i="1" s="1"/>
  <c r="G323" i="1" l="1"/>
  <c r="F306" i="1" l="1"/>
  <c r="F297" i="1"/>
  <c r="F466" i="1"/>
  <c r="F299" i="1"/>
  <c r="P299" i="1" l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R299" i="1"/>
  <c r="S299" i="1" s="1"/>
  <c r="N466" i="1"/>
  <c r="O466" i="1" s="1"/>
  <c r="L466" i="1"/>
  <c r="M466" i="1" s="1"/>
  <c r="R466" i="1"/>
  <c r="S466" i="1" s="1"/>
  <c r="J466" i="1"/>
  <c r="K466" i="1" s="1"/>
  <c r="H466" i="1"/>
  <c r="I466" i="1" s="1"/>
  <c r="V466" i="1"/>
  <c r="W466" i="1" s="1"/>
  <c r="P466" i="1"/>
  <c r="Q466" i="1" s="1"/>
  <c r="T466" i="1"/>
  <c r="U466" i="1" s="1"/>
  <c r="P297" i="1"/>
  <c r="Q297" i="1" s="1"/>
  <c r="L297" i="1"/>
  <c r="M297" i="1" s="1"/>
  <c r="J297" i="1"/>
  <c r="K297" i="1" s="1"/>
  <c r="H297" i="1"/>
  <c r="I297" i="1" s="1"/>
  <c r="N297" i="1"/>
  <c r="O297" i="1" s="1"/>
  <c r="V297" i="1"/>
  <c r="W297" i="1" s="1"/>
  <c r="T297" i="1"/>
  <c r="U297" i="1" s="1"/>
  <c r="R297" i="1"/>
  <c r="S297" i="1" s="1"/>
  <c r="T306" i="1"/>
  <c r="U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6" i="1"/>
  <c r="W306" i="1" s="1"/>
  <c r="R306" i="1"/>
  <c r="S306" i="1" s="1"/>
  <c r="G214" i="1"/>
  <c r="G306" i="1"/>
  <c r="G675" i="1"/>
  <c r="R745" i="1" l="1"/>
  <c r="S745" i="1" s="1"/>
  <c r="L745" i="1"/>
  <c r="M745" i="1" s="1"/>
  <c r="V745" i="1"/>
  <c r="W745" i="1" s="1"/>
  <c r="P745" i="1"/>
  <c r="Q745" i="1" s="1"/>
  <c r="T745" i="1"/>
  <c r="U745" i="1" s="1"/>
  <c r="J745" i="1"/>
  <c r="K745" i="1" s="1"/>
  <c r="N745" i="1"/>
  <c r="O745" i="1" s="1"/>
  <c r="I745" i="1"/>
  <c r="F586" i="1"/>
  <c r="F585" i="1"/>
  <c r="T585" i="1" l="1"/>
  <c r="U585" i="1" s="1"/>
  <c r="R585" i="1"/>
  <c r="S585" i="1" s="1"/>
  <c r="P585" i="1"/>
  <c r="Q585" i="1" s="1"/>
  <c r="N585" i="1"/>
  <c r="O585" i="1" s="1"/>
  <c r="V585" i="1"/>
  <c r="W585" i="1" s="1"/>
  <c r="L585" i="1"/>
  <c r="M585" i="1" s="1"/>
  <c r="J585" i="1"/>
  <c r="K585" i="1" s="1"/>
  <c r="H585" i="1"/>
  <c r="I585" i="1" s="1"/>
  <c r="R586" i="1"/>
  <c r="S586" i="1" s="1"/>
  <c r="P586" i="1"/>
  <c r="Q586" i="1" s="1"/>
  <c r="N586" i="1"/>
  <c r="O586" i="1" s="1"/>
  <c r="V586" i="1"/>
  <c r="W586" i="1" s="1"/>
  <c r="L586" i="1"/>
  <c r="M586" i="1" s="1"/>
  <c r="T586" i="1"/>
  <c r="U586" i="1" s="1"/>
  <c r="J586" i="1"/>
  <c r="K586" i="1" s="1"/>
  <c r="H586" i="1"/>
  <c r="I586" i="1" s="1"/>
  <c r="H660" i="1"/>
  <c r="I660" i="1" s="1"/>
  <c r="L660" i="1"/>
  <c r="M660" i="1" s="1"/>
  <c r="P660" i="1"/>
  <c r="Q660" i="1" s="1"/>
  <c r="T660" i="1"/>
  <c r="U660" i="1" s="1"/>
  <c r="N660" i="1"/>
  <c r="O660" i="1" s="1"/>
  <c r="W660" i="1"/>
  <c r="R660" i="1"/>
  <c r="S660" i="1" s="1"/>
  <c r="K660" i="1"/>
  <c r="H658" i="1"/>
  <c r="I658" i="1" s="1"/>
  <c r="L658" i="1"/>
  <c r="M658" i="1" s="1"/>
  <c r="P658" i="1"/>
  <c r="Q658" i="1" s="1"/>
  <c r="T658" i="1"/>
  <c r="U658" i="1" s="1"/>
  <c r="N658" i="1"/>
  <c r="O658" i="1" s="1"/>
  <c r="W658" i="1"/>
  <c r="R658" i="1"/>
  <c r="S658" i="1" s="1"/>
  <c r="K658" i="1"/>
  <c r="G658" i="1"/>
  <c r="G279" i="1" l="1"/>
  <c r="G274" i="1"/>
  <c r="G450" i="1"/>
  <c r="K412" i="1" l="1"/>
  <c r="G412" i="1"/>
  <c r="W499" i="1"/>
  <c r="U499" i="1"/>
  <c r="S499" i="1"/>
  <c r="Q499" i="1"/>
  <c r="O499" i="1"/>
  <c r="M499" i="1"/>
  <c r="K499" i="1"/>
  <c r="G499" i="1"/>
  <c r="G500" i="1"/>
  <c r="G498" i="1"/>
  <c r="G471" i="1" l="1"/>
  <c r="G410" i="1" l="1"/>
  <c r="G407" i="1"/>
  <c r="G361" i="1"/>
  <c r="W533" i="1" l="1"/>
  <c r="U533" i="1"/>
  <c r="S533" i="1"/>
  <c r="Q533" i="1"/>
  <c r="O533" i="1"/>
  <c r="G400" i="1" l="1"/>
  <c r="G292" i="1"/>
  <c r="G137" i="1"/>
  <c r="G538" i="1"/>
  <c r="G406" i="1" l="1"/>
  <c r="G222" i="1"/>
  <c r="G338" i="1" l="1"/>
  <c r="U130" i="1" l="1"/>
  <c r="S130" i="1"/>
  <c r="Q130" i="1"/>
  <c r="O130" i="1"/>
  <c r="M130" i="1"/>
  <c r="W125" i="1"/>
  <c r="U125" i="1"/>
  <c r="S125" i="1"/>
  <c r="Q125" i="1"/>
  <c r="O125" i="1"/>
  <c r="M125" i="1"/>
  <c r="G339" i="1" l="1"/>
  <c r="G288" i="1"/>
  <c r="U26" i="1" l="1"/>
  <c r="S26" i="1"/>
  <c r="Q26" i="1"/>
  <c r="O26" i="1"/>
  <c r="M26" i="1"/>
  <c r="G299" i="1" l="1"/>
  <c r="J652" i="1" l="1"/>
  <c r="K652" i="1" l="1"/>
  <c r="T652" i="1"/>
  <c r="U652" i="1" s="1"/>
  <c r="P652" i="1"/>
  <c r="Q652" i="1" s="1"/>
  <c r="W652" i="1"/>
  <c r="R652" i="1"/>
  <c r="S652" i="1" s="1"/>
  <c r="H652" i="1"/>
  <c r="I652" i="1" s="1"/>
  <c r="L652" i="1"/>
  <c r="M652" i="1" s="1"/>
  <c r="N652" i="1"/>
  <c r="O652" i="1" s="1"/>
  <c r="W123" i="1"/>
  <c r="U123" i="1"/>
  <c r="S123" i="1"/>
  <c r="Q123" i="1"/>
  <c r="O123" i="1"/>
  <c r="M123" i="1"/>
  <c r="W128" i="1"/>
  <c r="U128" i="1"/>
  <c r="S128" i="1"/>
  <c r="Q128" i="1"/>
  <c r="O128" i="1"/>
  <c r="M128" i="1"/>
  <c r="S126" i="1"/>
  <c r="K62" i="1" l="1"/>
  <c r="G62" i="1"/>
  <c r="G63" i="1" l="1"/>
  <c r="K63" i="1"/>
  <c r="M63" i="1"/>
  <c r="O63" i="1"/>
  <c r="Q63" i="1"/>
  <c r="S63" i="1"/>
  <c r="U63" i="1"/>
  <c r="W63" i="1"/>
  <c r="G133" i="1" l="1"/>
  <c r="G536" i="1" l="1"/>
  <c r="G333" i="1"/>
  <c r="G60" i="1" l="1"/>
  <c r="G657" i="1" l="1"/>
  <c r="G591" i="1" l="1"/>
  <c r="G590" i="1"/>
  <c r="G464" i="1" l="1"/>
  <c r="I768" i="1" l="1"/>
  <c r="I769" i="1"/>
  <c r="K769" i="1" l="1"/>
  <c r="G769" i="1"/>
  <c r="G627" i="1" l="1"/>
  <c r="F715" i="1" l="1"/>
  <c r="P715" i="1" l="1"/>
  <c r="Q715" i="1" s="1"/>
  <c r="L715" i="1"/>
  <c r="H715" i="1"/>
  <c r="N715" i="1"/>
  <c r="T715" i="1"/>
  <c r="U715" i="1" s="1"/>
  <c r="V715" i="1"/>
  <c r="W715" i="1" s="1"/>
  <c r="R715" i="1"/>
  <c r="S715" i="1" s="1"/>
  <c r="J715" i="1"/>
  <c r="K715" i="1" s="1"/>
  <c r="O715" i="1"/>
  <c r="M715" i="1"/>
  <c r="G715" i="1" l="1"/>
  <c r="I715" i="1"/>
  <c r="W575" i="1" l="1"/>
  <c r="O575" i="1" l="1"/>
  <c r="I575" i="1"/>
  <c r="K575" i="1"/>
  <c r="M575" i="1"/>
  <c r="Q575" i="1"/>
  <c r="S575" i="1"/>
  <c r="U575" i="1"/>
  <c r="G576" i="1"/>
  <c r="G575" i="1"/>
  <c r="G643" i="1" l="1"/>
  <c r="G674" i="1" l="1"/>
  <c r="G673" i="1"/>
  <c r="J677" i="1" l="1"/>
  <c r="H677" i="1" l="1"/>
  <c r="I677" i="1" s="1"/>
  <c r="N677" i="1"/>
  <c r="O677" i="1" s="1"/>
  <c r="R677" i="1"/>
  <c r="S677" i="1" s="1"/>
  <c r="L677" i="1"/>
  <c r="M677" i="1" s="1"/>
  <c r="T677" i="1"/>
  <c r="U677" i="1" s="1"/>
  <c r="P677" i="1"/>
  <c r="Q677" i="1" s="1"/>
  <c r="K677" i="1"/>
  <c r="W677" i="1"/>
  <c r="G677" i="1"/>
  <c r="G672" i="1"/>
  <c r="G745" i="1" l="1"/>
  <c r="G725" i="1" l="1"/>
  <c r="G723" i="1"/>
  <c r="F588" i="1"/>
  <c r="R588" i="1" l="1"/>
  <c r="S588" i="1" s="1"/>
  <c r="P588" i="1"/>
  <c r="Q588" i="1" s="1"/>
  <c r="N588" i="1"/>
  <c r="O588" i="1" s="1"/>
  <c r="V588" i="1"/>
  <c r="W588" i="1" s="1"/>
  <c r="L588" i="1"/>
  <c r="M588" i="1" s="1"/>
  <c r="T588" i="1"/>
  <c r="U588" i="1" s="1"/>
  <c r="J588" i="1"/>
  <c r="K588" i="1" s="1"/>
  <c r="H588" i="1"/>
  <c r="I588" i="1" s="1"/>
  <c r="F278" i="1"/>
  <c r="V278" i="1" l="1"/>
  <c r="W278" i="1" s="1"/>
  <c r="J278" i="1"/>
  <c r="K278" i="1" s="1"/>
  <c r="N278" i="1"/>
  <c r="O278" i="1" s="1"/>
  <c r="L278" i="1"/>
  <c r="M278" i="1" s="1"/>
  <c r="P278" i="1"/>
  <c r="Q278" i="1" s="1"/>
  <c r="R278" i="1"/>
  <c r="S278" i="1" s="1"/>
  <c r="T278" i="1"/>
  <c r="U278" i="1" s="1"/>
  <c r="H278" i="1"/>
  <c r="I278" i="1" s="1"/>
  <c r="G14" i="1"/>
  <c r="U14" i="1" l="1"/>
  <c r="S14" i="1"/>
  <c r="Q14" i="1"/>
  <c r="O14" i="1"/>
  <c r="M14" i="1"/>
  <c r="K14" i="1"/>
  <c r="I14" i="1"/>
  <c r="G28" i="1" l="1"/>
  <c r="F594" i="1"/>
  <c r="F582" i="1"/>
  <c r="F581" i="1"/>
  <c r="N581" i="1" l="1"/>
  <c r="O581" i="1" s="1"/>
  <c r="L581" i="1"/>
  <c r="M581" i="1" s="1"/>
  <c r="J581" i="1"/>
  <c r="K581" i="1" s="1"/>
  <c r="H581" i="1"/>
  <c r="I581" i="1" s="1"/>
  <c r="R581" i="1"/>
  <c r="S581" i="1" s="1"/>
  <c r="V581" i="1"/>
  <c r="W581" i="1" s="1"/>
  <c r="P581" i="1"/>
  <c r="Q581" i="1" s="1"/>
  <c r="T581" i="1"/>
  <c r="U581" i="1" s="1"/>
  <c r="L582" i="1"/>
  <c r="M582" i="1" s="1"/>
  <c r="J582" i="1"/>
  <c r="K582" i="1" s="1"/>
  <c r="H582" i="1"/>
  <c r="I582" i="1" s="1"/>
  <c r="V582" i="1"/>
  <c r="W582" i="1" s="1"/>
  <c r="T582" i="1"/>
  <c r="U582" i="1" s="1"/>
  <c r="R582" i="1"/>
  <c r="S582" i="1" s="1"/>
  <c r="P582" i="1"/>
  <c r="Q582" i="1" s="1"/>
  <c r="N582" i="1"/>
  <c r="O582" i="1" s="1"/>
  <c r="L594" i="1"/>
  <c r="M594" i="1" s="1"/>
  <c r="J594" i="1"/>
  <c r="K594" i="1" s="1"/>
  <c r="H594" i="1"/>
  <c r="I594" i="1" s="1"/>
  <c r="V594" i="1"/>
  <c r="W594" i="1" s="1"/>
  <c r="T594" i="1"/>
  <c r="U594" i="1" s="1"/>
  <c r="R594" i="1"/>
  <c r="S594" i="1" s="1"/>
  <c r="P594" i="1"/>
  <c r="Q594" i="1" s="1"/>
  <c r="N594" i="1"/>
  <c r="O594" i="1" s="1"/>
  <c r="G577" i="1"/>
  <c r="F526" i="1"/>
  <c r="F451" i="1"/>
  <c r="H451" i="1" l="1"/>
  <c r="L451" i="1"/>
  <c r="J451" i="1"/>
  <c r="V451" i="1"/>
  <c r="N451" i="1"/>
  <c r="O451" i="1" s="1"/>
  <c r="T451" i="1"/>
  <c r="U451" i="1" s="1"/>
  <c r="V526" i="1"/>
  <c r="W526" i="1" s="1"/>
  <c r="R526" i="1"/>
  <c r="S526" i="1" s="1"/>
  <c r="J526" i="1"/>
  <c r="K526" i="1" s="1"/>
  <c r="P526" i="1"/>
  <c r="Q526" i="1" s="1"/>
  <c r="N526" i="1"/>
  <c r="O526" i="1" s="1"/>
  <c r="L526" i="1"/>
  <c r="M526" i="1" s="1"/>
  <c r="T526" i="1"/>
  <c r="U526" i="1" s="1"/>
  <c r="I451" i="1"/>
  <c r="R451" i="1"/>
  <c r="S451" i="1" s="1"/>
  <c r="M451" i="1"/>
  <c r="W451" i="1"/>
  <c r="K451" i="1"/>
  <c r="P451" i="1"/>
  <c r="Q451" i="1" s="1"/>
  <c r="F303" i="1"/>
  <c r="F301" i="1"/>
  <c r="F254" i="1"/>
  <c r="F253" i="1"/>
  <c r="F95" i="1"/>
  <c r="T303" i="1" l="1"/>
  <c r="U303" i="1" s="1"/>
  <c r="P303" i="1"/>
  <c r="Q303" i="1" s="1"/>
  <c r="N303" i="1"/>
  <c r="O303" i="1" s="1"/>
  <c r="L303" i="1"/>
  <c r="M303" i="1" s="1"/>
  <c r="J303" i="1"/>
  <c r="K303" i="1" s="1"/>
  <c r="R303" i="1"/>
  <c r="S303" i="1" s="1"/>
  <c r="H303" i="1"/>
  <c r="I303" i="1" s="1"/>
  <c r="V303" i="1"/>
  <c r="W303" i="1" s="1"/>
  <c r="V254" i="1"/>
  <c r="W254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P301" i="1"/>
  <c r="Q301" i="1" s="1"/>
  <c r="L301" i="1"/>
  <c r="M301" i="1" s="1"/>
  <c r="J301" i="1"/>
  <c r="K301" i="1" s="1"/>
  <c r="H301" i="1"/>
  <c r="I301" i="1" s="1"/>
  <c r="V301" i="1"/>
  <c r="W301" i="1" s="1"/>
  <c r="T301" i="1"/>
  <c r="U301" i="1" s="1"/>
  <c r="N301" i="1"/>
  <c r="O301" i="1" s="1"/>
  <c r="R301" i="1"/>
  <c r="S301" i="1" s="1"/>
  <c r="P95" i="1"/>
  <c r="Q95" i="1" s="1"/>
  <c r="N95" i="1"/>
  <c r="O95" i="1" s="1"/>
  <c r="J95" i="1"/>
  <c r="K95" i="1" s="1"/>
  <c r="L95" i="1"/>
  <c r="M95" i="1" s="1"/>
  <c r="V95" i="1"/>
  <c r="W95" i="1" s="1"/>
  <c r="T95" i="1"/>
  <c r="U95" i="1" s="1"/>
  <c r="R95" i="1"/>
  <c r="S95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V253" i="1"/>
  <c r="W253" i="1" s="1"/>
  <c r="O374" i="1"/>
  <c r="M374" i="1"/>
  <c r="G687" i="1" l="1"/>
  <c r="G392" i="1"/>
  <c r="G391" i="1" l="1"/>
  <c r="G460" i="1" l="1"/>
  <c r="G461" i="1"/>
  <c r="G270" i="1"/>
  <c r="J11" i="1" l="1"/>
  <c r="G11" i="1"/>
  <c r="I492" i="1" l="1"/>
  <c r="G275" i="1" l="1"/>
  <c r="G277" i="1" l="1"/>
  <c r="G390" i="1" l="1"/>
  <c r="G440" i="1"/>
  <c r="G569" i="1" l="1"/>
  <c r="U207" i="1" l="1"/>
  <c r="S207" i="1"/>
  <c r="Q207" i="1"/>
  <c r="O207" i="1"/>
  <c r="M207" i="1"/>
  <c r="J10" i="1"/>
  <c r="I69" i="1"/>
  <c r="G466" i="1" l="1"/>
  <c r="U492" i="1" l="1"/>
  <c r="S492" i="1"/>
  <c r="Q492" i="1"/>
  <c r="O492" i="1"/>
  <c r="M492" i="1"/>
  <c r="K492" i="1"/>
  <c r="G492" i="1"/>
  <c r="G579" i="1" l="1"/>
  <c r="G578" i="1"/>
  <c r="U149" i="1"/>
  <c r="W149" i="1"/>
  <c r="S149" i="1"/>
  <c r="Q149" i="1"/>
  <c r="O149" i="1"/>
  <c r="M149" i="1"/>
  <c r="K149" i="1"/>
  <c r="W148" i="1"/>
  <c r="U148" i="1"/>
  <c r="S148" i="1"/>
  <c r="Q148" i="1"/>
  <c r="O148" i="1"/>
  <c r="M148" i="1"/>
  <c r="K148" i="1"/>
  <c r="G443" i="1" l="1"/>
  <c r="G593" i="1" l="1"/>
  <c r="G546" i="1" l="1"/>
  <c r="Q546" i="1" l="1"/>
  <c r="O546" i="1"/>
  <c r="M546" i="1"/>
  <c r="W546" i="1"/>
  <c r="K546" i="1"/>
  <c r="U546" i="1"/>
  <c r="S546" i="1"/>
  <c r="I546" i="1"/>
  <c r="G455" i="1" l="1"/>
  <c r="F17" i="1" l="1"/>
  <c r="H17" i="1" s="1"/>
  <c r="F18" i="1"/>
  <c r="H18" i="1" s="1"/>
  <c r="G656" i="1" l="1"/>
  <c r="G448" i="1" l="1"/>
  <c r="G580" i="1" l="1"/>
  <c r="G422" i="1" l="1"/>
  <c r="G609" i="1" l="1"/>
  <c r="G423" i="1" l="1"/>
  <c r="G420" i="1" l="1"/>
  <c r="G632" i="1" l="1"/>
  <c r="G676" i="1"/>
  <c r="G98" i="1"/>
  <c r="G756" i="1" l="1"/>
  <c r="G421" i="1" l="1"/>
  <c r="W534" i="1" l="1"/>
  <c r="W530" i="1"/>
  <c r="W529" i="1"/>
  <c r="U534" i="1"/>
  <c r="U530" i="1"/>
  <c r="U529" i="1"/>
  <c r="S534" i="1"/>
  <c r="S530" i="1"/>
  <c r="S529" i="1"/>
  <c r="Q534" i="1"/>
  <c r="Q530" i="1"/>
  <c r="Q529" i="1"/>
  <c r="O534" i="1"/>
  <c r="O530" i="1"/>
  <c r="O529" i="1"/>
  <c r="G532" i="1"/>
  <c r="G533" i="1"/>
  <c r="G534" i="1"/>
  <c r="G531" i="1"/>
  <c r="G530" i="1"/>
  <c r="G529" i="1"/>
  <c r="G384" i="1" l="1"/>
  <c r="F568" i="1" l="1"/>
  <c r="V568" i="1" l="1"/>
  <c r="W568" i="1" s="1"/>
  <c r="P568" i="1"/>
  <c r="Q568" i="1" s="1"/>
  <c r="N568" i="1"/>
  <c r="O568" i="1" s="1"/>
  <c r="T568" i="1"/>
  <c r="U568" i="1" s="1"/>
  <c r="R568" i="1"/>
  <c r="S568" i="1" s="1"/>
  <c r="L568" i="1"/>
  <c r="M568" i="1" s="1"/>
  <c r="J568" i="1"/>
  <c r="K568" i="1" s="1"/>
  <c r="H568" i="1"/>
  <c r="I568" i="1" s="1"/>
  <c r="G322" i="1"/>
  <c r="G409" i="1" l="1"/>
  <c r="F199" i="1" l="1"/>
  <c r="F198" i="1"/>
  <c r="N199" i="1" l="1"/>
  <c r="O199" i="1" s="1"/>
  <c r="L199" i="1"/>
  <c r="M199" i="1" s="1"/>
  <c r="J199" i="1"/>
  <c r="K199" i="1" s="1"/>
  <c r="H199" i="1"/>
  <c r="I199" i="1" s="1"/>
  <c r="R199" i="1"/>
  <c r="S199" i="1" s="1"/>
  <c r="V199" i="1"/>
  <c r="W199" i="1" s="1"/>
  <c r="T199" i="1"/>
  <c r="U199" i="1" s="1"/>
  <c r="P199" i="1"/>
  <c r="Q199" i="1" s="1"/>
  <c r="L198" i="1"/>
  <c r="M198" i="1" s="1"/>
  <c r="J198" i="1"/>
  <c r="K198" i="1" s="1"/>
  <c r="V198" i="1"/>
  <c r="W198" i="1" s="1"/>
  <c r="T198" i="1"/>
  <c r="U198" i="1" s="1"/>
  <c r="R198" i="1"/>
  <c r="S198" i="1" s="1"/>
  <c r="P198" i="1"/>
  <c r="Q198" i="1" s="1"/>
  <c r="N198" i="1"/>
  <c r="O198" i="1" s="1"/>
  <c r="G439" i="1"/>
  <c r="O785" i="1" l="1"/>
  <c r="G355" i="1" l="1"/>
  <c r="G773" i="1" l="1"/>
  <c r="G602" i="1" l="1"/>
  <c r="G601" i="1" l="1"/>
  <c r="G587" i="1" l="1"/>
  <c r="G582" i="1"/>
  <c r="G581" i="1" l="1"/>
  <c r="G301" i="1" l="1"/>
  <c r="G298" i="1"/>
  <c r="G283" i="1" l="1"/>
  <c r="G278" i="1"/>
  <c r="G685" i="1" l="1"/>
  <c r="G686" i="1"/>
  <c r="G567" i="1" l="1"/>
  <c r="G227" i="1" l="1"/>
  <c r="G226" i="1" l="1"/>
  <c r="G650" i="1" l="1"/>
  <c r="G649" i="1"/>
  <c r="G408" i="1" l="1"/>
  <c r="G282" i="1" l="1"/>
  <c r="G199" i="1" l="1"/>
  <c r="G200" i="1"/>
  <c r="G198" i="1" l="1"/>
  <c r="G196" i="1"/>
  <c r="G194" i="1"/>
  <c r="G189" i="1"/>
  <c r="G186" i="1"/>
  <c r="G342" i="1" l="1"/>
  <c r="W691" i="1" l="1"/>
  <c r="U691" i="1"/>
  <c r="S691" i="1"/>
  <c r="Q691" i="1"/>
  <c r="O691" i="1"/>
  <c r="M691" i="1"/>
  <c r="K691" i="1"/>
  <c r="I691" i="1"/>
  <c r="W614" i="1" l="1"/>
  <c r="U614" i="1"/>
  <c r="S614" i="1"/>
  <c r="Q614" i="1"/>
  <c r="O614" i="1"/>
  <c r="M614" i="1"/>
  <c r="K614" i="1"/>
  <c r="I614" i="1"/>
  <c r="W35" i="1" l="1"/>
  <c r="U35" i="1"/>
  <c r="S35" i="1"/>
  <c r="Q35" i="1"/>
  <c r="O35" i="1"/>
  <c r="G59" i="1"/>
  <c r="G465" i="1" l="1"/>
  <c r="G300" i="1" l="1"/>
  <c r="G586" i="1" l="1"/>
  <c r="G585" i="1" l="1"/>
  <c r="G211" i="1"/>
  <c r="G210" i="1"/>
  <c r="G207" i="1"/>
  <c r="W202" i="1"/>
  <c r="U202" i="1"/>
  <c r="S202" i="1"/>
  <c r="Q202" i="1"/>
  <c r="O202" i="1"/>
  <c r="G209" i="1" l="1"/>
  <c r="G208" i="1"/>
  <c r="W207" i="1"/>
  <c r="G212" i="1"/>
  <c r="G660" i="1"/>
  <c r="I788" i="1" l="1"/>
  <c r="I787" i="1"/>
  <c r="I785" i="1"/>
  <c r="I786" i="1"/>
  <c r="W785" i="1"/>
  <c r="U785" i="1"/>
  <c r="S785" i="1"/>
  <c r="Q785" i="1"/>
  <c r="M785" i="1"/>
  <c r="K785" i="1"/>
  <c r="W613" i="1" l="1"/>
  <c r="U613" i="1" l="1"/>
  <c r="I613" i="1"/>
  <c r="M613" i="1"/>
  <c r="Q613" i="1"/>
  <c r="K613" i="1"/>
  <c r="O613" i="1"/>
  <c r="S613" i="1"/>
  <c r="G584" i="1" l="1"/>
  <c r="G583" i="1"/>
  <c r="K365" i="1" l="1"/>
  <c r="I566" i="1" l="1"/>
  <c r="G281" i="1" l="1"/>
  <c r="G671" i="1" l="1"/>
  <c r="G664" i="1"/>
  <c r="G670" i="1"/>
  <c r="G642" i="1" l="1"/>
  <c r="G629" i="1" l="1"/>
  <c r="G647" i="1"/>
  <c r="G631" i="1" l="1"/>
  <c r="G646" i="1"/>
  <c r="G634" i="1"/>
  <c r="I624" i="1"/>
  <c r="G669" i="1"/>
  <c r="G662" i="1"/>
  <c r="G661" i="1"/>
  <c r="G653" i="1"/>
  <c r="G652" i="1"/>
  <c r="G651" i="1"/>
  <c r="G633" i="1"/>
  <c r="G624" i="1"/>
  <c r="G325" i="1" l="1"/>
  <c r="G324" i="1" l="1"/>
  <c r="G356" i="1"/>
  <c r="G337" i="1"/>
  <c r="G335" i="1"/>
  <c r="G336" i="1"/>
  <c r="I17" i="1"/>
  <c r="I18" i="1"/>
  <c r="G18" i="1"/>
  <c r="G17" i="1"/>
  <c r="N18" i="1"/>
  <c r="G45" i="1"/>
  <c r="G44" i="1"/>
  <c r="W43" i="1"/>
  <c r="U43" i="1"/>
  <c r="S43" i="1"/>
  <c r="Q43" i="1"/>
  <c r="G43" i="1"/>
  <c r="G135" i="1"/>
  <c r="G257" i="1" l="1"/>
  <c r="G446" i="1" l="1"/>
  <c r="G771" i="1" l="1"/>
  <c r="G766" i="1" l="1"/>
  <c r="K768" i="1"/>
  <c r="G768" i="1"/>
  <c r="G496" i="1" l="1"/>
  <c r="G495" i="1"/>
  <c r="Q55" i="1" l="1"/>
  <c r="M55" i="1"/>
  <c r="K55" i="1"/>
  <c r="W55" i="1"/>
  <c r="U55" i="1"/>
  <c r="S55" i="1"/>
  <c r="O55" i="1"/>
  <c r="G55" i="1"/>
  <c r="G385" i="1" l="1"/>
  <c r="G411" i="1" l="1"/>
  <c r="G332" i="1"/>
  <c r="G265" i="1" l="1"/>
  <c r="G269" i="1"/>
  <c r="G272" i="1" l="1"/>
  <c r="I781" i="1" l="1"/>
  <c r="K781" i="1"/>
  <c r="W781" i="1"/>
  <c r="U781" i="1"/>
  <c r="S781" i="1"/>
  <c r="Q781" i="1"/>
  <c r="O781" i="1"/>
  <c r="M781" i="1"/>
  <c r="W780" i="1"/>
  <c r="U780" i="1"/>
  <c r="S780" i="1"/>
  <c r="Q780" i="1"/>
  <c r="O780" i="1"/>
  <c r="M780" i="1"/>
  <c r="S786" i="1"/>
  <c r="U786" i="1"/>
  <c r="W786" i="1"/>
  <c r="S787" i="1"/>
  <c r="U787" i="1"/>
  <c r="W787" i="1"/>
  <c r="S788" i="1"/>
  <c r="U788" i="1"/>
  <c r="W788" i="1"/>
  <c r="Q788" i="1"/>
  <c r="O788" i="1"/>
  <c r="M788" i="1"/>
  <c r="K788" i="1"/>
  <c r="M131" i="1" l="1"/>
  <c r="M127" i="1"/>
  <c r="M126" i="1"/>
  <c r="M122" i="1"/>
  <c r="M121" i="1"/>
  <c r="O107" i="1"/>
  <c r="O106" i="1"/>
  <c r="Q74" i="1" l="1"/>
  <c r="Q73" i="1"/>
  <c r="Q72" i="1"/>
  <c r="Q70" i="1"/>
  <c r="Q71" i="1"/>
  <c r="W757" i="1" l="1"/>
  <c r="U757" i="1"/>
  <c r="S757" i="1"/>
  <c r="Q757" i="1"/>
  <c r="O757" i="1"/>
  <c r="M757" i="1"/>
  <c r="W566" i="1"/>
  <c r="U566" i="1"/>
  <c r="S566" i="1"/>
  <c r="Q566" i="1"/>
  <c r="O566" i="1"/>
  <c r="M566" i="1"/>
  <c r="K566" i="1"/>
  <c r="Q523" i="1"/>
  <c r="Q493" i="1"/>
  <c r="Q491" i="1"/>
  <c r="G753" i="1" l="1"/>
  <c r="G752" i="1"/>
  <c r="Q131" i="1" l="1"/>
  <c r="Q127" i="1"/>
  <c r="Q126" i="1"/>
  <c r="Q122" i="1"/>
  <c r="Q121" i="1"/>
  <c r="Q107" i="1"/>
  <c r="Q106" i="1"/>
  <c r="Q105" i="1"/>
  <c r="Q104" i="1"/>
  <c r="Q134" i="1" l="1"/>
  <c r="Q46" i="1" l="1"/>
  <c r="Q40" i="1"/>
  <c r="Q38" i="1"/>
  <c r="Q34" i="1"/>
  <c r="Q29" i="1"/>
  <c r="G610" i="1" l="1"/>
  <c r="G259" i="1"/>
  <c r="G287" i="1" l="1"/>
  <c r="G244" i="1"/>
  <c r="G507" i="1" l="1"/>
  <c r="G442" i="1" l="1"/>
  <c r="G473" i="1"/>
  <c r="G329" i="1"/>
  <c r="G416" i="1"/>
  <c r="Q151" i="1"/>
  <c r="Q150" i="1"/>
  <c r="W38" i="1"/>
  <c r="G138" i="1" l="1"/>
  <c r="G304" i="1" l="1"/>
  <c r="G216" i="1"/>
  <c r="G441" i="1" l="1"/>
  <c r="O72" i="1" l="1"/>
  <c r="G233" i="1"/>
  <c r="G330" i="1" l="1"/>
  <c r="W70" i="1" l="1"/>
  <c r="U70" i="1"/>
  <c r="S70" i="1"/>
  <c r="O70" i="1"/>
  <c r="G327" i="1"/>
  <c r="G430" i="1" l="1"/>
  <c r="G772" i="1" l="1"/>
  <c r="G774" i="1"/>
  <c r="G501" i="1" l="1"/>
  <c r="G588" i="1" l="1"/>
  <c r="G39" i="1" l="1"/>
  <c r="U38" i="1"/>
  <c r="S38" i="1"/>
  <c r="O38" i="1"/>
  <c r="G38" i="1"/>
  <c r="I700" i="1" l="1"/>
  <c r="G290" i="1" l="1"/>
  <c r="G297" i="1" l="1"/>
  <c r="G291" i="1"/>
  <c r="G181" i="1" l="1"/>
  <c r="V96" i="1" l="1"/>
  <c r="T96" i="1"/>
  <c r="R96" i="1"/>
  <c r="N96" i="1"/>
  <c r="K96" i="1"/>
  <c r="G454" i="1" l="1"/>
  <c r="G597" i="1" l="1"/>
  <c r="G234" i="1" l="1"/>
  <c r="G547" i="1" l="1"/>
  <c r="G457" i="1"/>
  <c r="I813" i="1" l="1"/>
  <c r="M134" i="1"/>
  <c r="W131" i="1"/>
  <c r="W127" i="1"/>
  <c r="W126" i="1"/>
  <c r="W122" i="1"/>
  <c r="W121" i="1"/>
  <c r="U127" i="1"/>
  <c r="U126" i="1"/>
  <c r="U122" i="1"/>
  <c r="U121" i="1"/>
  <c r="S131" i="1"/>
  <c r="S127" i="1"/>
  <c r="S122" i="1"/>
  <c r="S121" i="1"/>
  <c r="O122" i="1"/>
  <c r="O126" i="1"/>
  <c r="O127" i="1"/>
  <c r="O131" i="1"/>
  <c r="O121" i="1"/>
  <c r="W104" i="1"/>
  <c r="W105" i="1"/>
  <c r="W106" i="1"/>
  <c r="W107" i="1"/>
  <c r="U104" i="1"/>
  <c r="U105" i="1"/>
  <c r="U106" i="1"/>
  <c r="U107" i="1"/>
  <c r="S104" i="1"/>
  <c r="S105" i="1"/>
  <c r="S106" i="1"/>
  <c r="S107" i="1"/>
  <c r="W134" i="1" l="1"/>
  <c r="G612" i="1" l="1"/>
  <c r="G611" i="1"/>
  <c r="G592" i="1"/>
  <c r="G594" i="1"/>
  <c r="G608" i="1"/>
  <c r="G539" i="1" l="1"/>
  <c r="G328" i="1" l="1"/>
  <c r="G354" i="1"/>
  <c r="G331" i="1"/>
  <c r="G353" i="1" l="1"/>
  <c r="G256" i="1" l="1"/>
  <c r="G10" i="1"/>
  <c r="G246" i="1" l="1"/>
  <c r="G757" i="1" l="1"/>
  <c r="G247" i="1" l="1"/>
  <c r="O34" i="1"/>
  <c r="G215" i="1" l="1"/>
  <c r="G746" i="1" l="1"/>
  <c r="G748" i="1"/>
  <c r="G747" i="1"/>
  <c r="G444" i="1" l="1"/>
  <c r="G445" i="1"/>
  <c r="S40" i="1" l="1"/>
  <c r="G537" i="1" l="1"/>
  <c r="G770" i="1" l="1"/>
  <c r="G767" i="1"/>
  <c r="G308" i="1"/>
  <c r="G248" i="1"/>
  <c r="G245" i="1"/>
  <c r="G243" i="1"/>
  <c r="G231" i="1"/>
  <c r="G232" i="1"/>
  <c r="G230" i="1"/>
  <c r="G103" i="1"/>
  <c r="G65" i="1"/>
  <c r="G24" i="1"/>
  <c r="G22" i="1"/>
  <c r="G23" i="1"/>
  <c r="G438" i="1" l="1"/>
  <c r="U491" i="1" l="1"/>
  <c r="S491" i="1"/>
  <c r="M491" i="1"/>
  <c r="G491" i="1"/>
  <c r="J545" i="1" l="1"/>
  <c r="J542" i="1"/>
  <c r="J541" i="1"/>
  <c r="J540" i="1"/>
  <c r="J544" i="1"/>
  <c r="J539" i="1"/>
  <c r="G21" i="1" l="1"/>
  <c r="G493" i="1"/>
  <c r="M493" i="1"/>
  <c r="O493" i="1"/>
  <c r="S493" i="1"/>
  <c r="U493" i="1"/>
  <c r="G173" i="1"/>
  <c r="G25" i="1" l="1"/>
  <c r="G596" i="1" l="1"/>
  <c r="G52" i="1" l="1"/>
  <c r="G54" i="1"/>
  <c r="O29" i="1"/>
  <c r="G56" i="1"/>
  <c r="U29" i="1" l="1"/>
  <c r="G27" i="1" l="1"/>
  <c r="G362" i="1"/>
  <c r="O134" i="1"/>
  <c r="S134" i="1"/>
  <c r="U134" i="1"/>
  <c r="G350" i="1" l="1"/>
  <c r="G13" i="1" l="1"/>
  <c r="G568" i="1" l="1"/>
  <c r="G154" i="1" l="1"/>
  <c r="G12" i="1"/>
  <c r="G20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1" i="1"/>
  <c r="G58" i="1"/>
  <c r="G66" i="1"/>
  <c r="O71" i="1"/>
  <c r="S71" i="1"/>
  <c r="U71" i="1"/>
  <c r="W71" i="1"/>
  <c r="S72" i="1"/>
  <c r="U72" i="1"/>
  <c r="W72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9" i="1"/>
  <c r="G100" i="1"/>
  <c r="G102" i="1"/>
  <c r="G134" i="1"/>
  <c r="G146" i="1"/>
  <c r="Q146" i="1"/>
  <c r="G147" i="1"/>
  <c r="Q147" i="1"/>
  <c r="G150" i="1"/>
  <c r="G151" i="1"/>
  <c r="G175" i="1"/>
  <c r="G176" i="1"/>
  <c r="G206" i="1"/>
  <c r="G213" i="1"/>
  <c r="G219" i="1"/>
  <c r="G241" i="1"/>
  <c r="G251" i="1"/>
  <c r="M251" i="1"/>
  <c r="P251" i="1"/>
  <c r="G253" i="1"/>
  <c r="G254" i="1"/>
  <c r="G255" i="1"/>
  <c r="G260" i="1"/>
  <c r="G289" i="1"/>
  <c r="G303" i="1"/>
  <c r="G749" i="1"/>
  <c r="G750" i="1"/>
  <c r="G363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6" i="1"/>
  <c r="G387" i="1"/>
  <c r="G388" i="1"/>
  <c r="G389" i="1"/>
  <c r="G393" i="1"/>
  <c r="G394" i="1"/>
  <c r="G402" i="1"/>
  <c r="G403" i="1"/>
  <c r="G413" i="1"/>
  <c r="G414" i="1"/>
  <c r="G415" i="1"/>
  <c r="G418" i="1"/>
  <c r="G426" i="1"/>
  <c r="G429" i="1"/>
  <c r="G432" i="1"/>
  <c r="G433" i="1"/>
  <c r="G436" i="1"/>
  <c r="G437" i="1"/>
  <c r="G451" i="1"/>
  <c r="G456" i="1"/>
  <c r="G458" i="1"/>
  <c r="G494" i="1"/>
  <c r="G502" i="1"/>
  <c r="G523" i="1"/>
  <c r="O523" i="1"/>
  <c r="S523" i="1"/>
  <c r="U523" i="1"/>
  <c r="W523" i="1"/>
  <c r="G524" i="1"/>
  <c r="G525" i="1"/>
  <c r="G526" i="1"/>
  <c r="G527" i="1"/>
  <c r="G535" i="1"/>
  <c r="G540" i="1"/>
  <c r="G541" i="1"/>
  <c r="G542" i="1"/>
  <c r="G544" i="1"/>
  <c r="G545" i="1"/>
  <c r="G548" i="1"/>
  <c r="G549" i="1"/>
  <c r="G550" i="1"/>
  <c r="G552" i="1"/>
  <c r="G553" i="1"/>
  <c r="G561" i="1"/>
  <c r="G562" i="1"/>
  <c r="G566" i="1"/>
  <c r="G603" i="1"/>
  <c r="G762" i="1"/>
  <c r="M762" i="1"/>
  <c r="O762" i="1"/>
  <c r="Q762" i="1"/>
  <c r="S762" i="1"/>
  <c r="U762" i="1"/>
  <c r="M778" i="1"/>
  <c r="O778" i="1"/>
  <c r="S778" i="1"/>
  <c r="U778" i="1"/>
  <c r="W778" i="1"/>
  <c r="K779" i="1"/>
  <c r="M779" i="1"/>
  <c r="O779" i="1"/>
  <c r="Q779" i="1"/>
  <c r="S779" i="1"/>
  <c r="U779" i="1"/>
  <c r="W779" i="1"/>
  <c r="K786" i="1"/>
  <c r="M786" i="1"/>
  <c r="O786" i="1"/>
  <c r="Q786" i="1"/>
  <c r="K787" i="1"/>
  <c r="M787" i="1"/>
  <c r="O787" i="1"/>
  <c r="Q787" i="1"/>
  <c r="M790" i="1"/>
  <c r="Q790" i="1"/>
  <c r="I812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4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5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5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<sst xmlns="http://schemas.openxmlformats.org/spreadsheetml/2006/main" count="1337" uniqueCount="1072">
  <si>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</si>
  <si>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</si>
  <si>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</si>
  <si>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</si>
  <si>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</si>
  <si>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</si>
  <si>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</si>
  <si>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</si>
  <si>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</si>
  <si>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</si>
  <si>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</si>
  <si>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</si>
  <si>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</si>
  <si>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</si>
  <si>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</si>
  <si>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</si>
  <si>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</si>
  <si>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</si>
  <si>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</si>
  <si>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</si>
  <si>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</si>
  <si>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</si>
  <si>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</si>
  <si>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</si>
  <si>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</si>
  <si>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</si>
  <si>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</si>
  <si>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</si>
  <si>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</si>
  <si>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</si>
  <si>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</si>
  <si>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</si>
  <si>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</si>
  <si>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</si>
  <si>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</si>
  <si>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</si>
  <si>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</si>
  <si>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</si>
  <si>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</si>
  <si>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</si>
  <si>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</si>
  <si>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</si>
  <si>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</si>
  <si>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</si>
  <si>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</si>
  <si>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</si>
  <si>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</si>
  <si>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</si>
  <si>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</si>
  <si>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</si>
  <si>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</si>
  <si>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</si>
  <si>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</si>
  <si>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</si>
  <si>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</si>
  <si>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</si>
  <si>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</si>
  <si>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</si>
  <si>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</si>
  <si>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</si>
  <si>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</si>
  <si>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</si>
  <si>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</si>
  <si>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</si>
  <si>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</si>
  <si>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</si>
  <si>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</si>
  <si>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</si>
  <si>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</si>
  <si>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</si>
  <si>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</si>
  <si>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</si>
  <si>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</si>
  <si>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</si>
  <si>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</si>
  <si>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</si>
  <si>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</si>
  <si>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</si>
  <si>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</si>
  <si>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</si>
  <si>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</si>
  <si>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</si>
  <si>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</si>
  <si>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</si>
  <si>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</si>
  <si>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</si>
  <si>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</si>
  <si>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</si>
  <si>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</si>
  <si>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</si>
  <si>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</si>
  <si>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</si>
  <si>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</si>
  <si>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</si>
  <si>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</si>
  <si>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</si>
  <si>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</si>
  <si>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</si>
  <si>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</si>
  <si>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</si>
  <si>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</si>
  <si>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</si>
  <si>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</si>
  <si>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</si>
  <si>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</si>
  <si>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</si>
  <si>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</si>
  <si>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</si>
  <si>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</si>
  <si>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</si>
  <si>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</si>
  <si>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</si>
  <si>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</si>
  <si>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</si>
  <si>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</si>
  <si>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</si>
  <si>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</si>
  <si>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</si>
  <si>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</si>
  <si>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</si>
  <si>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</si>
  <si>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</si>
  <si>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</si>
  <si>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</si>
  <si>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</si>
  <si>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</si>
  <si>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</si>
  <si>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</si>
  <si>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</si>
  <si>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</si>
  <si>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</si>
  <si>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</si>
  <si>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</si>
  <si>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</si>
  <si>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</si>
  <si>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</si>
  <si>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</si>
  <si>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</si>
  <si>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</si>
  <si>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</si>
  <si>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</si>
  <si>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</si>
  <si>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</si>
  <si>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</si>
  <si>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</si>
  <si>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</si>
  <si>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</si>
  <si>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</si>
  <si>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</si>
  <si>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</si>
  <si>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</si>
  <si>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</si>
  <si>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</si>
  <si>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</si>
  <si>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</si>
  <si>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</si>
  <si>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</si>
  <si>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</si>
  <si>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</si>
  <si>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</si>
  <si>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</si>
  <si>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</si>
  <si>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</si>
  <si>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</si>
  <si>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</si>
  <si>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</si>
  <si>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</si>
  <si>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</si>
  <si>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</si>
  <si>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</si>
  <si>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</si>
  <si>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</si>
  <si>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</si>
  <si>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</si>
  <si>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</si>
  <si>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</si>
  <si>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</si>
  <si>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</si>
  <si>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</si>
  <si>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</si>
  <si>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</si>
  <si>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</si>
  <si>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</si>
  <si>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</si>
  <si>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</si>
  <si>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</si>
  <si>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</si>
  <si>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</si>
  <si>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</si>
  <si>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</si>
  <si>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</si>
  <si>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</si>
  <si>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</si>
  <si>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</si>
  <si>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</si>
  <si>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</si>
  <si>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</si>
  <si>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</si>
  <si>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</si>
  <si>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</si>
  <si>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</si>
  <si>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</si>
  <si>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</si>
  <si>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</si>
  <si>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</si>
  <si>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</si>
  <si>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</si>
  <si>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</si>
  <si>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</si>
  <si>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</si>
  <si>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</si>
  <si>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</si>
  <si>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</si>
  <si>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</si>
  <si>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</si>
  <si>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</si>
  <si>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</si>
  <si>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</si>
  <si>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</si>
  <si>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</si>
  <si>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</si>
  <si>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</si>
  <si>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</si>
  <si>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</si>
  <si>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</si>
  <si>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</si>
  <si>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</si>
  <si>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</si>
  <si>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</si>
  <si>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</si>
  <si>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</si>
  <si>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</si>
  <si>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</si>
  <si>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</si>
  <si>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</si>
  <si>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</si>
  <si>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</si>
  <si>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</si>
  <si>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</si>
  <si>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</si>
  <si>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</si>
  <si>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</si>
  <si>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</si>
  <si>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</si>
  <si>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</si>
  <si>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</si>
  <si>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</si>
  <si>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</si>
  <si>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</si>
  <si>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</si>
  <si>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</si>
  <si>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</si>
  <si>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</si>
  <si>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</si>
  <si>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</si>
  <si>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</si>
  <si>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</si>
  <si>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</si>
  <si>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</si>
  <si>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</si>
  <si>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</si>
  <si>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</si>
  <si>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</si>
  <si>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</si>
  <si>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</si>
  <si>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</si>
  <si>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</si>
  <si>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</si>
  <si>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</si>
  <si>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</si>
  <si>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</si>
  <si>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</si>
  <si>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</si>
  <si>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</si>
  <si>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</si>
  <si>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</si>
  <si>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</si>
  <si>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</si>
  <si>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</si>
  <si>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</si>
  <si>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</si>
  <si>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</si>
  <si>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</si>
  <si>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</si>
  <si>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</si>
  <si>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</si>
  <si>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</si>
  <si>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</si>
  <si>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</si>
  <si>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</si>
  <si>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</si>
  <si>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</si>
  <si>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</si>
  <si>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</si>
  <si>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</si>
  <si>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</si>
  <si>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</si>
  <si>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</si>
  <si>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</si>
  <si>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</si>
  <si>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</si>
  <si>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</si>
  <si>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</si>
  <si>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</si>
  <si>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</si>
  <si>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</si>
  <si>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</si>
  <si>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</si>
  <si>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</si>
  <si>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</si>
  <si>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</si>
  <si>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</si>
  <si>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</si>
  <si>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</si>
  <si>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</si>
  <si>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</si>
  <si>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</si>
  <si>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</si>
  <si>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</si>
  <si>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</si>
  <si>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</si>
  <si>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</si>
  <si>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</si>
  <si>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</si>
  <si>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</si>
  <si>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</si>
  <si>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</si>
  <si>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</si>
  <si>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</si>
  <si>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</si>
  <si>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</si>
  <si>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</si>
  <si>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</si>
  <si>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</si>
  <si>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</si>
  <si>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</si>
  <si>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</si>
  <si>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</si>
  <si>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</si>
  <si>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</si>
  <si>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</si>
  <si>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</si>
  <si>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</si>
  <si>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</si>
  <si>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</si>
  <si>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</si>
  <si>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</si>
  <si>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</si>
  <si>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</si>
  <si>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</si>
  <si>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</si>
  <si>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</si>
  <si>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</si>
  <si>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</si>
  <si>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</si>
  <si>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</si>
  <si>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</si>
  <si>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</si>
  <si>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</si>
  <si>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</si>
  <si>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</si>
  <si>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</si>
  <si>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</si>
  <si>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</si>
  <si>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</si>
  <si>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</si>
  <si>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</si>
  <si>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</si>
  <si>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</si>
  <si>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</si>
  <si>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</si>
  <si>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</si>
  <si>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</si>
  <si>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</si>
  <si>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</si>
  <si>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</si>
  <si>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</si>
  <si>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</si>
  <si>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</si>
  <si>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</si>
  <si>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</si>
  <si>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</si>
  <si>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</si>
  <si>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</si>
  <si>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</si>
  <si>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</si>
  <si>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</si>
  <si>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</si>
  <si>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</si>
  <si>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</si>
  <si>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</si>
  <si>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</si>
  <si>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</si>
  <si>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</si>
  <si>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</si>
  <si>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</si>
  <si>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</si>
  <si>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</si>
  <si>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</si>
  <si>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</si>
  <si>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</si>
  <si>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</si>
  <si>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</si>
  <si>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</si>
  <si>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</si>
  <si>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</si>
  <si>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</si>
  <si>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</si>
  <si>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</si>
  <si>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</si>
  <si>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</si>
  <si>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</si>
  <si>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</si>
  <si>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</si>
  <si>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</si>
  <si>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</si>
  <si>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</si>
  <si>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</si>
  <si>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</si>
  <si>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</si>
  <si>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</si>
  <si>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</si>
  <si>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</si>
  <si>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</si>
  <si>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</si>
  <si>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</si>
  <si>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</si>
  <si>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</si>
  <si>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</si>
  <si>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</si>
  <si>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</si>
  <si>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</si>
  <si>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</si>
  <si>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</si>
  <si>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</si>
  <si>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</si>
  <si>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</si>
  <si>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</si>
  <si>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</si>
  <si>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</si>
  <si>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</si>
  <si>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</si>
  <si>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</si>
  <si>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</si>
  <si>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</si>
  <si>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</si>
  <si>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</si>
  <si>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</si>
  <si>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</si>
  <si>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</si>
  <si>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</si>
  <si>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</si>
  <si>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</si>
  <si>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</si>
  <si>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</si>
  <si>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</si>
  <si>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</si>
  <si>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02254-1</t>
  </si>
  <si>
    <t>Recargo impresión adicional tampografía bolígrafos mayores cantidades:</t>
  </si>
  <si>
    <t>LL-102</t>
  </si>
  <si>
    <t>00819 - Carpeta A4 con block de hojas y porta bolígrafo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</si>
  <si>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</si>
  <si>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</si>
  <si>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</si>
  <si>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</si>
  <si>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</si>
  <si>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</si>
  <si>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</si>
  <si>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</si>
  <si>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</si>
  <si>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</si>
  <si>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</si>
  <si>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</si>
  <si>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</si>
  <si>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</si>
  <si>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</si>
  <si>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</si>
  <si>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</si>
  <si>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</si>
  <si>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</si>
  <si>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</si>
  <si>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</si>
  <si>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</si>
  <si>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</si>
  <si>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</si>
  <si>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</si>
  <si>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</si>
  <si>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</si>
  <si>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</si>
  <si>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</si>
  <si>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</si>
  <si>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</si>
  <si>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</si>
  <si>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</si>
  <si>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</si>
  <si>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</si>
  <si>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</si>
  <si>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</si>
  <si>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</si>
  <si>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</si>
  <si>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</si>
  <si>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</si>
  <si>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</si>
  <si>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</si>
  <si>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</si>
  <si>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</si>
  <si>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</si>
  <si>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</si>
  <si>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</si>
  <si>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</si>
  <si>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</si>
  <si>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</si>
  <si>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</si>
  <si>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</si>
  <si>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</si>
  <si>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</si>
  <si>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</si>
  <si>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</si>
  <si>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</si>
  <si>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</si>
  <si>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</si>
  <si>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</si>
  <si>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</si>
  <si>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</si>
  <si>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</si>
  <si>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</si>
  <si>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</si>
  <si>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</si>
  <si>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</si>
  <si>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</si>
  <si>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</si>
  <si>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</si>
  <si>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</si>
  <si>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</si>
  <si>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</si>
  <si>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</si>
  <si>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</si>
  <si>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</si>
  <si>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</si>
  <si>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</si>
  <si>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</si>
  <si>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</si>
  <si>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</si>
  <si>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</si>
  <si>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</si>
  <si>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</si>
  <si>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</si>
  <si>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IMP. FULL COLOR DE UN LADO SIN FONDO PLENO. CON FONDO 40% MAS</t>
  </si>
  <si>
    <t>00836 - Set escritorio con notas y mini bolígrafo</t>
  </si>
  <si>
    <t>00936 - Set escritorio con notas y mini bolígrafo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</si>
  <si>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</si>
  <si>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</si>
  <si>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</si>
  <si>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</si>
  <si>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</si>
  <si>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</si>
  <si>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</si>
  <si>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</si>
  <si>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</si>
  <si>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</si>
  <si>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</si>
  <si>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</si>
  <si>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</si>
  <si>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</si>
  <si>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</si>
  <si>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</si>
  <si>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</si>
  <si>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</si>
  <si>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</si>
  <si>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</si>
  <si>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</si>
  <si>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</si>
  <si>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</si>
  <si>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</si>
  <si>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</si>
  <si>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</si>
  <si>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</si>
  <si>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</si>
  <si>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</si>
  <si>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</si>
  <si>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</si>
  <si>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</si>
  <si>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</si>
  <si>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</si>
  <si>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</si>
  <si>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</si>
  <si>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</si>
  <si>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</si>
  <si>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</si>
  <si>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</si>
  <si>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</si>
  <si>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</si>
  <si>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</si>
  <si>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</si>
  <si>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</si>
  <si>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</si>
  <si>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</si>
  <si>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</si>
  <si>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</si>
  <si>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</si>
  <si>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</si>
  <si>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</si>
  <si>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</si>
  <si>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</si>
  <si>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</si>
  <si>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</si>
  <si>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</si>
  <si>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05003-1</t>
  </si>
  <si>
    <t>00015 - Regla 30 cm alto impacto 1,5mm calendario full color</t>
  </si>
  <si>
    <t>00013 - Regla 20 cm alto impacto 1mm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</si>
  <si>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</si>
  <si>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</si>
  <si>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</si>
  <si>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</si>
  <si>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</si>
  <si>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</si>
  <si>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</si>
  <si>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</si>
  <si>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</si>
  <si>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</si>
  <si>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</si>
  <si>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</si>
  <si>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</si>
  <si>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</si>
  <si>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</si>
  <si>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</si>
  <si>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</si>
  <si>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</si>
  <si>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</si>
  <si>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</si>
  <si>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</si>
  <si>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</si>
  <si>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</si>
  <si>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</si>
  <si>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</si>
  <si>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</si>
  <si>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</si>
  <si>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</si>
  <si>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</si>
  <si>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</si>
  <si>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</si>
  <si>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</si>
  <si>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</si>
  <si>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</si>
  <si>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</si>
  <si>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</si>
  <si>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</si>
  <si>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</si>
  <si>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</si>
  <si>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</si>
  <si>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</si>
  <si>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</si>
  <si>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</si>
  <si>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</si>
  <si>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</si>
  <si>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</si>
  <si>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</si>
  <si>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</si>
  <si>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</si>
  <si>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</si>
  <si>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</si>
  <si>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</si>
  <si>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</si>
  <si>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</si>
  <si>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</si>
  <si>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</si>
  <si>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</si>
  <si>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</si>
  <si>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</si>
  <si>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</si>
  <si>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</si>
  <si>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</si>
  <si>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</si>
  <si>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</si>
  <si>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</si>
  <si>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</si>
  <si>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</si>
  <si>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</si>
  <si>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</si>
  <si>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</si>
  <si>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</si>
  <si>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</si>
  <si>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</si>
  <si>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</si>
  <si>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</si>
  <si>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</si>
  <si>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</si>
  <si>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</si>
  <si>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</si>
  <si>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</si>
  <si>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</si>
  <si>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</si>
  <si>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</si>
  <si>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</si>
  <si>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</si>
  <si>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</si>
  <si>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</si>
  <si>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</si>
  <si>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</si>
  <si>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</si>
  <si>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</si>
  <si>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</si>
  <si>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</si>
  <si>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</si>
  <si>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</si>
  <si>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</si>
  <si>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</si>
  <si>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</si>
  <si>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</si>
  <si>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</si>
  <si>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</si>
  <si>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</si>
  <si>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</si>
  <si>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</si>
  <si>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</si>
  <si>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</si>
  <si>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</si>
  <si>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</si>
  <si>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</si>
  <si>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</si>
  <si>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</si>
  <si>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</si>
  <si>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</si>
  <si>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</si>
  <si>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</si>
  <si>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</si>
  <si>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</si>
  <si>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</si>
  <si>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</si>
  <si>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</si>
  <si>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</si>
  <si>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</si>
  <si>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</si>
  <si>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</si>
  <si>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</si>
  <si>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</si>
  <si>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</si>
  <si>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</si>
  <si>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</si>
  <si>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</si>
  <si>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</si>
  <si>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</si>
  <si>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</si>
  <si>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</si>
  <si>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</si>
  <si>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</si>
  <si>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</si>
  <si>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</si>
  <si>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</si>
  <si>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</si>
  <si>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</si>
  <si>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</si>
  <si>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</si>
  <si>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</si>
  <si>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</si>
  <si>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</si>
  <si>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</si>
  <si>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</si>
  <si>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</si>
  <si>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</si>
  <si>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</si>
  <si>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</si>
  <si>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</si>
  <si>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</si>
  <si>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</si>
  <si>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</si>
  <si>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</si>
  <si>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</si>
  <si>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</si>
  <si>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</si>
  <si>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</si>
  <si>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</si>
  <si>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</si>
  <si>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</si>
  <si>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</si>
  <si>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</si>
  <si>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</si>
  <si>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</si>
  <si>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</si>
  <si>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</si>
  <si>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</si>
  <si>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</si>
  <si>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</si>
  <si>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</si>
  <si>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</si>
  <si>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</si>
  <si>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</si>
  <si>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</si>
  <si>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</si>
  <si>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</si>
  <si>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</si>
  <si>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</si>
  <si>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</si>
  <si>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</si>
  <si>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</si>
  <si>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</si>
  <si>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</si>
  <si>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</si>
  <si>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</si>
  <si>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</si>
  <si>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</si>
  <si>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</si>
  <si>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</si>
  <si>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</si>
  <si>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</si>
  <si>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</si>
  <si>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</si>
  <si>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</si>
  <si>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</si>
  <si>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</si>
  <si>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</si>
  <si>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</si>
  <si>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</si>
  <si>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</si>
  <si>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</si>
  <si>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</si>
  <si>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</si>
  <si>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</si>
  <si>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</si>
  <si>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</si>
  <si>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</si>
  <si>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</si>
  <si>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</si>
  <si>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</si>
  <si>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</si>
  <si>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</si>
  <si>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</si>
  <si>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</si>
  <si>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</si>
  <si>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</si>
  <si>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</si>
  <si>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</si>
  <si>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</si>
  <si>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02147 - Funda de PVC para un bolígrafo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</si>
  <si>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</si>
  <si>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</si>
  <si>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</si>
  <si>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</si>
  <si>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</si>
  <si>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</si>
  <si>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</si>
  <si>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</si>
  <si>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</si>
  <si>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</si>
  <si>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</si>
  <si>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</si>
  <si>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</si>
  <si>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</si>
  <si>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</si>
  <si>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</si>
  <si>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</si>
  <si>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</si>
  <si>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</si>
  <si>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</si>
  <si>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</si>
  <si>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</si>
  <si>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</si>
  <si>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</si>
  <si>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</si>
  <si>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</si>
  <si>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</si>
  <si>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</si>
  <si>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</si>
  <si>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</si>
  <si>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</si>
  <si>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</si>
  <si>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</si>
  <si>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</si>
  <si>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</si>
  <si>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</si>
  <si>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</si>
  <si>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</si>
  <si>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</si>
  <si>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</si>
  <si>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</si>
  <si>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</si>
  <si>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</si>
  <si>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</si>
  <si>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</si>
  <si>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</si>
  <si>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</si>
  <si>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</si>
  <si>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</si>
  <si>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</si>
  <si>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</si>
  <si>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</si>
  <si>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</si>
  <si>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</si>
  <si>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</si>
  <si>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</si>
  <si>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</si>
  <si>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</si>
  <si>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</si>
  <si>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</si>
  <si>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</si>
  <si>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</si>
  <si>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</si>
  <si>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</si>
  <si>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</si>
  <si>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</si>
  <si>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</si>
  <si>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</si>
  <si>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</si>
  <si>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</si>
  <si>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</si>
  <si>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</si>
  <si>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</si>
  <si>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</si>
  <si>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</si>
  <si>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</si>
  <si>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</si>
  <si>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</si>
  <si>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</si>
  <si>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 xml:space="preserve">10505 - Destapador metal y bambú en caja </t>
  </si>
  <si>
    <t>10508 - Set de 2 copas de vino y destapador en caja bambú</t>
  </si>
  <si>
    <t>01087 - Botella de aluminio mate tapa a rosca 750ml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</si>
  <si>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</si>
  <si>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</si>
  <si>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</si>
  <si>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</si>
  <si>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</si>
  <si>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</si>
  <si>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</si>
  <si>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</si>
  <si>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</si>
  <si>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</si>
  <si>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</si>
  <si>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</si>
  <si>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</si>
  <si>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</si>
  <si>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</si>
  <si>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</si>
  <si>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</si>
  <si>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</si>
  <si>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</si>
  <si>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</si>
  <si>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</si>
  <si>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</si>
  <si>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</si>
  <si>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</si>
  <si>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</si>
  <si>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</si>
  <si>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</si>
  <si>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</si>
  <si>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</si>
  <si>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</si>
  <si>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</si>
  <si>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</si>
  <si>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</si>
  <si>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</si>
  <si>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</si>
  <si>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</si>
  <si>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</si>
  <si>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</si>
  <si>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</si>
  <si>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</si>
  <si>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</si>
  <si>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</si>
  <si>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</si>
  <si>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</si>
  <si>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</si>
  <si>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</si>
  <si>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</si>
  <si>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</si>
  <si>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</si>
  <si>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</si>
  <si>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</si>
  <si>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</si>
  <si>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</si>
  <si>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</si>
  <si>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</si>
  <si>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</si>
  <si>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</si>
  <si>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</si>
  <si>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</si>
  <si>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</si>
  <si>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</si>
  <si>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</si>
  <si>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</si>
  <si>
    <t>00643 - Cooler Box 24x22x17cm</t>
  </si>
  <si>
    <t>00642 - Cooler lunchera Best value poliester 20x14x12,5cm</t>
  </si>
  <si>
    <t>00641 - Cooler lunchera Mini 4,5 litros 20x14x15,5 cm</t>
  </si>
  <si>
    <t xml:space="preserve">00378 - Soporte de escritorio para celular </t>
  </si>
  <si>
    <t>00393 - Power Bank y Cargador Inalámbrico</t>
  </si>
  <si>
    <t>LL-101 - Llavero de aluminio con forma de CASA</t>
  </si>
  <si>
    <t>LL-95 - Llavero casco de plástico logo impreso 1 color</t>
  </si>
  <si>
    <t>LL-95</t>
  </si>
  <si>
    <t>LL-101</t>
  </si>
  <si>
    <t>LL-95-1 - Llavero casco de plástico logo impreso full color</t>
  </si>
  <si>
    <t xml:space="preserve">00601 - Carpeta Portfolio eco cuero negro </t>
  </si>
  <si>
    <r>
      <t xml:space="preserve">00900N - Paraguas gigante </t>
    </r>
    <r>
      <rPr>
        <b/>
        <sz val="8"/>
        <rFont val="Arial"/>
        <family val="2"/>
      </rPr>
      <t>NEGRO</t>
    </r>
  </si>
  <si>
    <t>00900N</t>
  </si>
  <si>
    <t>00682 - Neceser microfibra con gancho para colgar</t>
  </si>
  <si>
    <r>
      <t xml:space="preserve">00902 -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curvo madera </t>
    </r>
  </si>
  <si>
    <r>
      <t xml:space="preserve">00902B - Paraguas ejecutivo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curvo madera </t>
    </r>
  </si>
  <si>
    <t>00902B</t>
  </si>
  <si>
    <t>02267 - Bolígrafo blanco retráctil</t>
  </si>
  <si>
    <r>
      <t xml:space="preserve">00897 - Paraguas gigante automático </t>
    </r>
    <r>
      <rPr>
        <b/>
        <sz val="8"/>
        <rFont val="Arial"/>
        <family val="2"/>
      </rPr>
      <t>COMBINADO O BLANCO</t>
    </r>
  </si>
  <si>
    <t>00905B</t>
  </si>
  <si>
    <t>00897L</t>
  </si>
  <si>
    <r>
      <t xml:space="preserve">00894 - Paraguas ejecutivo automático </t>
    </r>
    <r>
      <rPr>
        <b/>
        <sz val="8"/>
        <rFont val="Arial"/>
        <family val="2"/>
      </rPr>
      <t>AZUL O NEGRO</t>
    </r>
  </si>
  <si>
    <r>
      <t xml:space="preserve">00897L - Paraguas gigante automático </t>
    </r>
    <r>
      <rPr>
        <b/>
        <sz val="8"/>
        <rFont val="Arial"/>
        <family val="2"/>
      </rPr>
      <t>AZUL O NEGRO</t>
    </r>
  </si>
  <si>
    <t>01045 - Vaso térmico acero PAMPERO® PUELO 590 ml</t>
  </si>
  <si>
    <t>00924-1 - Cuaderno ecológico hojas rayadas - Nuevo modelo</t>
  </si>
  <si>
    <t>00924-1</t>
  </si>
  <si>
    <t>00664 - Cooler lunchera FZN 15 litros 34 x 31 x 14 cm</t>
  </si>
  <si>
    <t>00334 - Porta tarjetas de crédito aluminio con protección RFID</t>
  </si>
  <si>
    <t xml:space="preserve">P5525V - Remera Blanca 100% algodón 24/1  </t>
  </si>
  <si>
    <t>P5527V - Remera Color 100% algodón 24/1</t>
  </si>
  <si>
    <t>00661 - Cooler RW 20x15x15cm 5 litros</t>
  </si>
  <si>
    <t>00400 - Adaptador HUB multipuerto HL</t>
  </si>
  <si>
    <t>00377 - Soporte anillo metálico para celular con giro 360</t>
  </si>
  <si>
    <t>00360 - Soporte para celular de plástico ABS para escritorio</t>
  </si>
  <si>
    <t>00364 - Set de cables y soporte celular ecológico</t>
  </si>
  <si>
    <t>00363 - Set de cables en estuche de bambú</t>
  </si>
  <si>
    <t>00365 - Soporte Plegable Celular en V</t>
  </si>
  <si>
    <t>00366 - Cable de carga 4 en 1 ecológico multifunción</t>
  </si>
  <si>
    <t>LL-107 - Llavero bambú rectangular</t>
  </si>
  <si>
    <t>LL-107</t>
  </si>
  <si>
    <t>LL-111</t>
  </si>
  <si>
    <t>LL-111 - Llavero de metal y bambú rectangular con estuche</t>
  </si>
  <si>
    <t>LL-112 - Llavero de metal y bambú redondo con estuche</t>
  </si>
  <si>
    <t>LL-112</t>
  </si>
  <si>
    <t>LL-116 - Llavero de metal y bambú rectangular con estuche</t>
  </si>
  <si>
    <t>LL-116</t>
  </si>
  <si>
    <t>LL-113</t>
  </si>
  <si>
    <t>LL-113 - Llavero de metal y eco cuero negro</t>
  </si>
  <si>
    <t>LL-95-1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</si>
  <si>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logo 1 lado</t>
    </r>
  </si>
  <si>
    <r>
      <t>00404-5 - Pen Drive Tarjeta</t>
    </r>
    <r>
      <rPr>
        <b/>
        <sz val="8"/>
        <color rgb="FFFF0000"/>
        <rFont val="Arial"/>
        <family val="2"/>
      </rPr>
      <t xml:space="preserve"> 64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logo 1 lado</t>
    </r>
  </si>
  <si>
    <r>
      <t>00413-5 - Pen Drive</t>
    </r>
    <r>
      <rPr>
        <b/>
        <sz val="8"/>
        <color indexed="10"/>
        <rFont val="Arial"/>
        <family val="2"/>
      </rPr>
      <t xml:space="preserve"> 64 GB</t>
    </r>
    <r>
      <rPr>
        <sz val="8"/>
        <rFont val="Arial"/>
        <family val="2"/>
      </rPr>
      <t xml:space="preserve"> bambu giratorio</t>
    </r>
  </si>
  <si>
    <t>00413-5</t>
  </si>
  <si>
    <t>00404-5</t>
  </si>
  <si>
    <t xml:space="preserve">01110 - Termo de acero inoxidable 1/2 litro </t>
  </si>
  <si>
    <t xml:space="preserve">01106 - Termo de acero inoxidable 1 litro </t>
  </si>
  <si>
    <t>01107 - Termo de acero inoxidable 1 litro con manija</t>
  </si>
  <si>
    <t>P5533-1</t>
  </si>
  <si>
    <t>00444 - Pastillero plástico con corta pastilla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</si>
  <si>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</si>
  <si>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00403-3</t>
  </si>
  <si>
    <t>00811 - Kit de cuaderno 9x14cm y bolígrafo touch</t>
  </si>
  <si>
    <t>00812 - Cuaderno Planner 14x20cm</t>
  </si>
  <si>
    <t>00821 - Cuaderno de corcho reciclado A5 - 14x21cm</t>
  </si>
  <si>
    <t>00815 - Agenda perpetua 17x22cm semanal anillada negra</t>
  </si>
  <si>
    <t>00822 - Cuaderno BIG Eco cuero soft mate 17x25cm h. rayada</t>
  </si>
  <si>
    <t>00823 - Cuaderno anillado 17x22cm 80 hojas rayadas</t>
  </si>
  <si>
    <t>00825 - Cuaderno chico blanco tapa dura 9 x 14 cm</t>
  </si>
  <si>
    <t>00826 - Cuaderno A5 tapa dura blanca 14x21 cm con elástico</t>
  </si>
  <si>
    <t>00828 - Cuaderno A5 tapa dura color 14x21 cm con elástico</t>
  </si>
  <si>
    <t>00829 - Anotador ecológico 7,4x14cm con bolígrafo</t>
  </si>
  <si>
    <t xml:space="preserve">00831 - Cuaderno A5 tapa dura negra 14x21 cm </t>
  </si>
  <si>
    <t>00833 - Cuaderno símil cuero 14,5x21cm 100 hojas rayadas</t>
  </si>
  <si>
    <t>00834 - Cuaderno A5 tapa dura PU 14x21m hojas lisas</t>
  </si>
  <si>
    <t>00838 - Cuaderno simil bambu hojas rayadas 14x21cm</t>
  </si>
  <si>
    <t>00839 - Anotador flex hojas rayadas 14x21cm</t>
  </si>
  <si>
    <t>00916 - Cuaderno Plain tapa dura 14x21cm con elástico</t>
  </si>
  <si>
    <t>00917 - Cuaderno Tapa Corcho 14x21cm con elástico</t>
  </si>
  <si>
    <t>00920 - Cuaderno Eco cuero soft mate 14x21cm hoja rayada</t>
  </si>
  <si>
    <t>00920L - Cuaderno Eco cuero soft mate 14x21cm hoja lisa</t>
  </si>
  <si>
    <t>00921L - Cuaderno Eco cuero y corcho 14x21cm hoja lisa</t>
  </si>
  <si>
    <t>00928 - Mini carpeta Eco cartón 16,5x23cm con boligrafo</t>
  </si>
  <si>
    <t xml:space="preserve">00933 - Anotador ecológico 9x14cm con bolígrafo </t>
  </si>
  <si>
    <t xml:space="preserve">00935 - Cuaderno eco 14x18cm con bolígrafo y notas </t>
  </si>
  <si>
    <t>00962 - Cuaderno espiralado 14x21cm c/bolígrafo y estuche</t>
  </si>
  <si>
    <t>00813 - Cuaderno 14,5x21cm con notas y hojas rayadas</t>
  </si>
  <si>
    <t>00814 - Cuaderno Denim 14,5x21 cm hojas rayadas</t>
  </si>
  <si>
    <t>LL-115</t>
  </si>
  <si>
    <t>10484 - Set de vino y quesos con 5 elementos</t>
  </si>
  <si>
    <t>LISTA DE PRECIOS Nº 11 / 2025 (En Pesos) - NO INCLUYE I.V.A. - DICIEMBRE 2025</t>
  </si>
  <si>
    <t>Estampado adicional sublimación por cada gajo, logo hasta A4</t>
  </si>
  <si>
    <t xml:space="preserve">00532 - Porta documentacion de viaje con bolsillos </t>
  </si>
  <si>
    <t>30/01 - Cuchillo y tenedor mango plastico estuche c/cierre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</si>
</sst>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8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2" fontId="4" fillId="14" borderId="3" xfId="0" applyNumberFormat="1" applyFont="1" applyFill="1" applyBorder="1" applyAlignment="1">
      <alignment horizontal="center" vertical="center"/>
    </xf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0" fillId="4" borderId="0" xfId="0" applyFill="1" applyBorder="1" applyAlignment="1"/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1" fontId="70" fillId="21" borderId="4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1" fillId="7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/>
    </xf>
    <xf numFmtId="1" fontId="1" fillId="7" borderId="5" xfId="0" applyNumberFormat="1" applyFont="1" applyFill="1" applyBorder="1"/>
    <xf numFmtId="1" fontId="106" fillId="4" borderId="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35" xfId="0" applyNumberFormat="1" applyFont="1" applyFill="1" applyBorder="1" applyAlignment="1">
      <alignment horizontal="center" vertical="center"/>
    </xf>
    <xf numFmtId="1" fontId="59" fillId="4" borderId="3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/>
    <xf numFmtId="3" fontId="1" fillId="4" borderId="3" xfId="0" applyNumberFormat="1" applyFont="1" applyFill="1" applyBorder="1"/>
    <xf numFmtId="3" fontId="59" fillId="7" borderId="3" xfId="0" applyNumberFormat="1" applyFont="1" applyFill="1" applyBorder="1" applyAlignment="1">
      <alignment horizontal="center" vertical="center"/>
    </xf>
    <xf numFmtId="3" fontId="59" fillId="4" borderId="3" xfId="0" applyNumberFormat="1" applyFont="1" applyFill="1" applyBorder="1" applyAlignment="1">
      <alignment horizontal="center" vertical="center"/>
    </xf>
    <xf numFmtId="3" fontId="59" fillId="4" borderId="7" xfId="0" applyNumberFormat="1" applyFont="1" applyFill="1" applyBorder="1" applyAlignment="1">
      <alignment horizontal="center" vertical="center"/>
    </xf>
    <xf numFmtId="3" fontId="59" fillId="7" borderId="7" xfId="0" applyNumberFormat="1" applyFont="1" applyFill="1" applyBorder="1" applyAlignment="1">
      <alignment horizontal="center" vertical="center"/>
    </xf>
    <xf numFmtId="0" fontId="60" fillId="7" borderId="3" xfId="0" applyFont="1" applyFill="1" applyBorder="1" applyAlignment="1">
      <alignment horizontal="center" vertical="center" wrapText="1"/>
    </xf>
    <xf numFmtId="1" fontId="107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9" borderId="3" xfId="0" applyNumberFormat="1" applyFont="1" applyFill="1" applyBorder="1" applyAlignment="1">
      <alignment horizontal="center" vertical="center"/>
    </xf>
    <xf numFmtId="1" fontId="59" fillId="9" borderId="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6" fillId="9" borderId="22" xfId="0" applyFont="1" applyFill="1" applyBorder="1" applyAlignment="1">
      <alignment vertical="center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6" borderId="3" xfId="0" applyNumberFormat="1" applyFont="1" applyFill="1" applyBorder="1" applyAlignment="1"/>
    <xf numFmtId="0" fontId="1" fillId="6" borderId="3" xfId="0" applyFont="1" applyFill="1" applyBorder="1" applyAlignment="1"/>
    <xf numFmtId="0" fontId="2" fillId="9" borderId="1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7" borderId="5" xfId="0" applyNumberFormat="1" applyFont="1" applyFill="1" applyBorder="1" applyAlignment="1"/>
    <xf numFmtId="2" fontId="1" fillId="7" borderId="5" xfId="0" applyNumberFormat="1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18" fillId="7" borderId="5" xfId="0" applyFont="1" applyFill="1" applyBorder="1" applyAlignment="1"/>
    <xf numFmtId="2" fontId="5" fillId="4" borderId="11" xfId="0" applyNumberFormat="1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2" fontId="2" fillId="4" borderId="11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2" fillId="0" borderId="3" xfId="0" applyFont="1" applyBorder="1" applyAlignment="1">
      <alignment horizontal="lef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18" fillId="7" borderId="3" xfId="0" applyFont="1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0" fillId="7" borderId="5" xfId="0" applyFill="1" applyBorder="1" applyAlignment="1"/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4" borderId="3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6" borderId="3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5" xfId="0" applyFont="1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18" fillId="4" borderId="5" xfId="0" applyFont="1" applyFill="1" applyBorder="1" applyAlignment="1"/>
    <xf numFmtId="0" fontId="4" fillId="4" borderId="0" xfId="2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3" xfId="0" applyFont="1" applyFill="1" applyBorder="1" applyAlignment="1"/>
    <xf numFmtId="0" fontId="5" fillId="4" borderId="3" xfId="0" applyFont="1" applyFill="1" applyBorder="1" applyAlignment="1"/>
    <xf numFmtId="0" fontId="5" fillId="6" borderId="3" xfId="0" applyFont="1" applyFill="1" applyBorder="1" applyAlignment="1"/>
    <xf numFmtId="0" fontId="6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5" fillId="7" borderId="5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2" fontId="5" fillId="7" borderId="16" xfId="0" applyNumberFormat="1" applyFont="1" applyFill="1" applyBorder="1" applyAlignment="1"/>
    <xf numFmtId="2" fontId="5" fillId="7" borderId="25" xfId="0" applyNumberFormat="1" applyFont="1" applyFill="1" applyBorder="1" applyAlignment="1"/>
    <xf numFmtId="2" fontId="5" fillId="7" borderId="19" xfId="0" applyNumberFormat="1" applyFont="1" applyFill="1" applyBorder="1" applyAlignment="1"/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61" fillId="19" borderId="15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04" fillId="15" borderId="1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4" fillId="7" borderId="3" xfId="0" applyFont="1" applyFill="1" applyBorder="1" applyAlignment="1">
      <alignment horizontal="left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0" fontId="1" fillId="4" borderId="5" xfId="0" applyFont="1" applyFill="1" applyBorder="1" applyAlignment="1"/>
    <xf numFmtId="0" fontId="5" fillId="21" borderId="5" xfId="0" applyFont="1" applyFill="1" applyBorder="1" applyAlignment="1"/>
    <xf numFmtId="0" fontId="0" fillId="21" borderId="5" xfId="0" applyFill="1" applyBorder="1" applyAlignment="1"/>
    <xf numFmtId="0" fontId="5" fillId="7" borderId="18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2" fontId="84" fillId="7" borderId="11" xfId="0" applyNumberFormat="1" applyFont="1" applyFill="1" applyBorder="1" applyAlignment="1"/>
    <xf numFmtId="0" fontId="11" fillId="4" borderId="3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2" fontId="17" fillId="4" borderId="1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0" fillId="0" borderId="0" xfId="0" applyAlignment="1"/>
    <xf numFmtId="0" fontId="39" fillId="7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4" borderId="11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0" fillId="7" borderId="11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18" xfId="0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1" fillId="21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4" borderId="18" xfId="0" applyNumberFormat="1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8" fillId="21" borderId="3" xfId="0" applyFont="1" applyFill="1" applyBorder="1" applyAlignment="1"/>
    <xf numFmtId="0" fontId="18" fillId="7" borderId="3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61" fillId="19" borderId="3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/>
    <xf numFmtId="2" fontId="5" fillId="7" borderId="5" xfId="0" applyNumberFormat="1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88" fillId="10" borderId="16" xfId="0" applyFont="1" applyFill="1" applyBorder="1" applyAlignment="1">
      <alignment horizontal="center" vertical="center" wrapText="1"/>
    </xf>
    <xf numFmtId="0" fontId="80" fillId="10" borderId="25" xfId="0" applyFont="1" applyFill="1" applyBorder="1" applyAlignment="1">
      <alignment horizontal="center" vertical="center" wrapText="1"/>
    </xf>
    <xf numFmtId="0" fontId="80" fillId="10" borderId="19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1" fontId="1" fillId="9" borderId="3" xfId="0" applyNumberFormat="1" applyFont="1" applyFill="1" applyBorder="1"/>
    <xf numFmtId="1" fontId="59" fillId="9" borderId="3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s://www.jivi.com.ar/index.ph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816</xdr:row>
      <xdr:rowOff>28575</xdr:rowOff>
    </xdr:from>
    <xdr:to>
      <xdr:col>1</xdr:col>
      <xdr:colOff>295275</xdr:colOff>
      <xdr:row>816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19050</xdr:rowOff>
    </xdr:from>
    <xdr:to>
      <xdr:col>0</xdr:col>
      <xdr:colOff>295275</xdr:colOff>
      <xdr:row>102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814</xdr:row>
      <xdr:rowOff>28576</xdr:rowOff>
    </xdr:from>
    <xdr:to>
      <xdr:col>1</xdr:col>
      <xdr:colOff>173958</xdr:colOff>
      <xdr:row>814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125</xdr:row>
      <xdr:rowOff>0</xdr:rowOff>
    </xdr:from>
    <xdr:to>
      <xdr:col>38</xdr:col>
      <xdr:colOff>371475</xdr:colOff>
      <xdr:row>128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804</xdr:row>
      <xdr:rowOff>76200</xdr:rowOff>
    </xdr:from>
    <xdr:to>
      <xdr:col>8</xdr:col>
      <xdr:colOff>353861</xdr:colOff>
      <xdr:row>810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818</xdr:row>
      <xdr:rowOff>38100</xdr:rowOff>
    </xdr:from>
    <xdr:to>
      <xdr:col>1</xdr:col>
      <xdr:colOff>295275</xdr:colOff>
      <xdr:row>818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817</xdr:row>
      <xdr:rowOff>38100</xdr:rowOff>
    </xdr:from>
    <xdr:to>
      <xdr:col>1</xdr:col>
      <xdr:colOff>295275</xdr:colOff>
      <xdr:row>817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725</xdr:row>
      <xdr:rowOff>19050</xdr:rowOff>
    </xdr:from>
    <xdr:to>
      <xdr:col>1</xdr:col>
      <xdr:colOff>0</xdr:colOff>
      <xdr:row>725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726</xdr:row>
      <xdr:rowOff>19050</xdr:rowOff>
    </xdr:from>
    <xdr:to>
      <xdr:col>1</xdr:col>
      <xdr:colOff>0</xdr:colOff>
      <xdr:row>726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727</xdr:row>
      <xdr:rowOff>19050</xdr:rowOff>
    </xdr:from>
    <xdr:to>
      <xdr:col>1</xdr:col>
      <xdr:colOff>0</xdr:colOff>
      <xdr:row>727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28575</xdr:rowOff>
    </xdr:from>
    <xdr:to>
      <xdr:col>1</xdr:col>
      <xdr:colOff>0</xdr:colOff>
      <xdr:row>388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28575</xdr:rowOff>
    </xdr:from>
    <xdr:to>
      <xdr:col>1</xdr:col>
      <xdr:colOff>0</xdr:colOff>
      <xdr:row>250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28575</xdr:rowOff>
    </xdr:from>
    <xdr:to>
      <xdr:col>1</xdr:col>
      <xdr:colOff>0</xdr:colOff>
      <xdr:row>501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493</xdr:row>
      <xdr:rowOff>19050</xdr:rowOff>
    </xdr:from>
    <xdr:to>
      <xdr:col>24</xdr:col>
      <xdr:colOff>47625</xdr:colOff>
      <xdr:row>493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492</xdr:row>
      <xdr:rowOff>19050</xdr:rowOff>
    </xdr:from>
    <xdr:to>
      <xdr:col>24</xdr:col>
      <xdr:colOff>47625</xdr:colOff>
      <xdr:row>492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528</xdr:row>
      <xdr:rowOff>19050</xdr:rowOff>
    </xdr:from>
    <xdr:to>
      <xdr:col>24</xdr:col>
      <xdr:colOff>47625</xdr:colOff>
      <xdr:row>528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530</xdr:row>
      <xdr:rowOff>19050</xdr:rowOff>
    </xdr:from>
    <xdr:to>
      <xdr:col>24</xdr:col>
      <xdr:colOff>47625</xdr:colOff>
      <xdr:row>530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532</xdr:row>
      <xdr:rowOff>19050</xdr:rowOff>
    </xdr:from>
    <xdr:to>
      <xdr:col>24</xdr:col>
      <xdr:colOff>47625</xdr:colOff>
      <xdr:row>532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533</xdr:row>
      <xdr:rowOff>19050</xdr:rowOff>
    </xdr:from>
    <xdr:to>
      <xdr:col>24</xdr:col>
      <xdr:colOff>47625</xdr:colOff>
      <xdr:row>533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529</xdr:row>
      <xdr:rowOff>19050</xdr:rowOff>
    </xdr:from>
    <xdr:to>
      <xdr:col>24</xdr:col>
      <xdr:colOff>47625</xdr:colOff>
      <xdr:row>529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47625</xdr:colOff>
      <xdr:row>700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701</xdr:row>
      <xdr:rowOff>19050</xdr:rowOff>
    </xdr:from>
    <xdr:to>
      <xdr:col>24</xdr:col>
      <xdr:colOff>47625</xdr:colOff>
      <xdr:row>701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746</xdr:row>
      <xdr:rowOff>19050</xdr:rowOff>
    </xdr:from>
    <xdr:to>
      <xdr:col>24</xdr:col>
      <xdr:colOff>47625</xdr:colOff>
      <xdr:row>746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748</xdr:row>
      <xdr:rowOff>19050</xdr:rowOff>
    </xdr:from>
    <xdr:to>
      <xdr:col>24</xdr:col>
      <xdr:colOff>47625</xdr:colOff>
      <xdr:row>748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749</xdr:row>
      <xdr:rowOff>19050</xdr:rowOff>
    </xdr:from>
    <xdr:to>
      <xdr:col>24</xdr:col>
      <xdr:colOff>47625</xdr:colOff>
      <xdr:row>749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750</xdr:row>
      <xdr:rowOff>19050</xdr:rowOff>
    </xdr:from>
    <xdr:to>
      <xdr:col>24</xdr:col>
      <xdr:colOff>47625</xdr:colOff>
      <xdr:row>750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739</xdr:row>
      <xdr:rowOff>19050</xdr:rowOff>
    </xdr:from>
    <xdr:to>
      <xdr:col>24</xdr:col>
      <xdr:colOff>47625</xdr:colOff>
      <xdr:row>739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740</xdr:row>
      <xdr:rowOff>19050</xdr:rowOff>
    </xdr:from>
    <xdr:to>
      <xdr:col>24</xdr:col>
      <xdr:colOff>47625</xdr:colOff>
      <xdr:row>740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741</xdr:row>
      <xdr:rowOff>19050</xdr:rowOff>
    </xdr:from>
    <xdr:to>
      <xdr:col>24</xdr:col>
      <xdr:colOff>47625</xdr:colOff>
      <xdr:row>741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47625</xdr:colOff>
      <xdr:row>733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731</xdr:row>
      <xdr:rowOff>19050</xdr:rowOff>
    </xdr:from>
    <xdr:to>
      <xdr:col>24</xdr:col>
      <xdr:colOff>47625</xdr:colOff>
      <xdr:row>731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205</xdr:row>
      <xdr:rowOff>19050</xdr:rowOff>
    </xdr:from>
    <xdr:to>
      <xdr:col>26</xdr:col>
      <xdr:colOff>9524</xdr:colOff>
      <xdr:row>205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25</xdr:col>
      <xdr:colOff>380999</xdr:colOff>
      <xdr:row>103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125</xdr:row>
      <xdr:rowOff>19050</xdr:rowOff>
    </xdr:from>
    <xdr:to>
      <xdr:col>26</xdr:col>
      <xdr:colOff>9524</xdr:colOff>
      <xdr:row>125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99</xdr:row>
      <xdr:rowOff>19050</xdr:rowOff>
    </xdr:from>
    <xdr:to>
      <xdr:col>26</xdr:col>
      <xdr:colOff>9524</xdr:colOff>
      <xdr:row>99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47625</xdr:colOff>
      <xdr:row>523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524</xdr:row>
      <xdr:rowOff>19050</xdr:rowOff>
    </xdr:from>
    <xdr:to>
      <xdr:col>24</xdr:col>
      <xdr:colOff>47625</xdr:colOff>
      <xdr:row>524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522</xdr:row>
      <xdr:rowOff>19050</xdr:rowOff>
    </xdr:from>
    <xdr:to>
      <xdr:col>24</xdr:col>
      <xdr:colOff>47625</xdr:colOff>
      <xdr:row>522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47625</xdr:colOff>
      <xdr:row>702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361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735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534</xdr:row>
      <xdr:rowOff>19050</xdr:rowOff>
    </xdr:from>
    <xdr:to>
      <xdr:col>24</xdr:col>
      <xdr:colOff>47625</xdr:colOff>
      <xdr:row>534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28575</xdr:rowOff>
    </xdr:from>
    <xdr:to>
      <xdr:col>1</xdr:col>
      <xdr:colOff>0</xdr:colOff>
      <xdr:row>392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28575</xdr:rowOff>
    </xdr:from>
    <xdr:to>
      <xdr:col>1</xdr:col>
      <xdr:colOff>0</xdr:colOff>
      <xdr:row>55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607</xdr:row>
      <xdr:rowOff>19050</xdr:rowOff>
    </xdr:from>
    <xdr:to>
      <xdr:col>24</xdr:col>
      <xdr:colOff>48389</xdr:colOff>
      <xdr:row>607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48389</xdr:colOff>
      <xdr:row>596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450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725</xdr:row>
      <xdr:rowOff>19050</xdr:rowOff>
    </xdr:from>
    <xdr:to>
      <xdr:col>10</xdr:col>
      <xdr:colOff>1</xdr:colOff>
      <xdr:row>725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726</xdr:row>
      <xdr:rowOff>19050</xdr:rowOff>
    </xdr:from>
    <xdr:to>
      <xdr:col>10</xdr:col>
      <xdr:colOff>1</xdr:colOff>
      <xdr:row>726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727</xdr:row>
      <xdr:rowOff>19050</xdr:rowOff>
    </xdr:from>
    <xdr:to>
      <xdr:col>10</xdr:col>
      <xdr:colOff>1</xdr:colOff>
      <xdr:row>727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708</xdr:row>
      <xdr:rowOff>19050</xdr:rowOff>
    </xdr:from>
    <xdr:to>
      <xdr:col>10</xdr:col>
      <xdr:colOff>1</xdr:colOff>
      <xdr:row>708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709</xdr:row>
      <xdr:rowOff>19050</xdr:rowOff>
    </xdr:from>
    <xdr:to>
      <xdr:col>10</xdr:col>
      <xdr:colOff>1</xdr:colOff>
      <xdr:row>709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762</xdr:row>
      <xdr:rowOff>19050</xdr:rowOff>
    </xdr:from>
    <xdr:to>
      <xdr:col>10</xdr:col>
      <xdr:colOff>1</xdr:colOff>
      <xdr:row>762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239</xdr:row>
      <xdr:rowOff>19050</xdr:rowOff>
    </xdr:from>
    <xdr:to>
      <xdr:col>10</xdr:col>
      <xdr:colOff>1</xdr:colOff>
      <xdr:row>239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47624</xdr:colOff>
      <xdr:row>247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327</xdr:row>
      <xdr:rowOff>19050</xdr:rowOff>
    </xdr:from>
    <xdr:to>
      <xdr:col>25</xdr:col>
      <xdr:colOff>83819</xdr:colOff>
      <xdr:row>327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328</xdr:row>
      <xdr:rowOff>19050</xdr:rowOff>
    </xdr:from>
    <xdr:to>
      <xdr:col>25</xdr:col>
      <xdr:colOff>83819</xdr:colOff>
      <xdr:row>328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329</xdr:row>
      <xdr:rowOff>19050</xdr:rowOff>
    </xdr:from>
    <xdr:to>
      <xdr:col>25</xdr:col>
      <xdr:colOff>83819</xdr:colOff>
      <xdr:row>329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330</xdr:row>
      <xdr:rowOff>19050</xdr:rowOff>
    </xdr:from>
    <xdr:to>
      <xdr:col>25</xdr:col>
      <xdr:colOff>83819</xdr:colOff>
      <xdr:row>330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331</xdr:row>
      <xdr:rowOff>19050</xdr:rowOff>
    </xdr:from>
    <xdr:to>
      <xdr:col>25</xdr:col>
      <xdr:colOff>83819</xdr:colOff>
      <xdr:row>331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349</xdr:row>
      <xdr:rowOff>19050</xdr:rowOff>
    </xdr:from>
    <xdr:to>
      <xdr:col>25</xdr:col>
      <xdr:colOff>83819</xdr:colOff>
      <xdr:row>349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352</xdr:row>
      <xdr:rowOff>19050</xdr:rowOff>
    </xdr:from>
    <xdr:to>
      <xdr:col>25</xdr:col>
      <xdr:colOff>83819</xdr:colOff>
      <xdr:row>352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353</xdr:row>
      <xdr:rowOff>19050</xdr:rowOff>
    </xdr:from>
    <xdr:to>
      <xdr:col>25</xdr:col>
      <xdr:colOff>83819</xdr:colOff>
      <xdr:row>353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354</xdr:row>
      <xdr:rowOff>19050</xdr:rowOff>
    </xdr:from>
    <xdr:to>
      <xdr:col>25</xdr:col>
      <xdr:colOff>83819</xdr:colOff>
      <xdr:row>354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751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290</xdr:row>
      <xdr:rowOff>19050</xdr:rowOff>
    </xdr:from>
    <xdr:to>
      <xdr:col>24</xdr:col>
      <xdr:colOff>47624</xdr:colOff>
      <xdr:row>290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296</xdr:row>
      <xdr:rowOff>19050</xdr:rowOff>
    </xdr:from>
    <xdr:to>
      <xdr:col>26</xdr:col>
      <xdr:colOff>9524</xdr:colOff>
      <xdr:row>296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303</xdr:row>
      <xdr:rowOff>19050</xdr:rowOff>
    </xdr:from>
    <xdr:to>
      <xdr:col>26</xdr:col>
      <xdr:colOff>9524</xdr:colOff>
      <xdr:row>303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457</xdr:row>
      <xdr:rowOff>19050</xdr:rowOff>
    </xdr:from>
    <xdr:to>
      <xdr:col>24</xdr:col>
      <xdr:colOff>47625</xdr:colOff>
      <xdr:row>457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401</xdr:row>
      <xdr:rowOff>19050</xdr:rowOff>
    </xdr:from>
    <xdr:to>
      <xdr:col>26</xdr:col>
      <xdr:colOff>9524</xdr:colOff>
      <xdr:row>401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51</xdr:row>
      <xdr:rowOff>19050</xdr:rowOff>
    </xdr:from>
    <xdr:to>
      <xdr:col>26</xdr:col>
      <xdr:colOff>9524</xdr:colOff>
      <xdr:row>51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249</xdr:row>
      <xdr:rowOff>28575</xdr:rowOff>
    </xdr:from>
    <xdr:to>
      <xdr:col>1</xdr:col>
      <xdr:colOff>0</xdr:colOff>
      <xdr:row>249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736</xdr:row>
      <xdr:rowOff>19050</xdr:rowOff>
    </xdr:from>
    <xdr:to>
      <xdr:col>10</xdr:col>
      <xdr:colOff>1</xdr:colOff>
      <xdr:row>736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737</xdr:row>
      <xdr:rowOff>19050</xdr:rowOff>
    </xdr:from>
    <xdr:to>
      <xdr:col>10</xdr:col>
      <xdr:colOff>1</xdr:colOff>
      <xdr:row>737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738</xdr:row>
      <xdr:rowOff>19050</xdr:rowOff>
    </xdr:from>
    <xdr:to>
      <xdr:col>10</xdr:col>
      <xdr:colOff>1</xdr:colOff>
      <xdr:row>738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739</xdr:row>
      <xdr:rowOff>19050</xdr:rowOff>
    </xdr:from>
    <xdr:to>
      <xdr:col>10</xdr:col>
      <xdr:colOff>1</xdr:colOff>
      <xdr:row>739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740</xdr:row>
      <xdr:rowOff>19050</xdr:rowOff>
    </xdr:from>
    <xdr:to>
      <xdr:col>10</xdr:col>
      <xdr:colOff>1</xdr:colOff>
      <xdr:row>740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741</xdr:row>
      <xdr:rowOff>19050</xdr:rowOff>
    </xdr:from>
    <xdr:to>
      <xdr:col>10</xdr:col>
      <xdr:colOff>1</xdr:colOff>
      <xdr:row>741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335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334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334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336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355</xdr:row>
      <xdr:rowOff>19050</xdr:rowOff>
    </xdr:from>
    <xdr:to>
      <xdr:col>25</xdr:col>
      <xdr:colOff>74294</xdr:colOff>
      <xdr:row>355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324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632</xdr:row>
      <xdr:rowOff>19050</xdr:rowOff>
    </xdr:from>
    <xdr:to>
      <xdr:col>24</xdr:col>
      <xdr:colOff>75821</xdr:colOff>
      <xdr:row>632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641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547</xdr:row>
      <xdr:rowOff>19050</xdr:rowOff>
    </xdr:from>
    <xdr:to>
      <xdr:col>24</xdr:col>
      <xdr:colOff>75821</xdr:colOff>
      <xdr:row>547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464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47625</xdr:colOff>
      <xdr:row>608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341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538</xdr:row>
      <xdr:rowOff>19050</xdr:rowOff>
    </xdr:from>
    <xdr:to>
      <xdr:col>11</xdr:col>
      <xdr:colOff>9525</xdr:colOff>
      <xdr:row>538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539</xdr:row>
      <xdr:rowOff>19050</xdr:rowOff>
    </xdr:from>
    <xdr:to>
      <xdr:col>11</xdr:col>
      <xdr:colOff>9525</xdr:colOff>
      <xdr:row>539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540</xdr:row>
      <xdr:rowOff>19050</xdr:rowOff>
    </xdr:from>
    <xdr:to>
      <xdr:col>11</xdr:col>
      <xdr:colOff>9525</xdr:colOff>
      <xdr:row>540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541</xdr:row>
      <xdr:rowOff>19050</xdr:rowOff>
    </xdr:from>
    <xdr:to>
      <xdr:col>11</xdr:col>
      <xdr:colOff>9525</xdr:colOff>
      <xdr:row>541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19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543</xdr:row>
      <xdr:rowOff>19050</xdr:rowOff>
    </xdr:from>
    <xdr:to>
      <xdr:col>11</xdr:col>
      <xdr:colOff>9525</xdr:colOff>
      <xdr:row>543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544</xdr:row>
      <xdr:rowOff>19050</xdr:rowOff>
    </xdr:from>
    <xdr:to>
      <xdr:col>11</xdr:col>
      <xdr:colOff>9525</xdr:colOff>
      <xdr:row>544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300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600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601</xdr:row>
      <xdr:rowOff>19050</xdr:rowOff>
    </xdr:from>
    <xdr:to>
      <xdr:col>24</xdr:col>
      <xdr:colOff>48389</xdr:colOff>
      <xdr:row>601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438</xdr:row>
      <xdr:rowOff>16566</xdr:rowOff>
    </xdr:from>
    <xdr:to>
      <xdr:col>24</xdr:col>
      <xdr:colOff>46383</xdr:colOff>
      <xdr:row>438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408</xdr:row>
      <xdr:rowOff>16566</xdr:rowOff>
    </xdr:from>
    <xdr:to>
      <xdr:col>24</xdr:col>
      <xdr:colOff>46383</xdr:colOff>
      <xdr:row>408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321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321</xdr:row>
      <xdr:rowOff>16566</xdr:rowOff>
    </xdr:from>
    <xdr:to>
      <xdr:col>25</xdr:col>
      <xdr:colOff>82577</xdr:colOff>
      <xdr:row>321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792</xdr:row>
      <xdr:rowOff>19050</xdr:rowOff>
    </xdr:from>
    <xdr:to>
      <xdr:col>13</xdr:col>
      <xdr:colOff>1</xdr:colOff>
      <xdr:row>792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793</xdr:row>
      <xdr:rowOff>19050</xdr:rowOff>
    </xdr:from>
    <xdr:to>
      <xdr:col>13</xdr:col>
      <xdr:colOff>1</xdr:colOff>
      <xdr:row>793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794</xdr:row>
      <xdr:rowOff>19050</xdr:rowOff>
    </xdr:from>
    <xdr:to>
      <xdr:col>13</xdr:col>
      <xdr:colOff>1</xdr:colOff>
      <xdr:row>794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591</xdr:row>
      <xdr:rowOff>19050</xdr:rowOff>
    </xdr:from>
    <xdr:to>
      <xdr:col>24</xdr:col>
      <xdr:colOff>47625</xdr:colOff>
      <xdr:row>591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323</xdr:row>
      <xdr:rowOff>19050</xdr:rowOff>
    </xdr:from>
    <xdr:to>
      <xdr:col>24</xdr:col>
      <xdr:colOff>47624</xdr:colOff>
      <xdr:row>323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47624</xdr:colOff>
      <xdr:row>324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47624</xdr:colOff>
      <xdr:row>349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269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49180</xdr:colOff>
      <xdr:row>727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49180</xdr:colOff>
      <xdr:row>726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49180</xdr:colOff>
      <xdr:row>725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722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756</xdr:row>
      <xdr:rowOff>19050</xdr:rowOff>
    </xdr:from>
    <xdr:to>
      <xdr:col>24</xdr:col>
      <xdr:colOff>47625</xdr:colOff>
      <xdr:row>756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762</xdr:row>
      <xdr:rowOff>19050</xdr:rowOff>
    </xdr:from>
    <xdr:to>
      <xdr:col>24</xdr:col>
      <xdr:colOff>49180</xdr:colOff>
      <xdr:row>762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765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755</xdr:row>
      <xdr:rowOff>19050</xdr:rowOff>
    </xdr:from>
    <xdr:to>
      <xdr:col>24</xdr:col>
      <xdr:colOff>49180</xdr:colOff>
      <xdr:row>755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769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770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771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773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772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671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672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673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673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714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750</xdr:row>
      <xdr:rowOff>19050</xdr:rowOff>
    </xdr:from>
    <xdr:to>
      <xdr:col>10</xdr:col>
      <xdr:colOff>1</xdr:colOff>
      <xdr:row>750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33665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47625</xdr:colOff>
      <xdr:row>589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590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332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245</xdr:row>
      <xdr:rowOff>19050</xdr:rowOff>
    </xdr:from>
    <xdr:to>
      <xdr:col>24</xdr:col>
      <xdr:colOff>47624</xdr:colOff>
      <xdr:row>245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47624</xdr:colOff>
      <xdr:row>246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26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337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360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409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411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736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737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</xdr:row>
      <xdr:rowOff>19050</xdr:rowOff>
    </xdr:from>
    <xdr:to>
      <xdr:col>24</xdr:col>
      <xdr:colOff>47624</xdr:colOff>
      <xdr:row>50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526</xdr:row>
      <xdr:rowOff>19050</xdr:rowOff>
    </xdr:from>
    <xdr:to>
      <xdr:col>24</xdr:col>
      <xdr:colOff>47624</xdr:colOff>
      <xdr:row>526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525</xdr:row>
      <xdr:rowOff>19050</xdr:rowOff>
    </xdr:from>
    <xdr:to>
      <xdr:col>24</xdr:col>
      <xdr:colOff>47624</xdr:colOff>
      <xdr:row>525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674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28575</xdr:rowOff>
    </xdr:from>
    <xdr:to>
      <xdr:col>1</xdr:col>
      <xdr:colOff>0</xdr:colOff>
      <xdr:row>417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461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325</xdr:row>
      <xdr:rowOff>19050</xdr:rowOff>
    </xdr:from>
    <xdr:to>
      <xdr:col>25</xdr:col>
      <xdr:colOff>83819</xdr:colOff>
      <xdr:row>325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683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339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723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723</xdr:row>
      <xdr:rowOff>19050</xdr:rowOff>
    </xdr:from>
    <xdr:to>
      <xdr:col>24</xdr:col>
      <xdr:colOff>47625</xdr:colOff>
      <xdr:row>723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351</xdr:row>
      <xdr:rowOff>19050</xdr:rowOff>
    </xdr:from>
    <xdr:to>
      <xdr:col>25</xdr:col>
      <xdr:colOff>83819</xdr:colOff>
      <xdr:row>351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344</xdr:row>
      <xdr:rowOff>19050</xdr:rowOff>
    </xdr:from>
    <xdr:to>
      <xdr:col>25</xdr:col>
      <xdr:colOff>83819</xdr:colOff>
      <xdr:row>344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761</xdr:row>
      <xdr:rowOff>19050</xdr:rowOff>
    </xdr:from>
    <xdr:to>
      <xdr:col>24</xdr:col>
      <xdr:colOff>47624</xdr:colOff>
      <xdr:row>761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404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519</xdr:row>
      <xdr:rowOff>19050</xdr:rowOff>
    </xdr:from>
    <xdr:to>
      <xdr:col>24</xdr:col>
      <xdr:colOff>47624</xdr:colOff>
      <xdr:row>519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520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521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759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766</xdr:row>
      <xdr:rowOff>19050</xdr:rowOff>
    </xdr:from>
    <xdr:to>
      <xdr:col>24</xdr:col>
      <xdr:colOff>47625</xdr:colOff>
      <xdr:row>766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767</xdr:row>
      <xdr:rowOff>19050</xdr:rowOff>
    </xdr:from>
    <xdr:to>
      <xdr:col>24</xdr:col>
      <xdr:colOff>47625</xdr:colOff>
      <xdr:row>767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768</xdr:row>
      <xdr:rowOff>19050</xdr:rowOff>
    </xdr:from>
    <xdr:to>
      <xdr:col>24</xdr:col>
      <xdr:colOff>47625</xdr:colOff>
      <xdr:row>768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722</xdr:row>
      <xdr:rowOff>19050</xdr:rowOff>
    </xdr:from>
    <xdr:to>
      <xdr:col>26</xdr:col>
      <xdr:colOff>0</xdr:colOff>
      <xdr:row>722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763</xdr:row>
      <xdr:rowOff>19050</xdr:rowOff>
    </xdr:from>
    <xdr:to>
      <xdr:col>24</xdr:col>
      <xdr:colOff>47625</xdr:colOff>
      <xdr:row>763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764</xdr:row>
      <xdr:rowOff>19050</xdr:rowOff>
    </xdr:from>
    <xdr:to>
      <xdr:col>24</xdr:col>
      <xdr:colOff>47625</xdr:colOff>
      <xdr:row>764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724</xdr:row>
      <xdr:rowOff>19050</xdr:rowOff>
    </xdr:from>
    <xdr:to>
      <xdr:col>26</xdr:col>
      <xdr:colOff>0</xdr:colOff>
      <xdr:row>724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743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47625</xdr:colOff>
      <xdr:row>458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266</xdr:row>
      <xdr:rowOff>19050</xdr:rowOff>
    </xdr:from>
    <xdr:to>
      <xdr:col>26</xdr:col>
      <xdr:colOff>0</xdr:colOff>
      <xdr:row>266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268</xdr:row>
      <xdr:rowOff>28575</xdr:rowOff>
    </xdr:from>
    <xdr:to>
      <xdr:col>26</xdr:col>
      <xdr:colOff>0</xdr:colOff>
      <xdr:row>269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758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742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753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189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403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6241484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267</xdr:row>
      <xdr:rowOff>28575</xdr:rowOff>
    </xdr:from>
    <xdr:to>
      <xdr:col>26</xdr:col>
      <xdr:colOff>0</xdr:colOff>
      <xdr:row>268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344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107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107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48</xdr:row>
      <xdr:rowOff>19050</xdr:rowOff>
    </xdr:from>
    <xdr:to>
      <xdr:col>10</xdr:col>
      <xdr:colOff>400049</xdr:colOff>
      <xdr:row>48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342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342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671</xdr:row>
      <xdr:rowOff>28575</xdr:rowOff>
    </xdr:from>
    <xdr:to>
      <xdr:col>1</xdr:col>
      <xdr:colOff>0</xdr:colOff>
      <xdr:row>671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527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640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312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696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113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115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680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706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509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509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515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350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350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311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345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346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508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516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760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760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757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757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356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356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358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358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309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347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348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688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688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458</xdr:row>
      <xdr:rowOff>28575</xdr:rowOff>
    </xdr:from>
    <xdr:to>
      <xdr:col>1</xdr:col>
      <xdr:colOff>0</xdr:colOff>
      <xdr:row>458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178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678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679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681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682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624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479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697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288</xdr:row>
      <xdr:rowOff>28575</xdr:rowOff>
    </xdr:from>
    <xdr:to>
      <xdr:col>1</xdr:col>
      <xdr:colOff>0</xdr:colOff>
      <xdr:row>288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573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224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223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222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661</xdr:row>
      <xdr:rowOff>28575</xdr:rowOff>
    </xdr:from>
    <xdr:to>
      <xdr:col>1</xdr:col>
      <xdr:colOff>0</xdr:colOff>
      <xdr:row>661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606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166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582</xdr:row>
      <xdr:rowOff>28575</xdr:rowOff>
    </xdr:from>
    <xdr:to>
      <xdr:col>1</xdr:col>
      <xdr:colOff>0</xdr:colOff>
      <xdr:row>582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28575</xdr:rowOff>
    </xdr:from>
    <xdr:to>
      <xdr:col>1</xdr:col>
      <xdr:colOff>0</xdr:colOff>
      <xdr:row>583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28575</xdr:rowOff>
    </xdr:from>
    <xdr:to>
      <xdr:col>1</xdr:col>
      <xdr:colOff>0</xdr:colOff>
      <xdr:row>281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399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547</xdr:row>
      <xdr:rowOff>28575</xdr:rowOff>
    </xdr:from>
    <xdr:to>
      <xdr:col>1</xdr:col>
      <xdr:colOff>0</xdr:colOff>
      <xdr:row>547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28575</xdr:rowOff>
    </xdr:from>
    <xdr:to>
      <xdr:col>1</xdr:col>
      <xdr:colOff>0</xdr:colOff>
      <xdr:row>657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28575</xdr:rowOff>
    </xdr:from>
    <xdr:to>
      <xdr:col>1</xdr:col>
      <xdr:colOff>0</xdr:colOff>
      <xdr:row>659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007" name="Imagen 100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9321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9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0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3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11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814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12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150" cy="123825"/>
    <xdr:pic>
      <xdr:nvPicPr>
        <xdr:cNvPr id="1125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95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66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19150" cy="123825"/>
    <xdr:pic>
      <xdr:nvPicPr>
        <xdr:cNvPr id="1137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504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14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3825"/>
    <xdr:pic>
      <xdr:nvPicPr>
        <xdr:cNvPr id="11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0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18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122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19914" cy="121920"/>
    <xdr:pic>
      <xdr:nvPicPr>
        <xdr:cNvPr id="1246" name="Imagen 12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9445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258" name="Imagen 12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47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19914" cy="121920"/>
    <xdr:pic>
      <xdr:nvPicPr>
        <xdr:cNvPr id="1265" name="Imagen 126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873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19150" cy="125505"/>
    <xdr:pic>
      <xdr:nvPicPr>
        <xdr:cNvPr id="127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096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63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423</xdr:row>
      <xdr:rowOff>28575</xdr:rowOff>
    </xdr:from>
    <xdr:ext cx="342900" cy="104775"/>
    <xdr:pic>
      <xdr:nvPicPr>
        <xdr:cNvPr id="131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4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49" cy="123825"/>
    <xdr:pic>
      <xdr:nvPicPr>
        <xdr:cNvPr id="13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703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49" cy="123825"/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855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19914" cy="121920"/>
    <xdr:pic>
      <xdr:nvPicPr>
        <xdr:cNvPr id="1364" name="Imagen 136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6397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19150" cy="125505"/>
    <xdr:pic>
      <xdr:nvPicPr>
        <xdr:cNvPr id="136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597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01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598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54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16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19914" cy="121920"/>
    <xdr:pic>
      <xdr:nvPicPr>
        <xdr:cNvPr id="1430" name="Imagen 142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096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442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844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333</xdr:row>
      <xdr:rowOff>19050</xdr:rowOff>
    </xdr:from>
    <xdr:ext cx="502919" cy="121920"/>
    <xdr:pic>
      <xdr:nvPicPr>
        <xdr:cNvPr id="1466" name="Imagen 146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7844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47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19150" cy="123825"/>
    <xdr:pic>
      <xdr:nvPicPr>
        <xdr:cNvPr id="14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304</xdr:row>
      <xdr:rowOff>19050</xdr:rowOff>
    </xdr:from>
    <xdr:ext cx="819150" cy="123825"/>
    <xdr:pic>
      <xdr:nvPicPr>
        <xdr:cNvPr id="14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487" name="Imagen 14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71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563</xdr:row>
      <xdr:rowOff>28575</xdr:rowOff>
    </xdr:from>
    <xdr:to>
      <xdr:col>1</xdr:col>
      <xdr:colOff>0</xdr:colOff>
      <xdr:row>563</xdr:row>
      <xdr:rowOff>133350</xdr:rowOff>
    </xdr:to>
    <xdr:pic>
      <xdr:nvPicPr>
        <xdr:cNvPr id="10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48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28575</xdr:rowOff>
    </xdr:from>
    <xdr:to>
      <xdr:col>1</xdr:col>
      <xdr:colOff>0</xdr:colOff>
      <xdr:row>649</xdr:row>
      <xdr:rowOff>133350</xdr:rowOff>
    </xdr:to>
    <xdr:pic>
      <xdr:nvPicPr>
        <xdr:cNvPr id="109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311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159</xdr:row>
      <xdr:rowOff>19050</xdr:rowOff>
    </xdr:from>
    <xdr:ext cx="819150" cy="123825"/>
    <xdr:pic>
      <xdr:nvPicPr>
        <xdr:cNvPr id="1033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159</xdr:row>
      <xdr:rowOff>28575</xdr:rowOff>
    </xdr:from>
    <xdr:ext cx="342900" cy="104775"/>
    <xdr:pic>
      <xdr:nvPicPr>
        <xdr:cNvPr id="105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4788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653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31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177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53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176</xdr:row>
      <xdr:rowOff>19050</xdr:rowOff>
    </xdr:from>
    <xdr:to>
      <xdr:col>26</xdr:col>
      <xdr:colOff>0</xdr:colOff>
      <xdr:row>176</xdr:row>
      <xdr:rowOff>142875</xdr:rowOff>
    </xdr:to>
    <xdr:pic>
      <xdr:nvPicPr>
        <xdr:cNvPr id="1508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5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5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168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5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5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5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53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15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510</xdr:row>
      <xdr:rowOff>28575</xdr:rowOff>
    </xdr:from>
    <xdr:ext cx="342900" cy="104775"/>
    <xdr:pic>
      <xdr:nvPicPr>
        <xdr:cNvPr id="15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5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510</xdr:row>
      <xdr:rowOff>28575</xdr:rowOff>
    </xdr:from>
    <xdr:ext cx="819150" cy="125505"/>
    <xdr:pic>
      <xdr:nvPicPr>
        <xdr:cNvPr id="157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2572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511</xdr:row>
      <xdr:rowOff>28575</xdr:rowOff>
    </xdr:from>
    <xdr:ext cx="819150" cy="125505"/>
    <xdr:pic>
      <xdr:nvPicPr>
        <xdr:cNvPr id="157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4096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512</xdr:row>
      <xdr:rowOff>28575</xdr:rowOff>
    </xdr:from>
    <xdr:ext cx="819150" cy="125505"/>
    <xdr:pic>
      <xdr:nvPicPr>
        <xdr:cNvPr id="15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5620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512</xdr:row>
      <xdr:rowOff>28575</xdr:rowOff>
    </xdr:from>
    <xdr:ext cx="819150" cy="125505"/>
    <xdr:pic>
      <xdr:nvPicPr>
        <xdr:cNvPr id="158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7144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6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513</xdr:row>
      <xdr:rowOff>28575</xdr:rowOff>
    </xdr:from>
    <xdr:ext cx="819150" cy="125505"/>
    <xdr:pic>
      <xdr:nvPicPr>
        <xdr:cNvPr id="158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8668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59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6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150" cy="125505"/>
    <xdr:pic>
      <xdr:nvPicPr>
        <xdr:cNvPr id="159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95337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150" cy="123825"/>
    <xdr:pic>
      <xdr:nvPicPr>
        <xdr:cNvPr id="1599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8314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514</xdr:row>
      <xdr:rowOff>28575</xdr:rowOff>
    </xdr:from>
    <xdr:ext cx="342900" cy="104775"/>
    <xdr:pic>
      <xdr:nvPicPr>
        <xdr:cNvPr id="160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24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194</xdr:row>
      <xdr:rowOff>19050</xdr:rowOff>
    </xdr:from>
    <xdr:to>
      <xdr:col>9</xdr:col>
      <xdr:colOff>9526</xdr:colOff>
      <xdr:row>194</xdr:row>
      <xdr:rowOff>142875</xdr:rowOff>
    </xdr:to>
    <xdr:pic>
      <xdr:nvPicPr>
        <xdr:cNvPr id="160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29975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6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12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62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635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359</xdr:row>
      <xdr:rowOff>19050</xdr:rowOff>
    </xdr:from>
    <xdr:ext cx="502919" cy="121920"/>
    <xdr:pic>
      <xdr:nvPicPr>
        <xdr:cNvPr id="1641" name="Imagen 164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44449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50" cy="123825"/>
    <xdr:pic>
      <xdr:nvPicPr>
        <xdr:cNvPr id="1655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357</xdr:row>
      <xdr:rowOff>19050</xdr:rowOff>
    </xdr:from>
    <xdr:ext cx="502919" cy="121920"/>
    <xdr:pic>
      <xdr:nvPicPr>
        <xdr:cNvPr id="1657" name="Imagen 165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47497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357</xdr:row>
      <xdr:rowOff>19050</xdr:rowOff>
    </xdr:from>
    <xdr:ext cx="819150" cy="123825"/>
    <xdr:pic>
      <xdr:nvPicPr>
        <xdr:cNvPr id="165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219</xdr:row>
      <xdr:rowOff>28575</xdr:rowOff>
    </xdr:from>
    <xdr:ext cx="342900" cy="104775"/>
    <xdr:pic>
      <xdr:nvPicPr>
        <xdr:cNvPr id="12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9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992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97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0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0224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15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3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5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037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158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3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6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037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164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6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052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66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38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263</xdr:row>
      <xdr:rowOff>19050</xdr:rowOff>
    </xdr:from>
    <xdr:to>
      <xdr:col>26</xdr:col>
      <xdr:colOff>9525</xdr:colOff>
      <xdr:row>263</xdr:row>
      <xdr:rowOff>142875</xdr:rowOff>
    </xdr:to>
    <xdr:pic>
      <xdr:nvPicPr>
        <xdr:cNvPr id="1663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257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6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47624</xdr:colOff>
      <xdr:row>243</xdr:row>
      <xdr:rowOff>142875</xdr:rowOff>
    </xdr:to>
    <xdr:pic>
      <xdr:nvPicPr>
        <xdr:cNvPr id="16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671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754</xdr:row>
      <xdr:rowOff>19050</xdr:rowOff>
    </xdr:from>
    <xdr:ext cx="819150" cy="123825"/>
    <xdr:pic>
      <xdr:nvPicPr>
        <xdr:cNvPr id="10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16833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754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31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182" name="Imagen 11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240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9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3008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2" TargetMode="External"/><Relationship Id="rId531" Type="http://schemas.openxmlformats.org/officeDocument/2006/relationships/hyperlink" Target="https://www.jivi.com.ar/ficha.php?id=1662" TargetMode="External"/><Relationship Id="rId629" Type="http://schemas.openxmlformats.org/officeDocument/2006/relationships/hyperlink" Target="https://www.jivi.com.ar/ficha.php?id=2298" TargetMode="External"/><Relationship Id="rId170" Type="http://schemas.openxmlformats.org/officeDocument/2006/relationships/hyperlink" Target="https://www.jivi.com.ar/ficha.php?id=1218" TargetMode="External"/><Relationship Id="rId268" Type="http://schemas.openxmlformats.org/officeDocument/2006/relationships/hyperlink" Target="https://www.jivi.com.ar/ficha.php?id=1560" TargetMode="External"/><Relationship Id="rId475" Type="http://schemas.openxmlformats.org/officeDocument/2006/relationships/hyperlink" Target="https://www.jivi.com.ar/ficha.php?id=1377" TargetMode="External"/><Relationship Id="rId682" Type="http://schemas.openxmlformats.org/officeDocument/2006/relationships/hyperlink" Target="https://www.jivi.com.ar/ficha.php?id=3137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62" TargetMode="External"/><Relationship Id="rId542" Type="http://schemas.openxmlformats.org/officeDocument/2006/relationships/hyperlink" Target="https://www.jivi.com.ar/ficha.php?id=1416" TargetMode="External"/><Relationship Id="rId181" Type="http://schemas.openxmlformats.org/officeDocument/2006/relationships/hyperlink" Target="https://www.jivi.com.ar/ficha.php?id=883" TargetMode="External"/><Relationship Id="rId402" Type="http://schemas.openxmlformats.org/officeDocument/2006/relationships/hyperlink" Target="https://www.jivi.com.ar/ficha.php?id=440" TargetMode="External"/><Relationship Id="rId279" Type="http://schemas.openxmlformats.org/officeDocument/2006/relationships/hyperlink" Target="https://www.jivi.com.ar/ficha.php?id=835" TargetMode="External"/><Relationship Id="rId486" Type="http://schemas.openxmlformats.org/officeDocument/2006/relationships/hyperlink" Target="https://www.jivi.com.ar/ficha.php?id=1594" TargetMode="External"/><Relationship Id="rId693" Type="http://schemas.openxmlformats.org/officeDocument/2006/relationships/hyperlink" Target="https://www.jivi.com.ar/ficha.php?id=1654" TargetMode="External"/><Relationship Id="rId707" Type="http://schemas.openxmlformats.org/officeDocument/2006/relationships/hyperlink" Target="https://www.jivi.com.ar/ficha.php?id=1370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9" TargetMode="External"/><Relationship Id="rId553" Type="http://schemas.openxmlformats.org/officeDocument/2006/relationships/hyperlink" Target="https://www.jivi.com.ar/ficha.php?id=1391" TargetMode="External"/><Relationship Id="rId192" Type="http://schemas.openxmlformats.org/officeDocument/2006/relationships/hyperlink" Target="https://www.jivi.com.ar/ficha.php?id=1607" TargetMode="External"/><Relationship Id="rId206" Type="http://schemas.openxmlformats.org/officeDocument/2006/relationships/hyperlink" Target="https://www.jivi.com.ar/ficha.php?id=1359" TargetMode="External"/><Relationship Id="rId413" Type="http://schemas.openxmlformats.org/officeDocument/2006/relationships/hyperlink" Target="https://www.jivi.com.ar/ficha.php?id=1697" TargetMode="External"/><Relationship Id="rId497" Type="http://schemas.openxmlformats.org/officeDocument/2006/relationships/hyperlink" Target="https://www.jivi.com.ar/ficha.php?id=1055" TargetMode="External"/><Relationship Id="rId620" Type="http://schemas.openxmlformats.org/officeDocument/2006/relationships/hyperlink" Target="https://www.jivi.com.ar/ficha.php?id=2289" TargetMode="External"/><Relationship Id="rId357" Type="http://schemas.openxmlformats.org/officeDocument/2006/relationships/hyperlink" Target="https://www.jivi.com.ar/ficha.php?id=1576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85" TargetMode="External"/><Relationship Id="rId564" Type="http://schemas.openxmlformats.org/officeDocument/2006/relationships/hyperlink" Target="https://www.jivi.com.ar/ficha.php?id=333" TargetMode="External"/><Relationship Id="rId424" Type="http://schemas.openxmlformats.org/officeDocument/2006/relationships/hyperlink" Target="https://www.jivi.com.ar/ficha.php?id=1707" TargetMode="External"/><Relationship Id="rId631" Type="http://schemas.openxmlformats.org/officeDocument/2006/relationships/hyperlink" Target="https://www.jivi.com.ar/ficha.php?id=2300" TargetMode="External"/><Relationship Id="rId270" Type="http://schemas.openxmlformats.org/officeDocument/2006/relationships/hyperlink" Target="https://www.jivi.com.ar/ficha.php?id=969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3" TargetMode="External"/><Relationship Id="rId575" Type="http://schemas.openxmlformats.org/officeDocument/2006/relationships/hyperlink" Target="https://www.jivi.com.ar/ficha.php?id=2224" TargetMode="External"/><Relationship Id="rId228" Type="http://schemas.openxmlformats.org/officeDocument/2006/relationships/hyperlink" Target="https://www.jivi.com.ar/ficha.php?id=1401" TargetMode="External"/><Relationship Id="rId435" Type="http://schemas.openxmlformats.org/officeDocument/2006/relationships/hyperlink" Target="https://www.jivi.com.ar/ficha.php?id=1734" TargetMode="External"/><Relationship Id="rId642" Type="http://schemas.openxmlformats.org/officeDocument/2006/relationships/hyperlink" Target="https://www.jivi.com.ar/ficha.php?id=2325" TargetMode="External"/><Relationship Id="rId281" Type="http://schemas.openxmlformats.org/officeDocument/2006/relationships/hyperlink" Target="https://www.jivi.com.ar/ficha.php?id=1479" TargetMode="External"/><Relationship Id="rId502" Type="http://schemas.openxmlformats.org/officeDocument/2006/relationships/hyperlink" Target="https://www.jivi.com.ar/ficha.php?id=1840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59" TargetMode="External"/><Relationship Id="rId586" Type="http://schemas.openxmlformats.org/officeDocument/2006/relationships/hyperlink" Target="https://www.jivi.com.ar/ficha.php?id=222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5" TargetMode="External"/><Relationship Id="rId446" Type="http://schemas.openxmlformats.org/officeDocument/2006/relationships/hyperlink" Target="https://www.jivi.com.ar/ficha.php?id=1750" TargetMode="External"/><Relationship Id="rId653" Type="http://schemas.openxmlformats.org/officeDocument/2006/relationships/hyperlink" Target="https://www.jivi.com.ar/ficha.php?id=2350" TargetMode="External"/><Relationship Id="rId292" Type="http://schemas.openxmlformats.org/officeDocument/2006/relationships/hyperlink" Target="https://www.jivi.com.ar/ficha.php?id=1497" TargetMode="External"/><Relationship Id="rId306" Type="http://schemas.openxmlformats.org/officeDocument/2006/relationships/hyperlink" Target="https://www.jivi.com.ar/ficha.php?id=1517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77" TargetMode="External"/><Relationship Id="rId597" Type="http://schemas.openxmlformats.org/officeDocument/2006/relationships/hyperlink" Target="https://www.jivi.com.ar/ficha.php?id=2215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1736" TargetMode="External"/><Relationship Id="rId664" Type="http://schemas.openxmlformats.org/officeDocument/2006/relationships/hyperlink" Target="https://www.jivi.com.ar/ficha.php?id=2293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2" TargetMode="External"/><Relationship Id="rId524" Type="http://schemas.openxmlformats.org/officeDocument/2006/relationships/hyperlink" Target="https://www.jivi.com.ar/ficha.php?id=2018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6" TargetMode="External"/><Relationship Id="rId230" Type="http://schemas.openxmlformats.org/officeDocument/2006/relationships/hyperlink" Target="https://www.jivi.com.ar/ficha.php?id=1230" TargetMode="External"/><Relationship Id="rId468" Type="http://schemas.openxmlformats.org/officeDocument/2006/relationships/hyperlink" Target="https://www.jivi.com.ar/ficha.php?id=1087" TargetMode="External"/><Relationship Id="rId675" Type="http://schemas.openxmlformats.org/officeDocument/2006/relationships/hyperlink" Target="https://www.jivi.com.ar/ficha.php?id=1775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5" TargetMode="External"/><Relationship Id="rId535" Type="http://schemas.openxmlformats.org/officeDocument/2006/relationships/hyperlink" Target="https://www.jivi.com.ar/ficha.php?id=2043" TargetMode="External"/><Relationship Id="rId174" Type="http://schemas.openxmlformats.org/officeDocument/2006/relationships/hyperlink" Target="https://www.jivi.com.ar/ficha.php?id=1223" TargetMode="External"/><Relationship Id="rId381" Type="http://schemas.openxmlformats.org/officeDocument/2006/relationships/hyperlink" Target="https://www.jivi.com.ar/ficha.php?id=1609" TargetMode="External"/><Relationship Id="rId602" Type="http://schemas.openxmlformats.org/officeDocument/2006/relationships/hyperlink" Target="https://www.jivi.com.ar/ficha.php?id=2266" TargetMode="External"/><Relationship Id="rId241" Type="http://schemas.openxmlformats.org/officeDocument/2006/relationships/hyperlink" Target="https://www.jivi.com.ar/ficha.php?id=1084" TargetMode="External"/><Relationship Id="rId479" Type="http://schemas.openxmlformats.org/officeDocument/2006/relationships/hyperlink" Target="https://www.jivi.com.ar/ficha.php?id=1820" TargetMode="External"/><Relationship Id="rId686" Type="http://schemas.openxmlformats.org/officeDocument/2006/relationships/hyperlink" Target="https://www.jivi.com.ar/ficha.php?id=3173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407" TargetMode="External"/><Relationship Id="rId546" Type="http://schemas.openxmlformats.org/officeDocument/2006/relationships/hyperlink" Target="https://www.jivi.com.ar/ficha.php?id=2058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53" TargetMode="External"/><Relationship Id="rId406" Type="http://schemas.openxmlformats.org/officeDocument/2006/relationships/hyperlink" Target="https://www.jivi.com.ar/ficha.php?id=1272" TargetMode="External"/><Relationship Id="rId392" Type="http://schemas.openxmlformats.org/officeDocument/2006/relationships/hyperlink" Target="https://www.jivi.com.ar/ficha.php?id=1621" TargetMode="External"/><Relationship Id="rId613" Type="http://schemas.openxmlformats.org/officeDocument/2006/relationships/hyperlink" Target="https://www.jivi.com.ar/ficha.php?id=2275" TargetMode="External"/><Relationship Id="rId697" Type="http://schemas.openxmlformats.org/officeDocument/2006/relationships/hyperlink" Target="https://www.jivi.com.ar/ficha.php?id=909" TargetMode="External"/><Relationship Id="rId252" Type="http://schemas.openxmlformats.org/officeDocument/2006/relationships/hyperlink" Target="https://www.jivi.com.ar/ficha.php?id=1429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1295" TargetMode="External"/><Relationship Id="rId196" Type="http://schemas.openxmlformats.org/officeDocument/2006/relationships/hyperlink" Target="https://www.jivi.com.ar/ficha.php?id=1306" TargetMode="External"/><Relationship Id="rId417" Type="http://schemas.openxmlformats.org/officeDocument/2006/relationships/hyperlink" Target="https://www.jivi.com.ar/ficha.php?id=1462" TargetMode="External"/><Relationship Id="rId624" Type="http://schemas.openxmlformats.org/officeDocument/2006/relationships/hyperlink" Target="https://www.jivi.com.ar/ficha.php?id=2292" TargetMode="External"/><Relationship Id="rId263" Type="http://schemas.openxmlformats.org/officeDocument/2006/relationships/hyperlink" Target="https://www.jivi.com.ar/ficha.php?id=1335" TargetMode="External"/><Relationship Id="rId470" Type="http://schemas.openxmlformats.org/officeDocument/2006/relationships/hyperlink" Target="https://www.jivi.com.ar/ficha.php?id=1451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8" TargetMode="External"/><Relationship Id="rId568" Type="http://schemas.openxmlformats.org/officeDocument/2006/relationships/hyperlink" Target="https://www.jivi.com.ar/ficha.php?id=1513" TargetMode="External"/><Relationship Id="rId428" Type="http://schemas.openxmlformats.org/officeDocument/2006/relationships/hyperlink" Target="https://www.jivi.com.ar/ficha.php?id=1725" TargetMode="External"/><Relationship Id="rId635" Type="http://schemas.openxmlformats.org/officeDocument/2006/relationships/hyperlink" Target="https://www.jivi.com.ar/ficha.php?id=2306" TargetMode="External"/><Relationship Id="rId274" Type="http://schemas.openxmlformats.org/officeDocument/2006/relationships/hyperlink" Target="https://www.jivi.com.ar/ficha.php?id=1471" TargetMode="External"/><Relationship Id="rId481" Type="http://schemas.openxmlformats.org/officeDocument/2006/relationships/hyperlink" Target="https://www.jivi.com.ar/ficha.php?id=1533" TargetMode="External"/><Relationship Id="rId702" Type="http://schemas.openxmlformats.org/officeDocument/2006/relationships/hyperlink" Target="https://www.jivi.com.ar/ficha.php?id=3204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2230" TargetMode="External"/><Relationship Id="rId341" Type="http://schemas.openxmlformats.org/officeDocument/2006/relationships/hyperlink" Target="https://www.jivi.com.ar/ficha.php?id=1408" TargetMode="External"/><Relationship Id="rId439" Type="http://schemas.openxmlformats.org/officeDocument/2006/relationships/hyperlink" Target="https://www.jivi.com.ar/ficha.php?id=1744" TargetMode="External"/><Relationship Id="rId646" Type="http://schemas.openxmlformats.org/officeDocument/2006/relationships/hyperlink" Target="https://www.jivi.com.ar/ficha.php?id=1369" TargetMode="External"/><Relationship Id="rId201" Type="http://schemas.openxmlformats.org/officeDocument/2006/relationships/hyperlink" Target="https://www.jivi.com.ar/ficha.php?id=1344" TargetMode="External"/><Relationship Id="rId285" Type="http://schemas.openxmlformats.org/officeDocument/2006/relationships/hyperlink" Target="https://www.jivi.com.ar/ficha.php?id=1486" TargetMode="External"/><Relationship Id="rId506" Type="http://schemas.openxmlformats.org/officeDocument/2006/relationships/hyperlink" Target="https://www.jivi.com.ar/ficha.php?id=1916" TargetMode="External"/><Relationship Id="rId492" Type="http://schemas.openxmlformats.org/officeDocument/2006/relationships/hyperlink" Target="https://www.jivi.com.ar/ficha.php?id=1847" TargetMode="External"/><Relationship Id="rId145" Type="http://schemas.openxmlformats.org/officeDocument/2006/relationships/hyperlink" Target="https://www.jivi.com.ar/ficha.php?id=297" TargetMode="External"/><Relationship Id="rId352" Type="http://schemas.openxmlformats.org/officeDocument/2006/relationships/hyperlink" Target="https://www.jivi.com.ar/ficha.php?id=1271" TargetMode="External"/><Relationship Id="rId212" Type="http://schemas.openxmlformats.org/officeDocument/2006/relationships/hyperlink" Target="https://www.jivi.com.ar/ficha.php?id=1378" TargetMode="External"/><Relationship Id="rId657" Type="http://schemas.openxmlformats.org/officeDocument/2006/relationships/hyperlink" Target="https://www.jivi.com.ar/ficha.php?id=1261" TargetMode="External"/><Relationship Id="rId296" Type="http://schemas.openxmlformats.org/officeDocument/2006/relationships/hyperlink" Target="https://www.jivi.com.ar/ficha.php?id=1502" TargetMode="External"/><Relationship Id="rId517" Type="http://schemas.openxmlformats.org/officeDocument/2006/relationships/hyperlink" Target="https://www.jivi.com.ar/ficha.php?id=2008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363" Type="http://schemas.openxmlformats.org/officeDocument/2006/relationships/hyperlink" Target="https://www.jivi.com.ar/ficha.php?id=1221" TargetMode="External"/><Relationship Id="rId570" Type="http://schemas.openxmlformats.org/officeDocument/2006/relationships/hyperlink" Target="https://www.jivi.com.ar/ficha.php?id=2142" TargetMode="External"/><Relationship Id="rId223" Type="http://schemas.openxmlformats.org/officeDocument/2006/relationships/hyperlink" Target="https://www.jivi.com.ar/ficha.php?id=1394" TargetMode="External"/><Relationship Id="rId430" Type="http://schemas.openxmlformats.org/officeDocument/2006/relationships/hyperlink" Target="https://www.jivi.com.ar/ficha.php?id=1728" TargetMode="External"/><Relationship Id="rId668" Type="http://schemas.openxmlformats.org/officeDocument/2006/relationships/hyperlink" Target="https://www.jivi.com.ar/ficha.php?id=1470" TargetMode="External"/><Relationship Id="rId18" Type="http://schemas.openxmlformats.org/officeDocument/2006/relationships/hyperlink" Target="https://www.jivi.com.ar/ficha.php?id=99" TargetMode="External"/><Relationship Id="rId528" Type="http://schemas.openxmlformats.org/officeDocument/2006/relationships/hyperlink" Target="https://www.jivi.com.ar/ficha.php?id=2034" TargetMode="External"/><Relationship Id="rId167" Type="http://schemas.openxmlformats.org/officeDocument/2006/relationships/hyperlink" Target="https://www.jivi.com.ar/ficha.php?id=1190" TargetMode="External"/><Relationship Id="rId374" Type="http://schemas.openxmlformats.org/officeDocument/2006/relationships/hyperlink" Target="https://www.jivi.com.ar/ficha.php?id=1701" TargetMode="External"/><Relationship Id="rId581" Type="http://schemas.openxmlformats.org/officeDocument/2006/relationships/hyperlink" Target="https://www.jivi.com.ar/ficha.php?id=2225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376" TargetMode="External"/><Relationship Id="rId637" Type="http://schemas.openxmlformats.org/officeDocument/2006/relationships/hyperlink" Target="https://www.jivi.com.ar/ficha.php?id=2308" TargetMode="External"/><Relationship Id="rId679" Type="http://schemas.openxmlformats.org/officeDocument/2006/relationships/hyperlink" Target="https://www.jivi.com.ar/ficha.php?id=139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https://www.jivi.com.ar/ficha.php?id=1476" TargetMode="External"/><Relationship Id="rId441" Type="http://schemas.openxmlformats.org/officeDocument/2006/relationships/hyperlink" Target="https://www.jivi.com.ar/ficha.php?id=1746" TargetMode="External"/><Relationship Id="rId483" Type="http://schemas.openxmlformats.org/officeDocument/2006/relationships/hyperlink" Target="https://www.jivi.com.ar/ficha.php?id=1825" TargetMode="External"/><Relationship Id="rId539" Type="http://schemas.openxmlformats.org/officeDocument/2006/relationships/hyperlink" Target="https://www.jivi.com.ar/ficha.php?id=1256" TargetMode="External"/><Relationship Id="rId690" Type="http://schemas.openxmlformats.org/officeDocument/2006/relationships/hyperlink" Target="https://www.jivi.com.ar/ficha.php?id=1639" TargetMode="External"/><Relationship Id="rId704" Type="http://schemas.openxmlformats.org/officeDocument/2006/relationships/hyperlink" Target="https://www.jivi.com.ar/ficha.php?id=3206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6" TargetMode="External"/><Relationship Id="rId301" Type="http://schemas.openxmlformats.org/officeDocument/2006/relationships/hyperlink" Target="https://www.jivi.com.ar/ficha.php?id=1508" TargetMode="External"/><Relationship Id="rId343" Type="http://schemas.openxmlformats.org/officeDocument/2006/relationships/hyperlink" Target="https://www.jivi.com.ar/ficha.php?id=1434" TargetMode="External"/><Relationship Id="rId550" Type="http://schemas.openxmlformats.org/officeDocument/2006/relationships/hyperlink" Target="https://www.jivi.com.ar/ficha.php?id=2061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46" TargetMode="External"/><Relationship Id="rId385" Type="http://schemas.openxmlformats.org/officeDocument/2006/relationships/hyperlink" Target="https://www.jivi.com.ar/ficha.php?id=1614" TargetMode="External"/><Relationship Id="rId592" Type="http://schemas.openxmlformats.org/officeDocument/2006/relationships/hyperlink" Target="https://www.jivi.com.ar/ficha.php?id=2210" TargetMode="External"/><Relationship Id="rId606" Type="http://schemas.openxmlformats.org/officeDocument/2006/relationships/hyperlink" Target="https://www.jivi.com.ar/ficha.php?id=2272" TargetMode="External"/><Relationship Id="rId648" Type="http://schemas.openxmlformats.org/officeDocument/2006/relationships/hyperlink" Target="https://www.jivi.com.ar/ficha.php?id=2341" TargetMode="External"/><Relationship Id="rId245" Type="http://schemas.openxmlformats.org/officeDocument/2006/relationships/hyperlink" Target="https://www.jivi.com.ar/ficha.php?id=1281" TargetMode="External"/><Relationship Id="rId287" Type="http://schemas.openxmlformats.org/officeDocument/2006/relationships/hyperlink" Target="https://www.jivi.com.ar/ficha.php?id=1492" TargetMode="External"/><Relationship Id="rId410" Type="http://schemas.openxmlformats.org/officeDocument/2006/relationships/hyperlink" Target="https://www.jivi.com.ar/ficha.php?id=1691" TargetMode="External"/><Relationship Id="rId452" Type="http://schemas.openxmlformats.org/officeDocument/2006/relationships/hyperlink" Target="https://www.jivi.com.ar/ficha.php?id=76" TargetMode="External"/><Relationship Id="rId494" Type="http://schemas.openxmlformats.org/officeDocument/2006/relationships/hyperlink" Target="https://www.jivi.com.ar/ficha.php?id=1520" TargetMode="External"/><Relationship Id="rId508" Type="http://schemas.openxmlformats.org/officeDocument/2006/relationships/hyperlink" Target="https://www.jivi.com.ar/ficha.php?id=1386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5" TargetMode="External"/><Relationship Id="rId354" Type="http://schemas.openxmlformats.org/officeDocument/2006/relationships/hyperlink" Target="https://www.jivi.com.ar/ficha.php?id=1139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77" TargetMode="External"/><Relationship Id="rId396" Type="http://schemas.openxmlformats.org/officeDocument/2006/relationships/hyperlink" Target="https://www.jivi.com.ar/ficha.php?id=1643" TargetMode="External"/><Relationship Id="rId561" Type="http://schemas.openxmlformats.org/officeDocument/2006/relationships/hyperlink" Target="https://www.jivi.com.ar/ficha.php?id=1266" TargetMode="External"/><Relationship Id="rId617" Type="http://schemas.openxmlformats.org/officeDocument/2006/relationships/hyperlink" Target="https://www.jivi.com.ar/ficha.php?id=2286" TargetMode="External"/><Relationship Id="rId659" Type="http://schemas.openxmlformats.org/officeDocument/2006/relationships/hyperlink" Target="https://www.jivi.com.ar/ficha.php?id=1613" TargetMode="External"/><Relationship Id="rId214" Type="http://schemas.openxmlformats.org/officeDocument/2006/relationships/hyperlink" Target="https://www.jivi.com.ar/ficha.php?id=1383" TargetMode="External"/><Relationship Id="rId256" Type="http://schemas.openxmlformats.org/officeDocument/2006/relationships/hyperlink" Target="https://www.jivi.com.ar/ficha.php?id=1702" TargetMode="External"/><Relationship Id="rId298" Type="http://schemas.openxmlformats.org/officeDocument/2006/relationships/hyperlink" Target="https://www.jivi.com.ar/ficha.php?id=1505" TargetMode="External"/><Relationship Id="rId421" Type="http://schemas.openxmlformats.org/officeDocument/2006/relationships/hyperlink" Target="https://www.jivi.com.ar/ficha.php?id=977" TargetMode="External"/><Relationship Id="rId463" Type="http://schemas.openxmlformats.org/officeDocument/2006/relationships/hyperlink" Target="https://www.jivi.com.ar/ficha.php?id=1308" TargetMode="External"/><Relationship Id="rId519" Type="http://schemas.openxmlformats.org/officeDocument/2006/relationships/hyperlink" Target="https://www.jivi.com.ar/ficha.php?id=2010" TargetMode="External"/><Relationship Id="rId670" Type="http://schemas.openxmlformats.org/officeDocument/2006/relationships/hyperlink" Target="https://www.jivi.com.ar/ficha.php?id=1325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51" TargetMode="External"/><Relationship Id="rId530" Type="http://schemas.openxmlformats.org/officeDocument/2006/relationships/hyperlink" Target="https://www.jivi.com.ar/ficha.php?id=2040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90" TargetMode="External"/><Relationship Id="rId572" Type="http://schemas.openxmlformats.org/officeDocument/2006/relationships/hyperlink" Target="https://www.jivi.com.ar/ficha.php?id=1403" TargetMode="External"/><Relationship Id="rId628" Type="http://schemas.openxmlformats.org/officeDocument/2006/relationships/hyperlink" Target="https://www.jivi.com.ar/ficha.php?id=2297" TargetMode="External"/><Relationship Id="rId225" Type="http://schemas.openxmlformats.org/officeDocument/2006/relationships/hyperlink" Target="https://www.jivi.com.ar/ficha.php?id=1399" TargetMode="External"/><Relationship Id="rId267" Type="http://schemas.openxmlformats.org/officeDocument/2006/relationships/hyperlink" Target="https://www.jivi.com.ar/ficha.php?id=1450" TargetMode="External"/><Relationship Id="rId432" Type="http://schemas.openxmlformats.org/officeDocument/2006/relationships/hyperlink" Target="https://www.jivi.com.ar/ficha.php?id=1730" TargetMode="External"/><Relationship Id="rId474" Type="http://schemas.openxmlformats.org/officeDocument/2006/relationships/hyperlink" Target="https://www.jivi.com.ar/ficha.php?id=1070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3129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209" TargetMode="External"/><Relationship Id="rId334" Type="http://schemas.openxmlformats.org/officeDocument/2006/relationships/hyperlink" Target="https://www.jivi.com.ar/ficha.php?id=1066" TargetMode="External"/><Relationship Id="rId376" Type="http://schemas.openxmlformats.org/officeDocument/2006/relationships/hyperlink" Target="https://www.jivi.com.ar/ficha.php?id=1606" TargetMode="External"/><Relationship Id="rId541" Type="http://schemas.openxmlformats.org/officeDocument/2006/relationships/hyperlink" Target="https://www.jivi.com.ar/articulos.php?search=1066" TargetMode="External"/><Relationship Id="rId583" Type="http://schemas.openxmlformats.org/officeDocument/2006/relationships/hyperlink" Target="https://www.jivi.com.ar/ficha.php?id=2229" TargetMode="External"/><Relationship Id="rId639" Type="http://schemas.openxmlformats.org/officeDocument/2006/relationships/hyperlink" Target="https://www.jivi.com.ar/ficha.php?id=2312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32" TargetMode="External"/><Relationship Id="rId236" Type="http://schemas.openxmlformats.org/officeDocument/2006/relationships/hyperlink" Target="https://www.jivi.com.ar/ficha.php?id=1393" TargetMode="External"/><Relationship Id="rId278" Type="http://schemas.openxmlformats.org/officeDocument/2006/relationships/hyperlink" Target="https://www.jivi.com.ar/ficha.php?id=996" TargetMode="External"/><Relationship Id="rId401" Type="http://schemas.openxmlformats.org/officeDocument/2006/relationships/hyperlink" Target="https://www.jivi.com.ar/ficha.php?id=1660" TargetMode="External"/><Relationship Id="rId443" Type="http://schemas.openxmlformats.org/officeDocument/2006/relationships/hyperlink" Target="https://www.jivi.com.ar/ficha.php?id=1748" TargetMode="External"/><Relationship Id="rId650" Type="http://schemas.openxmlformats.org/officeDocument/2006/relationships/hyperlink" Target="https://www.jivi.com.ar/ficha.php?id=2344" TargetMode="External"/><Relationship Id="rId303" Type="http://schemas.openxmlformats.org/officeDocument/2006/relationships/hyperlink" Target="https://www.jivi.com.ar/ficha.php?id=1511" TargetMode="External"/><Relationship Id="rId485" Type="http://schemas.openxmlformats.org/officeDocument/2006/relationships/hyperlink" Target="https://www.jivi.com.ar/ficha.php?id=149" TargetMode="External"/><Relationship Id="rId692" Type="http://schemas.openxmlformats.org/officeDocument/2006/relationships/hyperlink" Target="https://www.jivi.com.ar/ficha.php?id=2277" TargetMode="External"/><Relationship Id="rId706" Type="http://schemas.openxmlformats.org/officeDocument/2006/relationships/hyperlink" Target="https://www.jivi.com.ar/ficha.php?id=2356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8" TargetMode="External"/><Relationship Id="rId387" Type="http://schemas.openxmlformats.org/officeDocument/2006/relationships/hyperlink" Target="https://www.jivi.com.ar/ficha.php?id=1617" TargetMode="External"/><Relationship Id="rId510" Type="http://schemas.openxmlformats.org/officeDocument/2006/relationships/hyperlink" Target="https://www.jivi.com.ar/ficha.php?id=1998" TargetMode="External"/><Relationship Id="rId552" Type="http://schemas.openxmlformats.org/officeDocument/2006/relationships/hyperlink" Target="https://www.jivi.com.ar/ficha.php?id=2337" TargetMode="External"/><Relationship Id="rId594" Type="http://schemas.openxmlformats.org/officeDocument/2006/relationships/hyperlink" Target="https://www.jivi.com.ar/ficha.php?id=2212" TargetMode="External"/><Relationship Id="rId608" Type="http://schemas.openxmlformats.org/officeDocument/2006/relationships/hyperlink" Target="https://www.jivi.com.ar/ficha.php?id=2274" TargetMode="External"/><Relationship Id="rId191" Type="http://schemas.openxmlformats.org/officeDocument/2006/relationships/hyperlink" Target="https://www.jivi.com.ar/ficha.php?id=378" TargetMode="External"/><Relationship Id="rId205" Type="http://schemas.openxmlformats.org/officeDocument/2006/relationships/hyperlink" Target="https://www.jivi.com.ar/ficha.php?id=1348" TargetMode="External"/><Relationship Id="rId247" Type="http://schemas.openxmlformats.org/officeDocument/2006/relationships/hyperlink" Target="https://www.jivi.com.ar/ficha.php?id=1421" TargetMode="External"/><Relationship Id="rId412" Type="http://schemas.openxmlformats.org/officeDocument/2006/relationships/hyperlink" Target="https://www.jivi.com.ar/ficha.php?id=36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4" TargetMode="External"/><Relationship Id="rId454" Type="http://schemas.openxmlformats.org/officeDocument/2006/relationships/hyperlink" Target="https://www.jivi.com.ar/ficha.php?id=2202" TargetMode="External"/><Relationship Id="rId496" Type="http://schemas.openxmlformats.org/officeDocument/2006/relationships/hyperlink" Target="https://www.jivi.com.ar/ficha.php?id=1443" TargetMode="External"/><Relationship Id="rId661" Type="http://schemas.openxmlformats.org/officeDocument/2006/relationships/hyperlink" Target="https://www.jivi.com.ar/ficha.php?id=2085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9" TargetMode="External"/><Relationship Id="rId356" Type="http://schemas.openxmlformats.org/officeDocument/2006/relationships/hyperlink" Target="https://www.jivi.com.ar/ficha.php?id=1574" TargetMode="External"/><Relationship Id="rId398" Type="http://schemas.openxmlformats.org/officeDocument/2006/relationships/hyperlink" Target="https://www.jivi.com.ar/ficha.php?id=1644" TargetMode="External"/><Relationship Id="rId521" Type="http://schemas.openxmlformats.org/officeDocument/2006/relationships/hyperlink" Target="https://www.jivi.com.ar/ficha.php?id=2012" TargetMode="External"/><Relationship Id="rId563" Type="http://schemas.openxmlformats.org/officeDocument/2006/relationships/hyperlink" Target="https://www.jivi.com.ar/ficha.php?id=1001" TargetMode="External"/><Relationship Id="rId619" Type="http://schemas.openxmlformats.org/officeDocument/2006/relationships/hyperlink" Target="https://www.jivi.com.ar/ficha.php?id=2288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428" TargetMode="External"/><Relationship Id="rId423" Type="http://schemas.openxmlformats.org/officeDocument/2006/relationships/hyperlink" Target="https://www.jivi.com.ar/ficha.php?id=1456" TargetMode="External"/><Relationship Id="rId258" Type="http://schemas.openxmlformats.org/officeDocument/2006/relationships/hyperlink" Target="https://www.jivi.com.ar/ficha.php?id=1442" TargetMode="External"/><Relationship Id="rId465" Type="http://schemas.openxmlformats.org/officeDocument/2006/relationships/hyperlink" Target="https://www.jivi.com.ar/ficha.php?id=1790" TargetMode="External"/><Relationship Id="rId630" Type="http://schemas.openxmlformats.org/officeDocument/2006/relationships/hyperlink" Target="https://www.jivi.com.ar/ficha.php?id=2299" TargetMode="External"/><Relationship Id="rId672" Type="http://schemas.openxmlformats.org/officeDocument/2006/relationships/hyperlink" Target="https://www.jivi.com.ar/ficha.php?id=3009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311" TargetMode="External"/><Relationship Id="rId367" Type="http://schemas.openxmlformats.org/officeDocument/2006/relationships/hyperlink" Target="https://www.jivi.com.ar/ficha.php?id=1592" TargetMode="External"/><Relationship Id="rId532" Type="http://schemas.openxmlformats.org/officeDocument/2006/relationships/hyperlink" Target="https://www.jivi.com.ar/ficha.php?id=2042" TargetMode="External"/><Relationship Id="rId574" Type="http://schemas.openxmlformats.org/officeDocument/2006/relationships/hyperlink" Target="https://www.jivi.com.ar/ficha.php?id=2105" TargetMode="External"/><Relationship Id="rId171" Type="http://schemas.openxmlformats.org/officeDocument/2006/relationships/hyperlink" Target="https://www.jivi.com.ar/ficha.php?id=1219" TargetMode="External"/><Relationship Id="rId227" Type="http://schemas.openxmlformats.org/officeDocument/2006/relationships/hyperlink" Target="https://www.jivi.com.ar/ficha.php?id=1400" TargetMode="External"/><Relationship Id="rId269" Type="http://schemas.openxmlformats.org/officeDocument/2006/relationships/hyperlink" Target="https://www.jivi.com.ar/ficha.php?id=1323" TargetMode="External"/><Relationship Id="rId434" Type="http://schemas.openxmlformats.org/officeDocument/2006/relationships/hyperlink" Target="https://www.jivi.com.ar/ficha.php?id=1732" TargetMode="External"/><Relationship Id="rId476" Type="http://schemas.openxmlformats.org/officeDocument/2006/relationships/hyperlink" Target="https://www.jivi.com.ar/ficha.php?id=1597" TargetMode="External"/><Relationship Id="rId641" Type="http://schemas.openxmlformats.org/officeDocument/2006/relationships/hyperlink" Target="https://www.jivi.com.ar/ficha.php?id=2313" TargetMode="External"/><Relationship Id="rId683" Type="http://schemas.openxmlformats.org/officeDocument/2006/relationships/hyperlink" Target="https://www.jivi.com.ar/ficha.php?id=3139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1478" TargetMode="External"/><Relationship Id="rId336" Type="http://schemas.openxmlformats.org/officeDocument/2006/relationships/hyperlink" Target="https://www.jivi.com.ar/ficha.php?id=1563" TargetMode="External"/><Relationship Id="rId501" Type="http://schemas.openxmlformats.org/officeDocument/2006/relationships/hyperlink" Target="https://www.jivi.com.ar/ficha.php?id=1380" TargetMode="External"/><Relationship Id="rId543" Type="http://schemas.openxmlformats.org/officeDocument/2006/relationships/hyperlink" Target="https://www.jivi.com.ar/ficha.php?id=2051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920" TargetMode="External"/><Relationship Id="rId378" Type="http://schemas.openxmlformats.org/officeDocument/2006/relationships/hyperlink" Target="https://www.jivi.com.ar/ficha.php?id=1270" TargetMode="External"/><Relationship Id="rId403" Type="http://schemas.openxmlformats.org/officeDocument/2006/relationships/hyperlink" Target="https://www.jivi.com.ar/ficha.php?id=1666" TargetMode="External"/><Relationship Id="rId585" Type="http://schemas.openxmlformats.org/officeDocument/2006/relationships/hyperlink" Target="https://www.jivi.com.ar/ficha.php?id=2226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13" TargetMode="External"/><Relationship Id="rId445" Type="http://schemas.openxmlformats.org/officeDocument/2006/relationships/hyperlink" Target="https://www.jivi.com.ar/ficha.php?id=1787" TargetMode="External"/><Relationship Id="rId487" Type="http://schemas.openxmlformats.org/officeDocument/2006/relationships/hyperlink" Target="https://www.jivi.com.ar/ficha.php?id=1835" TargetMode="External"/><Relationship Id="rId610" Type="http://schemas.openxmlformats.org/officeDocument/2006/relationships/hyperlink" Target="https://www.jivi.com.ar/ficha.php?id=1656" TargetMode="External"/><Relationship Id="rId652" Type="http://schemas.openxmlformats.org/officeDocument/2006/relationships/hyperlink" Target="https://www.jivi.com.ar/ficha.php?id=2346" TargetMode="External"/><Relationship Id="rId694" Type="http://schemas.openxmlformats.org/officeDocument/2006/relationships/hyperlink" Target="https://www.jivi.com.ar/ficha.php?id=3178" TargetMode="External"/><Relationship Id="rId708" Type="http://schemas.openxmlformats.org/officeDocument/2006/relationships/printerSettings" Target="../printerSettings/printerSettings1.bin"/><Relationship Id="rId291" Type="http://schemas.openxmlformats.org/officeDocument/2006/relationships/hyperlink" Target="https://www.jivi.com.ar/ficha.php?id=1496" TargetMode="External"/><Relationship Id="rId305" Type="http://schemas.openxmlformats.org/officeDocument/2006/relationships/hyperlink" Target="https://www.jivi.com.ar/ficha.php?id=1516" TargetMode="External"/><Relationship Id="rId347" Type="http://schemas.openxmlformats.org/officeDocument/2006/relationships/hyperlink" Target="https://www.jivi.com.ar/ficha.php?id=1570" TargetMode="External"/><Relationship Id="rId512" Type="http://schemas.openxmlformats.org/officeDocument/2006/relationships/hyperlink" Target="https://www.jivi.com.ar/ficha.php?id=1601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9" TargetMode="External"/><Relationship Id="rId554" Type="http://schemas.openxmlformats.org/officeDocument/2006/relationships/hyperlink" Target="https://www.jivi.com.ar/ficha.php?id=2066" TargetMode="External"/><Relationship Id="rId596" Type="http://schemas.openxmlformats.org/officeDocument/2006/relationships/hyperlink" Target="https://www.jivi.com.ar/ficha.php?id=2214" TargetMode="External"/><Relationship Id="rId193" Type="http://schemas.openxmlformats.org/officeDocument/2006/relationships/hyperlink" Target="https://www.jivi.com.ar/ficha.php?id=1302" TargetMode="External"/><Relationship Id="rId207" Type="http://schemas.openxmlformats.org/officeDocument/2006/relationships/hyperlink" Target="https://www.jivi.com.ar/ficha.php?id=1360" TargetMode="External"/><Relationship Id="rId249" Type="http://schemas.openxmlformats.org/officeDocument/2006/relationships/hyperlink" Target="https://www.jivi.com.ar/ficha.php?id=1423" TargetMode="External"/><Relationship Id="rId414" Type="http://schemas.openxmlformats.org/officeDocument/2006/relationships/hyperlink" Target="https://www.jivi.com.ar/ficha.php?id=1698" TargetMode="External"/><Relationship Id="rId456" Type="http://schemas.openxmlformats.org/officeDocument/2006/relationships/hyperlink" Target="https://www.jivi.com.ar/ficha.php?id=1710" TargetMode="External"/><Relationship Id="rId498" Type="http://schemas.openxmlformats.org/officeDocument/2006/relationships/hyperlink" Target="https://www.jivi.com.ar/ficha.php?id=1733" TargetMode="External"/><Relationship Id="rId621" Type="http://schemas.openxmlformats.org/officeDocument/2006/relationships/hyperlink" Target="https://www.jivi.com.ar/ficha.php?id=2290" TargetMode="External"/><Relationship Id="rId663" Type="http://schemas.openxmlformats.org/officeDocument/2006/relationships/hyperlink" Target="https://www.jivi.com.ar/ficha.php?id=2983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216" TargetMode="External"/><Relationship Id="rId316" Type="http://schemas.openxmlformats.org/officeDocument/2006/relationships/hyperlink" Target="https://www.jivi.com.ar/ficha.php?id=1541" TargetMode="External"/><Relationship Id="rId523" Type="http://schemas.openxmlformats.org/officeDocument/2006/relationships/hyperlink" Target="https://www.jivi.com.ar/ficha.php?id=2017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80" TargetMode="External"/><Relationship Id="rId565" Type="http://schemas.openxmlformats.org/officeDocument/2006/relationships/hyperlink" Target="https://www.jivi.com.ar/ficha.php?id=1512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7" TargetMode="External"/><Relationship Id="rId425" Type="http://schemas.openxmlformats.org/officeDocument/2006/relationships/hyperlink" Target="https://www.jivi.com.ar/ficha.php?id=1708" TargetMode="External"/><Relationship Id="rId467" Type="http://schemas.openxmlformats.org/officeDocument/2006/relationships/hyperlink" Target="https://www.jivi.com.ar/ficha.php?id=1447" TargetMode="External"/><Relationship Id="rId632" Type="http://schemas.openxmlformats.org/officeDocument/2006/relationships/hyperlink" Target="https://www.jivi.com.ar/ficha.php?id=2301" TargetMode="External"/><Relationship Id="rId271" Type="http://schemas.openxmlformats.org/officeDocument/2006/relationships/hyperlink" Target="https://www.jivi.com.ar/ficha.php?id=1463" TargetMode="External"/><Relationship Id="rId674" Type="http://schemas.openxmlformats.org/officeDocument/2006/relationships/hyperlink" Target="https://www.jivi.com.ar/ficha.php?id=1468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4" TargetMode="External"/><Relationship Id="rId369" Type="http://schemas.openxmlformats.org/officeDocument/2006/relationships/hyperlink" Target="https://www.jivi.com.ar/ficha.php?id=1595" TargetMode="External"/><Relationship Id="rId534" Type="http://schemas.openxmlformats.org/officeDocument/2006/relationships/hyperlink" Target="https://www.jivi.com.ar/ficha.php?id=249" TargetMode="External"/><Relationship Id="rId576" Type="http://schemas.openxmlformats.org/officeDocument/2006/relationships/hyperlink" Target="https://www.jivi.com.ar/ficha.php?id=1279" TargetMode="External"/><Relationship Id="rId173" Type="http://schemas.openxmlformats.org/officeDocument/2006/relationships/hyperlink" Target="https://www.jivi.com.ar/ficha.php?id=1222" TargetMode="External"/><Relationship Id="rId229" Type="http://schemas.openxmlformats.org/officeDocument/2006/relationships/hyperlink" Target="https://www.jivi.com.ar/ficha.php?id=1392" TargetMode="External"/><Relationship Id="rId380" Type="http://schemas.openxmlformats.org/officeDocument/2006/relationships/hyperlink" Target="https://www.jivi.com.ar/ficha.php?id=1608" TargetMode="External"/><Relationship Id="rId436" Type="http://schemas.openxmlformats.org/officeDocument/2006/relationships/hyperlink" Target="https://www.jivi.com.ar/ficha.php?id=1740" TargetMode="External"/><Relationship Id="rId601" Type="http://schemas.openxmlformats.org/officeDocument/2006/relationships/hyperlink" Target="https://www.jivi.com.ar/ficha.php?id=1251" TargetMode="External"/><Relationship Id="rId643" Type="http://schemas.openxmlformats.org/officeDocument/2006/relationships/hyperlink" Target="https://jivi.com.ar/ficha.php?id=648" TargetMode="External"/><Relationship Id="rId240" Type="http://schemas.openxmlformats.org/officeDocument/2006/relationships/hyperlink" Target="https://www.jivi.com.ar/ficha.php?id=1356" TargetMode="External"/><Relationship Id="rId478" Type="http://schemas.openxmlformats.org/officeDocument/2006/relationships/hyperlink" Target="https://www.jivi.com.ar/ficha.php?id=1774" TargetMode="External"/><Relationship Id="rId685" Type="http://schemas.openxmlformats.org/officeDocument/2006/relationships/hyperlink" Target="https://www.jivi.com.ar/ficha.php?id=3172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80" TargetMode="External"/><Relationship Id="rId338" Type="http://schemas.openxmlformats.org/officeDocument/2006/relationships/hyperlink" Target="https://www.jivi.com.ar/ficha.php?id=790" TargetMode="External"/><Relationship Id="rId503" Type="http://schemas.openxmlformats.org/officeDocument/2006/relationships/hyperlink" Target="https://www.jivi.com.ar/ficha.php?id=1371" TargetMode="External"/><Relationship Id="rId545" Type="http://schemas.openxmlformats.org/officeDocument/2006/relationships/hyperlink" Target="https://www.jivi.com.ar/ficha.php?id=2053" TargetMode="External"/><Relationship Id="rId587" Type="http://schemas.openxmlformats.org/officeDocument/2006/relationships/hyperlink" Target="https://www.jivi.com.ar/ficha.php?id=2205" TargetMode="External"/><Relationship Id="rId710" Type="http://schemas.openxmlformats.org/officeDocument/2006/relationships/vmlDrawing" Target="../drawings/vmlDrawing1.vm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www.jivi.com.ar/ficha.php?id=1248" TargetMode="External"/><Relationship Id="rId391" Type="http://schemas.openxmlformats.org/officeDocument/2006/relationships/hyperlink" Target="https://www.jivi.com.ar/ficha.php?id=1204" TargetMode="External"/><Relationship Id="rId405" Type="http://schemas.openxmlformats.org/officeDocument/2006/relationships/hyperlink" Target="https://www.jivi.com.ar/ficha.php?id=1684" TargetMode="External"/><Relationship Id="rId447" Type="http://schemas.openxmlformats.org/officeDocument/2006/relationships/hyperlink" Target="https://www.jivi.com.ar/ficha.php?id=1751" TargetMode="External"/><Relationship Id="rId612" Type="http://schemas.openxmlformats.org/officeDocument/2006/relationships/hyperlink" Target="https://www.jivi.com.ar/ficha.php?id=2276" TargetMode="External"/><Relationship Id="rId251" Type="http://schemas.openxmlformats.org/officeDocument/2006/relationships/hyperlink" Target="https://www.jivi.com.ar/ficha.php?id=1426" TargetMode="External"/><Relationship Id="rId489" Type="http://schemas.openxmlformats.org/officeDocument/2006/relationships/hyperlink" Target="https://www.jivi.com.ar/ficha.php?id=1152" TargetMode="External"/><Relationship Id="rId654" Type="http://schemas.openxmlformats.org/officeDocument/2006/relationships/hyperlink" Target="https://www.jivi.com.ar/ficha.php?id=2345" TargetMode="External"/><Relationship Id="rId696" Type="http://schemas.openxmlformats.org/officeDocument/2006/relationships/hyperlink" Target="https://www.jivi.com.ar/ficha.php?id=3180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8" TargetMode="External"/><Relationship Id="rId307" Type="http://schemas.openxmlformats.org/officeDocument/2006/relationships/hyperlink" Target="https://www.jivi.com.ar/ficha.php?id=1523" TargetMode="External"/><Relationship Id="rId349" Type="http://schemas.openxmlformats.org/officeDocument/2006/relationships/hyperlink" Target="https://www.jivi.com.ar/ficha.php?id=1518" TargetMode="External"/><Relationship Id="rId514" Type="http://schemas.openxmlformats.org/officeDocument/2006/relationships/hyperlink" Target="https://www.jivi.com.ar/ficha.php?id=1245" TargetMode="External"/><Relationship Id="rId556" Type="http://schemas.openxmlformats.org/officeDocument/2006/relationships/hyperlink" Target="https://www.jivi.com.ar/ficha.php?id=2068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5" TargetMode="External"/><Relationship Id="rId209" Type="http://schemas.openxmlformats.org/officeDocument/2006/relationships/hyperlink" Target="https://www.jivi.com.ar/ficha.php?id=1366" TargetMode="External"/><Relationship Id="rId360" Type="http://schemas.openxmlformats.org/officeDocument/2006/relationships/hyperlink" Target="https://www.jivi.com.ar/ficha.php?id=1583" TargetMode="External"/><Relationship Id="rId416" Type="http://schemas.openxmlformats.org/officeDocument/2006/relationships/hyperlink" Target="https://www.jivi.com.ar/ficha.php?id=1510" TargetMode="External"/><Relationship Id="rId598" Type="http://schemas.openxmlformats.org/officeDocument/2006/relationships/hyperlink" Target="https://www.jivi.com.ar/ficha.php?id=2216" TargetMode="External"/><Relationship Id="rId220" Type="http://schemas.openxmlformats.org/officeDocument/2006/relationships/hyperlink" Target="https://www.jivi.com.ar/ficha.php?id=363" TargetMode="External"/><Relationship Id="rId458" Type="http://schemas.openxmlformats.org/officeDocument/2006/relationships/hyperlink" Target="https://www.jivi.com.ar/ficha.php?id=1737" TargetMode="External"/><Relationship Id="rId623" Type="http://schemas.openxmlformats.org/officeDocument/2006/relationships/hyperlink" Target="https://www.jivi.com.ar/ficha.php?id=2055" TargetMode="External"/><Relationship Id="rId665" Type="http://schemas.openxmlformats.org/officeDocument/2006/relationships/hyperlink" Target="https://jivi.com.ar/ficha.php?id=1469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334" TargetMode="External"/><Relationship Id="rId318" Type="http://schemas.openxmlformats.org/officeDocument/2006/relationships/hyperlink" Target="https://www.jivi.com.ar/ficha.php?id=1545" TargetMode="External"/><Relationship Id="rId525" Type="http://schemas.openxmlformats.org/officeDocument/2006/relationships/hyperlink" Target="https://www.jivi.com.ar/ficha.php?id=1339" TargetMode="External"/><Relationship Id="rId567" Type="http://schemas.openxmlformats.org/officeDocument/2006/relationships/hyperlink" Target="https://www.jivi.com.ar/ficha.php?id=210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8" TargetMode="External"/><Relationship Id="rId427" Type="http://schemas.openxmlformats.org/officeDocument/2006/relationships/hyperlink" Target="https://www.jivi.com.ar/ficha.php?id=1723" TargetMode="External"/><Relationship Id="rId469" Type="http://schemas.openxmlformats.org/officeDocument/2006/relationships/hyperlink" Target="https://www.jivi.com.ar/ficha.php?id=1128" TargetMode="External"/><Relationship Id="rId634" Type="http://schemas.openxmlformats.org/officeDocument/2006/relationships/hyperlink" Target="https://www.jivi.com.ar/ficha.php?id=1319" TargetMode="External"/><Relationship Id="rId676" Type="http://schemas.openxmlformats.org/officeDocument/2006/relationships/hyperlink" Target="https://www.jivi.com.ar/ficha.php?id=1340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110" TargetMode="External"/><Relationship Id="rId273" Type="http://schemas.openxmlformats.org/officeDocument/2006/relationships/hyperlink" Target="https://www.jivi.com.ar/ficha.php?id=1467" TargetMode="External"/><Relationship Id="rId329" Type="http://schemas.openxmlformats.org/officeDocument/2006/relationships/hyperlink" Target="https://www.jivi.com.ar/ficha.php?id=1557" TargetMode="External"/><Relationship Id="rId480" Type="http://schemas.openxmlformats.org/officeDocument/2006/relationships/hyperlink" Target="https://www.jivi.com.ar/ficha.php?id=1544" TargetMode="External"/><Relationship Id="rId536" Type="http://schemas.openxmlformats.org/officeDocument/2006/relationships/hyperlink" Target="https://www.jivi.com.ar/ficha.php?id=1390" TargetMode="External"/><Relationship Id="rId701" Type="http://schemas.openxmlformats.org/officeDocument/2006/relationships/hyperlink" Target="https://www.jivi.com.ar/ficha.php?id=1046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904" TargetMode="External"/><Relationship Id="rId340" Type="http://schemas.openxmlformats.org/officeDocument/2006/relationships/hyperlink" Target="https://www.jivi.com.ar/ficha.php?id=1409" TargetMode="External"/><Relationship Id="rId578" Type="http://schemas.openxmlformats.org/officeDocument/2006/relationships/hyperlink" Target="https://www.jivi.com.ar/ficha.php?id=2231" TargetMode="External"/><Relationship Id="rId200" Type="http://schemas.openxmlformats.org/officeDocument/2006/relationships/hyperlink" Target="https://www.jivi.com.ar/ficha.php?id=1336" TargetMode="External"/><Relationship Id="rId382" Type="http://schemas.openxmlformats.org/officeDocument/2006/relationships/hyperlink" Target="https://www.jivi.com.ar/ficha.php?id=1274" TargetMode="External"/><Relationship Id="rId438" Type="http://schemas.openxmlformats.org/officeDocument/2006/relationships/hyperlink" Target="https://www.jivi.com.ar/ficha.php?id=1743" TargetMode="External"/><Relationship Id="rId603" Type="http://schemas.openxmlformats.org/officeDocument/2006/relationships/hyperlink" Target="https://www.jivi.com.ar/ficha.php?id=2268" TargetMode="External"/><Relationship Id="rId645" Type="http://schemas.openxmlformats.org/officeDocument/2006/relationships/hyperlink" Target="https://www.jivi.com.ar/ficha.php?id=2328" TargetMode="External"/><Relationship Id="rId687" Type="http://schemas.openxmlformats.org/officeDocument/2006/relationships/hyperlink" Target="https://www.jivi.com.ar/ficha.php?id=3176" TargetMode="External"/><Relationship Id="rId242" Type="http://schemas.openxmlformats.org/officeDocument/2006/relationships/hyperlink" Target="https://www.jivi.com.ar/ficha.php?id=1353" TargetMode="External"/><Relationship Id="rId284" Type="http://schemas.openxmlformats.org/officeDocument/2006/relationships/hyperlink" Target="https://www.jivi.com.ar/ficha.php?id=1483" TargetMode="External"/><Relationship Id="rId491" Type="http://schemas.openxmlformats.org/officeDocument/2006/relationships/hyperlink" Target="https://www.jivi.com.ar/ficha.php?id=1077" TargetMode="External"/><Relationship Id="rId505" Type="http://schemas.openxmlformats.org/officeDocument/2006/relationships/hyperlink" Target="https://www.jivi.com.ar/ficha.php?id=1579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971" TargetMode="External"/><Relationship Id="rId589" Type="http://schemas.openxmlformats.org/officeDocument/2006/relationships/hyperlink" Target="https://www.jivi.com.ar/ficha.php?id=2207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124" TargetMode="External"/><Relationship Id="rId351" Type="http://schemas.openxmlformats.org/officeDocument/2006/relationships/hyperlink" Target="https://www.jivi.com.ar/ficha.php?id=1294" TargetMode="External"/><Relationship Id="rId393" Type="http://schemas.openxmlformats.org/officeDocument/2006/relationships/hyperlink" Target="https://www.jivi.com.ar/ficha.php?id=1634" TargetMode="External"/><Relationship Id="rId407" Type="http://schemas.openxmlformats.org/officeDocument/2006/relationships/hyperlink" Target="https://www.jivi.com.ar/ficha.php?id=1687" TargetMode="External"/><Relationship Id="rId449" Type="http://schemas.openxmlformats.org/officeDocument/2006/relationships/hyperlink" Target="https://www.jivi.com.ar/ficha.php?id=1776" TargetMode="External"/><Relationship Id="rId614" Type="http://schemas.openxmlformats.org/officeDocument/2006/relationships/hyperlink" Target="https://www.jivi.com.ar/ficha.php?id=2278" TargetMode="External"/><Relationship Id="rId656" Type="http://schemas.openxmlformats.org/officeDocument/2006/relationships/hyperlink" Target="https://www.jivi.com.ar/ficha.php?id=1466" TargetMode="External"/><Relationship Id="rId211" Type="http://schemas.openxmlformats.org/officeDocument/2006/relationships/hyperlink" Target="https://www.jivi.com.ar/ficha.php?id=1372" TargetMode="External"/><Relationship Id="rId253" Type="http://schemas.openxmlformats.org/officeDocument/2006/relationships/hyperlink" Target="https://www.jivi.com.ar/ficha.php?id=1432" TargetMode="External"/><Relationship Id="rId295" Type="http://schemas.openxmlformats.org/officeDocument/2006/relationships/hyperlink" Target="https://www.jivi.com.ar/ficha.php?id=1500" TargetMode="External"/><Relationship Id="rId309" Type="http://schemas.openxmlformats.org/officeDocument/2006/relationships/hyperlink" Target="https://www.jivi.com.ar/ficha.php?id=1527" TargetMode="External"/><Relationship Id="rId460" Type="http://schemas.openxmlformats.org/officeDocument/2006/relationships/hyperlink" Target="https://www.jivi.com.ar/ficha.php?id=1293" TargetMode="External"/><Relationship Id="rId516" Type="http://schemas.openxmlformats.org/officeDocument/2006/relationships/hyperlink" Target="https://www.jivi.com.ar/ficha.php?id=2007" TargetMode="External"/><Relationship Id="rId698" Type="http://schemas.openxmlformats.org/officeDocument/2006/relationships/hyperlink" Target="https://www.jivi.com.ar/ficha.php?id=875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981" TargetMode="External"/><Relationship Id="rId558" Type="http://schemas.openxmlformats.org/officeDocument/2006/relationships/hyperlink" Target="https://www.jivi.com.ar/ficha.php?id=2069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287" TargetMode="External"/><Relationship Id="rId362" Type="http://schemas.openxmlformats.org/officeDocument/2006/relationships/hyperlink" Target="https://www.jivi.com.ar/ficha.php?id=1586" TargetMode="External"/><Relationship Id="rId418" Type="http://schemas.openxmlformats.org/officeDocument/2006/relationships/hyperlink" Target="https://www.jivi.com.ar/ficha.php?id=1531" TargetMode="External"/><Relationship Id="rId625" Type="http://schemas.openxmlformats.org/officeDocument/2006/relationships/hyperlink" Target="https://www.jivi.com.ar/ficha.php?id=2294" TargetMode="External"/><Relationship Id="rId222" Type="http://schemas.openxmlformats.org/officeDocument/2006/relationships/hyperlink" Target="https://www.jivi.com.ar/ficha.php?id=1343" TargetMode="External"/><Relationship Id="rId264" Type="http://schemas.openxmlformats.org/officeDocument/2006/relationships/hyperlink" Target="https://www.jivi.com.ar/ficha.php?id=1446" TargetMode="External"/><Relationship Id="rId471" Type="http://schemas.openxmlformats.org/officeDocument/2006/relationships/hyperlink" Target="https://www.jivi.com.ar/ficha.php?id=1804" TargetMode="External"/><Relationship Id="rId667" Type="http://schemas.openxmlformats.org/officeDocument/2006/relationships/hyperlink" Target="https://www.jivi.com.ar/ficha.php?id=910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335" TargetMode="External"/><Relationship Id="rId569" Type="http://schemas.openxmlformats.org/officeDocument/2006/relationships/hyperlink" Target="https://www.jivi.com.ar/ficha.php?id=698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518" TargetMode="External"/><Relationship Id="rId373" Type="http://schemas.openxmlformats.org/officeDocument/2006/relationships/hyperlink" Target="https://www.jivi.com.ar/ficha.php?id=1603" TargetMode="External"/><Relationship Id="rId429" Type="http://schemas.openxmlformats.org/officeDocument/2006/relationships/hyperlink" Target="https://www.jivi.com.ar/ficha.php?id=1727" TargetMode="External"/><Relationship Id="rId580" Type="http://schemas.openxmlformats.org/officeDocument/2006/relationships/hyperlink" Target="https://www.jivi.com.ar/ficha.php?id=1435" TargetMode="External"/><Relationship Id="rId636" Type="http://schemas.openxmlformats.org/officeDocument/2006/relationships/hyperlink" Target="https://www.jivi.com.ar/ficha.php?id=2307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477" TargetMode="External"/><Relationship Id="rId440" Type="http://schemas.openxmlformats.org/officeDocument/2006/relationships/hyperlink" Target="https://www.jivi.com.ar/ficha.php?id=1745" TargetMode="External"/><Relationship Id="rId678" Type="http://schemas.openxmlformats.org/officeDocument/2006/relationships/hyperlink" Target="https://www.jivi.com.ar/ficha.php?id=1587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2" TargetMode="External"/><Relationship Id="rId300" Type="http://schemas.openxmlformats.org/officeDocument/2006/relationships/hyperlink" Target="https://www.jivi.com.ar/ficha.php?id=1507" TargetMode="External"/><Relationship Id="rId482" Type="http://schemas.openxmlformats.org/officeDocument/2006/relationships/hyperlink" Target="https://www.jivi.com.ar/ficha.php?id=1556" TargetMode="External"/><Relationship Id="rId538" Type="http://schemas.openxmlformats.org/officeDocument/2006/relationships/hyperlink" Target="https://www.jivi.com.ar/ficha.php?id=1278" TargetMode="External"/><Relationship Id="rId703" Type="http://schemas.openxmlformats.org/officeDocument/2006/relationships/hyperlink" Target="https://www.jivi.com.ar/ficha.php?id=3205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5" TargetMode="External"/><Relationship Id="rId342" Type="http://schemas.openxmlformats.org/officeDocument/2006/relationships/hyperlink" Target="https://www.jivi.com.ar/ficha.php?id=1564" TargetMode="External"/><Relationship Id="rId384" Type="http://schemas.openxmlformats.org/officeDocument/2006/relationships/hyperlink" Target="https://www.jivi.com.ar/ficha.php?id=1612" TargetMode="External"/><Relationship Id="rId591" Type="http://schemas.openxmlformats.org/officeDocument/2006/relationships/hyperlink" Target="https://www.jivi.com.ar/ficha.php?id=2209" TargetMode="External"/><Relationship Id="rId605" Type="http://schemas.openxmlformats.org/officeDocument/2006/relationships/hyperlink" Target="https://www.jivi.com.ar/ficha.php?id=2270" TargetMode="External"/><Relationship Id="rId202" Type="http://schemas.openxmlformats.org/officeDocument/2006/relationships/hyperlink" Target="https://www.jivi.com.ar/ficha.php?id=1333" TargetMode="External"/><Relationship Id="rId244" Type="http://schemas.openxmlformats.org/officeDocument/2006/relationships/hyperlink" Target="https://www.jivi.com.ar/ficha.php?id=1418" TargetMode="External"/><Relationship Id="rId647" Type="http://schemas.openxmlformats.org/officeDocument/2006/relationships/hyperlink" Target="https://www.jivi.com.ar/ficha.php?id=2338" TargetMode="External"/><Relationship Id="rId689" Type="http://schemas.openxmlformats.org/officeDocument/2006/relationships/hyperlink" Target="https://www.jivi.com.ar/ficha.php?id=1638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8" TargetMode="External"/><Relationship Id="rId451" Type="http://schemas.openxmlformats.org/officeDocument/2006/relationships/hyperlink" Target="https://www.jivi.com.ar/ficha.php?id=1304" TargetMode="External"/><Relationship Id="rId493" Type="http://schemas.openxmlformats.org/officeDocument/2006/relationships/hyperlink" Target="https://www.jivi.com.ar/ficha.php?id=1616" TargetMode="External"/><Relationship Id="rId507" Type="http://schemas.openxmlformats.org/officeDocument/2006/relationships/hyperlink" Target="https://www.jivi.com.ar/ficha.php?id=1912" TargetMode="External"/><Relationship Id="rId549" Type="http://schemas.openxmlformats.org/officeDocument/2006/relationships/hyperlink" Target="https://www.jivi.com.ar/ficha.php?id=2060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8" TargetMode="External"/><Relationship Id="rId311" Type="http://schemas.openxmlformats.org/officeDocument/2006/relationships/hyperlink" Target="https://www.jivi.com.ar/ficha.php?id=1534" TargetMode="External"/><Relationship Id="rId353" Type="http://schemas.openxmlformats.org/officeDocument/2006/relationships/hyperlink" Target="https://www.jivi.com.ar/ficha.php?id=1296" TargetMode="External"/><Relationship Id="rId395" Type="http://schemas.openxmlformats.org/officeDocument/2006/relationships/hyperlink" Target="https://www.jivi.com.ar/ficha.php?id=968" TargetMode="External"/><Relationship Id="rId409" Type="http://schemas.openxmlformats.org/officeDocument/2006/relationships/hyperlink" Target="https://www.jivi.com.ar/ficha.php?id=1690" TargetMode="External"/><Relationship Id="rId560" Type="http://schemas.openxmlformats.org/officeDocument/2006/relationships/hyperlink" Target="https://www.jivi.com.ar/ficha.php?id=2083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82" TargetMode="External"/><Relationship Id="rId420" Type="http://schemas.openxmlformats.org/officeDocument/2006/relationships/hyperlink" Target="https://www.jivi.com.ar/ficha.php?id=1704" TargetMode="External"/><Relationship Id="rId616" Type="http://schemas.openxmlformats.org/officeDocument/2006/relationships/hyperlink" Target="https://www.jivi.com.ar/ficha.php?id=1445" TargetMode="External"/><Relationship Id="rId658" Type="http://schemas.openxmlformats.org/officeDocument/2006/relationships/hyperlink" Target="https://www.jivi.com.ar/ficha.php?id=236" TargetMode="External"/><Relationship Id="rId255" Type="http://schemas.openxmlformats.org/officeDocument/2006/relationships/hyperlink" Target="https://www.jivi.com.ar/ficha.php?id=1437" TargetMode="External"/><Relationship Id="rId297" Type="http://schemas.openxmlformats.org/officeDocument/2006/relationships/hyperlink" Target="https://www.jivi.com.ar/ficha.php?id=1504" TargetMode="External"/><Relationship Id="rId462" Type="http://schemas.openxmlformats.org/officeDocument/2006/relationships/hyperlink" Target="https://www.jivi.com.ar/ficha.php?id=1487" TargetMode="External"/><Relationship Id="rId518" Type="http://schemas.openxmlformats.org/officeDocument/2006/relationships/hyperlink" Target="https://www.jivi.com.ar/ficha.php?id=1720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9" TargetMode="External"/><Relationship Id="rId364" Type="http://schemas.openxmlformats.org/officeDocument/2006/relationships/hyperlink" Target="https://www.jivi.com.ar/ficha.php?id=1589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14" TargetMode="External"/><Relationship Id="rId571" Type="http://schemas.openxmlformats.org/officeDocument/2006/relationships/hyperlink" Target="https://www.jivi.com.ar/ficha.php?id=2147" TargetMode="External"/><Relationship Id="rId627" Type="http://schemas.openxmlformats.org/officeDocument/2006/relationships/hyperlink" Target="https://www.jivi.com.ar/ficha.php?id=2296" TargetMode="External"/><Relationship Id="rId669" Type="http://schemas.openxmlformats.org/officeDocument/2006/relationships/hyperlink" Target="https://www.jivi.com.ar/ficha.php?id=3003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872" TargetMode="External"/><Relationship Id="rId266" Type="http://schemas.openxmlformats.org/officeDocument/2006/relationships/hyperlink" Target="https://www.jivi.com.ar/ficha.php?id=1448" TargetMode="External"/><Relationship Id="rId431" Type="http://schemas.openxmlformats.org/officeDocument/2006/relationships/hyperlink" Target="https://www.jivi.com.ar/ficha.php?id=1729" TargetMode="External"/><Relationship Id="rId473" Type="http://schemas.openxmlformats.org/officeDocument/2006/relationships/hyperlink" Target="https://www.jivi.com.ar/ficha.php?id=1342" TargetMode="External"/><Relationship Id="rId529" Type="http://schemas.openxmlformats.org/officeDocument/2006/relationships/hyperlink" Target="https://www.jivi.com.ar/ficha.php?id=2035" TargetMode="External"/><Relationship Id="rId680" Type="http://schemas.openxmlformats.org/officeDocument/2006/relationships/hyperlink" Target="https://www.jivi.com.ar/ficha.php?id=1396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1" TargetMode="External"/><Relationship Id="rId333" Type="http://schemas.openxmlformats.org/officeDocument/2006/relationships/hyperlink" Target="https://www.jivi.com.ar/ficha.php?id=26" TargetMode="External"/><Relationship Id="rId540" Type="http://schemas.openxmlformats.org/officeDocument/2006/relationships/hyperlink" Target="https://www.jivi.com.ar/ficha.php?id=1410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4" TargetMode="External"/><Relationship Id="rId582" Type="http://schemas.openxmlformats.org/officeDocument/2006/relationships/hyperlink" Target="https://www.jivi.com.ar/ficha.php?id=1778" TargetMode="External"/><Relationship Id="rId638" Type="http://schemas.openxmlformats.org/officeDocument/2006/relationships/hyperlink" Target="https://www.jivi.com.ar/ficha.php?id=2309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402" TargetMode="External"/><Relationship Id="rId277" Type="http://schemas.openxmlformats.org/officeDocument/2006/relationships/hyperlink" Target="https://www.jivi.com.ar/ficha.php?id=995" TargetMode="External"/><Relationship Id="rId400" Type="http://schemas.openxmlformats.org/officeDocument/2006/relationships/hyperlink" Target="https://www.jivi.com.ar/ficha.php?id=1640" TargetMode="External"/><Relationship Id="rId442" Type="http://schemas.openxmlformats.org/officeDocument/2006/relationships/hyperlink" Target="https://www.jivi.com.ar/ficha.php?id=1747" TargetMode="External"/><Relationship Id="rId484" Type="http://schemas.openxmlformats.org/officeDocument/2006/relationships/hyperlink" Target="https://www.jivi.com.ar/ficha.php?id=1491" TargetMode="External"/><Relationship Id="rId705" Type="http://schemas.openxmlformats.org/officeDocument/2006/relationships/hyperlink" Target="https://www.jivi.com.ar/ficha.php?id=3207" TargetMode="External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9" TargetMode="External"/><Relationship Id="rId344" Type="http://schemas.openxmlformats.org/officeDocument/2006/relationships/hyperlink" Target="https://www.jivi.com.ar/ficha.php?id=1567" TargetMode="External"/><Relationship Id="rId691" Type="http://schemas.openxmlformats.org/officeDocument/2006/relationships/hyperlink" Target="https://www.jivi.com.ar/ficha.php?id=3177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919" TargetMode="External"/><Relationship Id="rId386" Type="http://schemas.openxmlformats.org/officeDocument/2006/relationships/hyperlink" Target="https://www.jivi.com.ar/ficha.php?id=1452" TargetMode="External"/><Relationship Id="rId551" Type="http://schemas.openxmlformats.org/officeDocument/2006/relationships/hyperlink" Target="https://www.jivi.com.ar/ficha.php?id=2062" TargetMode="External"/><Relationship Id="rId593" Type="http://schemas.openxmlformats.org/officeDocument/2006/relationships/hyperlink" Target="https://www.jivi.com.ar/ficha.php?id=2211" TargetMode="External"/><Relationship Id="rId607" Type="http://schemas.openxmlformats.org/officeDocument/2006/relationships/hyperlink" Target="https://www.jivi.com.ar/ficha.php?id=2273" TargetMode="External"/><Relationship Id="rId649" Type="http://schemas.openxmlformats.org/officeDocument/2006/relationships/hyperlink" Target="https://www.jivi.com.ar/ficha.php?id=2343" TargetMode="External"/><Relationship Id="rId190" Type="http://schemas.openxmlformats.org/officeDocument/2006/relationships/hyperlink" Target="https://www.jivi.com.ar/ficha.php?id=991" TargetMode="External"/><Relationship Id="rId204" Type="http://schemas.openxmlformats.org/officeDocument/2006/relationships/hyperlink" Target="https://www.jivi.com.ar/ficha.php?id=1347" TargetMode="External"/><Relationship Id="rId246" Type="http://schemas.openxmlformats.org/officeDocument/2006/relationships/hyperlink" Target="https://www.jivi.com.ar/ficha.php?id=1420" TargetMode="External"/><Relationship Id="rId288" Type="http://schemas.openxmlformats.org/officeDocument/2006/relationships/hyperlink" Target="https://www.jivi.com.ar/ficha.php?id=1493" TargetMode="External"/><Relationship Id="rId411" Type="http://schemas.openxmlformats.org/officeDocument/2006/relationships/hyperlink" Target="https://www.jivi.com.ar/ficha.php?id=1438" TargetMode="External"/><Relationship Id="rId453" Type="http://schemas.openxmlformats.org/officeDocument/2006/relationships/hyperlink" Target="https://www.jivi.com.ar/ficha.php?id=1777" TargetMode="External"/><Relationship Id="rId509" Type="http://schemas.openxmlformats.org/officeDocument/2006/relationships/hyperlink" Target="https://www.jivi.com.ar/ficha.php?id=1566" TargetMode="External"/><Relationship Id="rId660" Type="http://schemas.openxmlformats.org/officeDocument/2006/relationships/hyperlink" Target="https://www.jivi.com.ar/ficha.php?id=1343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6" TargetMode="External"/><Relationship Id="rId495" Type="http://schemas.openxmlformats.org/officeDocument/2006/relationships/hyperlink" Target="https://www.jivi.com.ar/ficha.php?id=1864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49" TargetMode="External"/><Relationship Id="rId397" Type="http://schemas.openxmlformats.org/officeDocument/2006/relationships/hyperlink" Target="https://www.jivi.com.ar/ficha.php?id=1642" TargetMode="External"/><Relationship Id="rId520" Type="http://schemas.openxmlformats.org/officeDocument/2006/relationships/hyperlink" Target="https://www.jivi.com.ar/ficha.php?id=2011" TargetMode="External"/><Relationship Id="rId562" Type="http://schemas.openxmlformats.org/officeDocument/2006/relationships/hyperlink" Target="https://www.jivi.com.ar/ficha.php?id=2084" TargetMode="External"/><Relationship Id="rId618" Type="http://schemas.openxmlformats.org/officeDocument/2006/relationships/hyperlink" Target="https://www.jivi.com.ar/ficha.php?id=2287" TargetMode="External"/><Relationship Id="rId215" Type="http://schemas.openxmlformats.org/officeDocument/2006/relationships/hyperlink" Target="https://www.jivi.com.ar/ficha.php?id=1384" TargetMode="External"/><Relationship Id="rId257" Type="http://schemas.openxmlformats.org/officeDocument/2006/relationships/hyperlink" Target="https://www.jivi.com.ar/ficha.php?id=1439" TargetMode="External"/><Relationship Id="rId422" Type="http://schemas.openxmlformats.org/officeDocument/2006/relationships/hyperlink" Target="https://www.jivi.com.ar/ficha.php?id=1457" TargetMode="External"/><Relationship Id="rId464" Type="http://schemas.openxmlformats.org/officeDocument/2006/relationships/hyperlink" Target="https://www.jivi.com.ar/ficha.php?id=1186" TargetMode="External"/><Relationship Id="rId299" Type="http://schemas.openxmlformats.org/officeDocument/2006/relationships/hyperlink" Target="https://www.jivi.com.ar/ficha.php?id=1506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91" TargetMode="External"/><Relationship Id="rId573" Type="http://schemas.openxmlformats.org/officeDocument/2006/relationships/hyperlink" Target="https://www.jivi.com.ar/ficha.php?id=2178" TargetMode="External"/><Relationship Id="rId226" Type="http://schemas.openxmlformats.org/officeDocument/2006/relationships/hyperlink" Target="https://www.jivi.com.ar/ficha.php?id=1262" TargetMode="External"/><Relationship Id="rId433" Type="http://schemas.openxmlformats.org/officeDocument/2006/relationships/hyperlink" Target="https://www.jivi.com.ar/ficha.php?id=1731" TargetMode="External"/><Relationship Id="rId640" Type="http://schemas.openxmlformats.org/officeDocument/2006/relationships/hyperlink" Target="https://www.jivi.com.ar/ficha.php?id=2310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424" TargetMode="External"/><Relationship Id="rId500" Type="http://schemas.openxmlformats.org/officeDocument/2006/relationships/hyperlink" Target="https://www.jivi.com.ar/ficha.php?id=1379" TargetMode="External"/><Relationship Id="rId584" Type="http://schemas.openxmlformats.org/officeDocument/2006/relationships/hyperlink" Target="https://www.jivi.com.ar/ficha.php?id=222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405" TargetMode="External"/><Relationship Id="rId444" Type="http://schemas.openxmlformats.org/officeDocument/2006/relationships/hyperlink" Target="https://www.jivi.com.ar/ficha.php?id=1749" TargetMode="External"/><Relationship Id="rId651" Type="http://schemas.openxmlformats.org/officeDocument/2006/relationships/hyperlink" Target="https://www.jivi.com.ar/ficha.php?id=2342" TargetMode="External"/><Relationship Id="rId290" Type="http://schemas.openxmlformats.org/officeDocument/2006/relationships/hyperlink" Target="https://www.jivi.com.ar/ficha.php?id=1495" TargetMode="External"/><Relationship Id="rId304" Type="http://schemas.openxmlformats.org/officeDocument/2006/relationships/hyperlink" Target="https://www.jivi.com.ar/ficha.php?id=1515" TargetMode="External"/><Relationship Id="rId388" Type="http://schemas.openxmlformats.org/officeDocument/2006/relationships/hyperlink" Target="https://www.jivi.com.ar/ficha.php?id=1618" TargetMode="External"/><Relationship Id="rId511" Type="http://schemas.openxmlformats.org/officeDocument/2006/relationships/hyperlink" Target="https://www.jivi.com.ar/ficha.php?id=1411" TargetMode="External"/><Relationship Id="rId609" Type="http://schemas.openxmlformats.org/officeDocument/2006/relationships/hyperlink" Target="https://www.jivi.com.ar/ficha.php?id=1140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13" TargetMode="External"/><Relationship Id="rId248" Type="http://schemas.openxmlformats.org/officeDocument/2006/relationships/hyperlink" Target="https://www.jivi.com.ar/ficha.php?id=1422" TargetMode="External"/><Relationship Id="rId455" Type="http://schemas.openxmlformats.org/officeDocument/2006/relationships/hyperlink" Target="https://www.jivi.com.ar/ficha.php?id=1709" TargetMode="External"/><Relationship Id="rId662" Type="http://schemas.openxmlformats.org/officeDocument/2006/relationships/hyperlink" Target="https://www.jivi.com.ar/ficha.php?id=1453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40" TargetMode="External"/><Relationship Id="rId522" Type="http://schemas.openxmlformats.org/officeDocument/2006/relationships/hyperlink" Target="https://www.jivi.com.ar/ficha.php?id=2014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1" TargetMode="External"/><Relationship Id="rId259" Type="http://schemas.openxmlformats.org/officeDocument/2006/relationships/hyperlink" Target="https://www.jivi.com.ar/ficha.php?id=1427" TargetMode="External"/><Relationship Id="rId466" Type="http://schemas.openxmlformats.org/officeDocument/2006/relationships/hyperlink" Target="https://www.jivi.com.ar/ficha.php?id=1791" TargetMode="External"/><Relationship Id="rId673" Type="http://schemas.openxmlformats.org/officeDocument/2006/relationships/hyperlink" Target="https://www.jivi.com.ar/ficha.php?id=3010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53" TargetMode="External"/><Relationship Id="rId533" Type="http://schemas.openxmlformats.org/officeDocument/2006/relationships/hyperlink" Target="https://www.jivi.com.ar/ficha.php?id=248" TargetMode="External"/><Relationship Id="rId172" Type="http://schemas.openxmlformats.org/officeDocument/2006/relationships/hyperlink" Target="https://www.jivi.com.ar/ficha.php?id=1220" TargetMode="External"/><Relationship Id="rId477" Type="http://schemas.openxmlformats.org/officeDocument/2006/relationships/hyperlink" Target="https://www.jivi.com.ar/ficha.php?id=1131" TargetMode="External"/><Relationship Id="rId600" Type="http://schemas.openxmlformats.org/officeDocument/2006/relationships/hyperlink" Target="https://www.jivi.com.ar/ficha.php?id=2234" TargetMode="External"/><Relationship Id="rId684" Type="http://schemas.openxmlformats.org/officeDocument/2006/relationships/hyperlink" Target="https://www.jivi.com.ar/ficha.php?id=3170" TargetMode="External"/><Relationship Id="rId337" Type="http://schemas.openxmlformats.org/officeDocument/2006/relationships/hyperlink" Target="https://www.jivi.com.ar/ficha.php?id=1414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052" TargetMode="External"/><Relationship Id="rId183" Type="http://schemas.openxmlformats.org/officeDocument/2006/relationships/hyperlink" Target="https://jivi.com.ar/ficha.php?id=89" TargetMode="External"/><Relationship Id="rId390" Type="http://schemas.openxmlformats.org/officeDocument/2006/relationships/hyperlink" Target="https://www.jivi.com.ar/ficha.php?id=1620" TargetMode="External"/><Relationship Id="rId404" Type="http://schemas.openxmlformats.org/officeDocument/2006/relationships/hyperlink" Target="https://www.jivi.com.ar/ficha.php?id=1667" TargetMode="External"/><Relationship Id="rId611" Type="http://schemas.openxmlformats.org/officeDocument/2006/relationships/hyperlink" Target="https://www.jivi.com.ar/ficha.php?id=1655" TargetMode="External"/><Relationship Id="rId250" Type="http://schemas.openxmlformats.org/officeDocument/2006/relationships/hyperlink" Target="https://www.jivi.com.ar/ficha.php?id=1425" TargetMode="External"/><Relationship Id="rId488" Type="http://schemas.openxmlformats.org/officeDocument/2006/relationships/hyperlink" Target="https://www.jivi.com.ar/ficha.php?id=1799" TargetMode="External"/><Relationship Id="rId695" Type="http://schemas.openxmlformats.org/officeDocument/2006/relationships/hyperlink" Target="https://www.jivi.com.ar/ficha.php?id=3179" TargetMode="External"/><Relationship Id="rId709" Type="http://schemas.openxmlformats.org/officeDocument/2006/relationships/drawing" Target="../drawings/drawing1.xm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1" TargetMode="External"/><Relationship Id="rId555" Type="http://schemas.openxmlformats.org/officeDocument/2006/relationships/hyperlink" Target="https://www.jivi.com.ar/ficha.php?id=2067" TargetMode="External"/><Relationship Id="rId194" Type="http://schemas.openxmlformats.org/officeDocument/2006/relationships/hyperlink" Target="https://www.jivi.com.ar/ficha.php?id=1303" TargetMode="External"/><Relationship Id="rId208" Type="http://schemas.openxmlformats.org/officeDocument/2006/relationships/hyperlink" Target="https://www.jivi.com.ar/ficha.php?id=1365" TargetMode="External"/><Relationship Id="rId415" Type="http://schemas.openxmlformats.org/officeDocument/2006/relationships/hyperlink" Target="https://www.jivi.com.ar/ficha.php?id=1699" TargetMode="External"/><Relationship Id="rId622" Type="http://schemas.openxmlformats.org/officeDocument/2006/relationships/hyperlink" Target="https://www.jivi.com.ar/ficha.php?id=2291" TargetMode="External"/><Relationship Id="rId261" Type="http://schemas.openxmlformats.org/officeDocument/2006/relationships/hyperlink" Target="https://www.jivi.com.ar/ficha.php?id=1056" TargetMode="External"/><Relationship Id="rId499" Type="http://schemas.openxmlformats.org/officeDocument/2006/relationships/hyperlink" Target="https://www.jivi.com.ar/ficha.php?id=1530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81" TargetMode="External"/><Relationship Id="rId566" Type="http://schemas.openxmlformats.org/officeDocument/2006/relationships/hyperlink" Target="https://www.jivi.com.ar/ficha.php?id=1299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9" TargetMode="External"/><Relationship Id="rId426" Type="http://schemas.openxmlformats.org/officeDocument/2006/relationships/hyperlink" Target="https://www.jivi.com.ar/ficha.php?id=1722" TargetMode="External"/><Relationship Id="rId633" Type="http://schemas.openxmlformats.org/officeDocument/2006/relationships/hyperlink" Target="https://www.jivi.com.ar/ficha.php?id=2302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4" TargetMode="External"/><Relationship Id="rId577" Type="http://schemas.openxmlformats.org/officeDocument/2006/relationships/hyperlink" Target="https://www.jivi.com.ar/ficha.php?id=1454" TargetMode="External"/><Relationship Id="rId700" Type="http://schemas.openxmlformats.org/officeDocument/2006/relationships/hyperlink" Target="https://www.jivi.com.ar/ficha.php?id=3188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575" TargetMode="External"/><Relationship Id="rId644" Type="http://schemas.openxmlformats.org/officeDocument/2006/relationships/hyperlink" Target="https://www.jivi.com.ar/ficha.php?id=2327" TargetMode="External"/><Relationship Id="rId283" Type="http://schemas.openxmlformats.org/officeDocument/2006/relationships/hyperlink" Target="https://www.jivi.com.ar/ficha.php?id=1481" TargetMode="External"/><Relationship Id="rId490" Type="http://schemas.openxmlformats.org/officeDocument/2006/relationships/hyperlink" Target="https://www.jivi.com.ar/ficha.php?id=666" TargetMode="External"/><Relationship Id="rId504" Type="http://schemas.openxmlformats.org/officeDocument/2006/relationships/hyperlink" Target="https://www.jivi.com.ar/ficha.php?id=1886" TargetMode="External"/><Relationship Id="rId711" Type="http://schemas.openxmlformats.org/officeDocument/2006/relationships/comments" Target="../comments1.xm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73" TargetMode="External"/><Relationship Id="rId588" Type="http://schemas.openxmlformats.org/officeDocument/2006/relationships/hyperlink" Target="https://www.jivi.com.ar/ficha.php?id=2206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registro.php" TargetMode="External"/><Relationship Id="rId448" Type="http://schemas.openxmlformats.org/officeDocument/2006/relationships/hyperlink" Target="https://www.jivi.com.ar/ficha.php?id=1461" TargetMode="External"/><Relationship Id="rId655" Type="http://schemas.openxmlformats.org/officeDocument/2006/relationships/hyperlink" Target="https://www.jivi.com.ar/ficha.php?id=150" TargetMode="External"/><Relationship Id="rId294" Type="http://schemas.openxmlformats.org/officeDocument/2006/relationships/hyperlink" Target="https://www.jivi.com.ar/ficha.php?id=1499" TargetMode="External"/><Relationship Id="rId308" Type="http://schemas.openxmlformats.org/officeDocument/2006/relationships/hyperlink" Target="https://www.jivi.com.ar/ficha.php?id=1559" TargetMode="External"/><Relationship Id="rId515" Type="http://schemas.openxmlformats.org/officeDocument/2006/relationships/hyperlink" Target="https://www.jivi.com.ar/ficha.php?id=2003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4" TargetMode="External"/><Relationship Id="rId599" Type="http://schemas.openxmlformats.org/officeDocument/2006/relationships/hyperlink" Target="https://www.jivi.com.ar/ficha.php?id=2233" TargetMode="External"/><Relationship Id="rId459" Type="http://schemas.openxmlformats.org/officeDocument/2006/relationships/hyperlink" Target="https://www.jivi.com.ar/ficha.php?id=1781" TargetMode="External"/><Relationship Id="rId666" Type="http://schemas.openxmlformats.org/officeDocument/2006/relationships/hyperlink" Target="https://www.jivi.com.ar/ficha.php?id=2000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236" TargetMode="External"/><Relationship Id="rId319" Type="http://schemas.openxmlformats.org/officeDocument/2006/relationships/hyperlink" Target="https://www.jivi.com.ar/ficha.php?id=1547" TargetMode="External"/><Relationship Id="rId526" Type="http://schemas.openxmlformats.org/officeDocument/2006/relationships/hyperlink" Target="https://www.jivi.com.ar/ficha.php?id=2026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602" TargetMode="External"/><Relationship Id="rId677" Type="http://schemas.openxmlformats.org/officeDocument/2006/relationships/hyperlink" Target="https://www.jivi.com.ar/ficha.php?id=1588" TargetMode="External"/><Relationship Id="rId232" Type="http://schemas.openxmlformats.org/officeDocument/2006/relationships/hyperlink" Target="https://www.jivi.com.ar/ficha.php?id=1111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1280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4" TargetMode="External"/><Relationship Id="rId383" Type="http://schemas.openxmlformats.org/officeDocument/2006/relationships/hyperlink" Target="https://www.jivi.com.ar/ficha.php?id=1611" TargetMode="External"/><Relationship Id="rId590" Type="http://schemas.openxmlformats.org/officeDocument/2006/relationships/hyperlink" Target="https://www.jivi.com.ar/ficha.php?id=2208" TargetMode="External"/><Relationship Id="rId604" Type="http://schemas.openxmlformats.org/officeDocument/2006/relationships/hyperlink" Target="http://www.jivi.com.ar/ficha.php?id=1522" TargetMode="External"/><Relationship Id="rId243" Type="http://schemas.openxmlformats.org/officeDocument/2006/relationships/hyperlink" Target="https://www.jivi.com.ar/ficha.php?id=1419" TargetMode="External"/><Relationship Id="rId450" Type="http://schemas.openxmlformats.org/officeDocument/2006/relationships/hyperlink" Target="https://www.jivi.com.ar/ficha.php?id=1310" TargetMode="External"/><Relationship Id="rId688" Type="http://schemas.openxmlformats.org/officeDocument/2006/relationships/hyperlink" Target="https://www.jivi.com.ar/ficha.php?id=1658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32" TargetMode="External"/><Relationship Id="rId548" Type="http://schemas.openxmlformats.org/officeDocument/2006/relationships/hyperlink" Target="https://www.jivi.com.ar/ficha.php?id=2059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261" TargetMode="External"/><Relationship Id="rId394" Type="http://schemas.openxmlformats.org/officeDocument/2006/relationships/hyperlink" Target="https://www.jivi.com.ar/ficha.php?id=1635" TargetMode="External"/><Relationship Id="rId408" Type="http://schemas.openxmlformats.org/officeDocument/2006/relationships/hyperlink" Target="https://www.jivi.com.ar/ficha.php?id=1672" TargetMode="External"/><Relationship Id="rId615" Type="http://schemas.openxmlformats.org/officeDocument/2006/relationships/hyperlink" Target="https://www.jivi.com.ar/ficha.php?id=2279" TargetMode="External"/><Relationship Id="rId254" Type="http://schemas.openxmlformats.org/officeDocument/2006/relationships/hyperlink" Target="https://www.jivi.com.ar/ficha.php?id=1436" TargetMode="External"/><Relationship Id="rId699" Type="http://schemas.openxmlformats.org/officeDocument/2006/relationships/hyperlink" Target="https://www.jivi.com.ar/ficha.php?id=2013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461" Type="http://schemas.openxmlformats.org/officeDocument/2006/relationships/hyperlink" Target="https://www.jivi.com.ar/ficha.php?id=1265" TargetMode="External"/><Relationship Id="rId559" Type="http://schemas.openxmlformats.org/officeDocument/2006/relationships/hyperlink" Target="https://www.jivi.com.ar/ficha.php?id=2070" TargetMode="External"/><Relationship Id="rId198" Type="http://schemas.openxmlformats.org/officeDocument/2006/relationships/hyperlink" Target="https://www.jivi.com.ar/ficha.php?id=1290" TargetMode="External"/><Relationship Id="rId321" Type="http://schemas.openxmlformats.org/officeDocument/2006/relationships/hyperlink" Target="https://www.jivi.com.ar/ficha.php?id=1548" TargetMode="External"/><Relationship Id="rId419" Type="http://schemas.openxmlformats.org/officeDocument/2006/relationships/hyperlink" Target="https://www.jivi.com.ar/ficha.php?id=1528" TargetMode="External"/><Relationship Id="rId626" Type="http://schemas.openxmlformats.org/officeDocument/2006/relationships/hyperlink" Target="https://www.jivi.com.ar/ficha.php?id=2295" TargetMode="External"/><Relationship Id="rId265" Type="http://schemas.openxmlformats.org/officeDocument/2006/relationships/hyperlink" Target="https://www.jivi.com.ar/ficha.php?id=1354" TargetMode="External"/><Relationship Id="rId472" Type="http://schemas.openxmlformats.org/officeDocument/2006/relationships/hyperlink" Target="https://www.jivi.com.ar/ficha.php?id=1805" TargetMode="External"/><Relationship Id="rId125" Type="http://schemas.openxmlformats.org/officeDocument/2006/relationships/hyperlink" Target="https://www.jivi.com.ar/ficha.php?id=926" TargetMode="External"/><Relationship Id="rId332" Type="http://schemas.openxmlformats.org/officeDocument/2006/relationships/hyperlink" Target="https://www.jivi.com.ar/ficha.php?id=1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68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38" t="s">
        <v>0</v>
      </c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  <c r="S1" s="1039"/>
      <c r="T1" s="1039"/>
      <c r="U1" s="1039"/>
      <c r="V1" s="1039"/>
      <c r="W1" s="1040"/>
      <c r="X1" s="400">
        <v>1</v>
      </c>
      <c r="Y1" s="1030" t="s">
        <v>1</v>
      </c>
      <c r="Z1" s="1031"/>
      <c r="AA1" s="1031"/>
      <c r="AB1" s="1031"/>
      <c r="AC1" s="1031"/>
      <c r="AD1" s="1032"/>
      <c r="AE1" s="1027" t="s">
        <v>2</v>
      </c>
      <c r="AF1" s="1028"/>
      <c r="AG1" s="1028"/>
      <c r="AH1" s="1028"/>
      <c r="AI1" s="1029"/>
      <c r="AJ1" s="1025" t="s">
        <v>3</v>
      </c>
      <c r="AK1" s="52"/>
      <c r="AL1" s="52"/>
      <c r="AM1" s="50"/>
    </row>
    <row r="2" spans="1:39" ht="14.25" customHeight="1" x14ac:dyDescent="0.2">
      <c r="A2" s="17"/>
      <c r="B2" s="1079" t="s">
        <v>1068</v>
      </c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1"/>
      <c r="W2" s="1082"/>
      <c r="X2" s="401">
        <v>1540</v>
      </c>
      <c r="Y2" s="1044" t="s">
        <v>4</v>
      </c>
      <c r="Z2" s="1045"/>
      <c r="AA2" s="1045"/>
      <c r="AB2" s="1045"/>
      <c r="AC2" s="1045"/>
      <c r="AD2" s="1046"/>
      <c r="AE2" s="1036" t="s">
        <v>5</v>
      </c>
      <c r="AF2" s="1037"/>
      <c r="AG2" s="1037"/>
      <c r="AH2" s="402"/>
      <c r="AI2" s="403"/>
      <c r="AJ2" s="1026"/>
      <c r="AK2" s="160"/>
      <c r="AL2" s="160"/>
      <c r="AM2" s="50"/>
    </row>
    <row r="3" spans="1:39" ht="15.75" customHeight="1" x14ac:dyDescent="0.2">
      <c r="A3" s="17"/>
      <c r="B3" s="1053"/>
      <c r="C3" s="1054"/>
      <c r="D3" s="1055"/>
      <c r="E3" s="1072" t="s">
        <v>6</v>
      </c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  <c r="T3" s="1073"/>
      <c r="U3" s="1073"/>
      <c r="V3" s="1074"/>
      <c r="W3" s="1075"/>
      <c r="X3" s="1041" t="s">
        <v>805</v>
      </c>
      <c r="Y3" s="1042"/>
      <c r="Z3" s="1042"/>
      <c r="AA3" s="1042"/>
      <c r="AB3" s="1042"/>
      <c r="AC3" s="1042"/>
      <c r="AD3" s="1043"/>
      <c r="AE3" s="1034"/>
      <c r="AF3" s="1035"/>
      <c r="AG3" s="1035"/>
      <c r="AH3" s="1035"/>
      <c r="AI3" s="1035"/>
      <c r="AJ3" s="13"/>
      <c r="AK3" s="13"/>
      <c r="AL3" s="13"/>
      <c r="AM3" s="51"/>
    </row>
    <row r="4" spans="1:39" ht="21.75" customHeight="1" x14ac:dyDescent="0.2">
      <c r="A4" s="17"/>
      <c r="B4" s="1056"/>
      <c r="C4" s="1057"/>
      <c r="D4" s="1058"/>
      <c r="E4" s="1076" t="s">
        <v>7</v>
      </c>
      <c r="F4" s="1077"/>
      <c r="G4" s="1077"/>
      <c r="H4" s="1077"/>
      <c r="I4" s="1077"/>
      <c r="J4" s="1077"/>
      <c r="K4" s="1077"/>
      <c r="L4" s="1077"/>
      <c r="M4" s="1077"/>
      <c r="N4" s="1077"/>
      <c r="O4" s="1077"/>
      <c r="P4" s="1077"/>
      <c r="Q4" s="1077"/>
      <c r="R4" s="1077"/>
      <c r="S4" s="1077"/>
      <c r="T4" s="1077"/>
      <c r="U4" s="1077"/>
      <c r="V4" s="1077"/>
      <c r="W4" s="1078"/>
      <c r="X4" s="829"/>
      <c r="Y4" s="830"/>
      <c r="Z4" s="830"/>
      <c r="AA4" s="830"/>
      <c r="AB4" s="830"/>
      <c r="AC4" s="830"/>
      <c r="AD4" s="831"/>
      <c r="AE4" s="1035"/>
      <c r="AF4" s="1035"/>
      <c r="AG4" s="1035"/>
      <c r="AH4" s="1035"/>
      <c r="AI4" s="1035"/>
      <c r="AJ4" s="13"/>
      <c r="AK4" s="13"/>
      <c r="AL4" s="13"/>
      <c r="AM4" s="51"/>
    </row>
    <row r="5" spans="1:39" ht="23.25" customHeight="1" x14ac:dyDescent="0.2">
      <c r="A5" s="17"/>
      <c r="B5" s="1059"/>
      <c r="C5" s="1060"/>
      <c r="D5" s="1061"/>
      <c r="E5" s="1062" t="s">
        <v>8</v>
      </c>
      <c r="F5" s="1063"/>
      <c r="G5" s="1063"/>
      <c r="H5" s="1063"/>
      <c r="I5" s="1063"/>
      <c r="J5" s="1063"/>
      <c r="K5" s="1063"/>
      <c r="L5" s="1063"/>
      <c r="M5" s="1063"/>
      <c r="N5" s="1063"/>
      <c r="O5" s="1063"/>
      <c r="P5" s="1063"/>
      <c r="Q5" s="1063"/>
      <c r="R5" s="1063"/>
      <c r="S5" s="1063"/>
      <c r="T5" s="1063"/>
      <c r="U5" s="1063"/>
      <c r="V5" s="1063"/>
      <c r="W5" s="1064"/>
      <c r="X5" s="1086"/>
      <c r="Y5" s="1087"/>
      <c r="Z5" s="1087"/>
      <c r="AA5" s="1087"/>
      <c r="AB5" s="1087"/>
      <c r="AC5" s="1087"/>
      <c r="AD5" s="1088"/>
      <c r="AE5" s="1071"/>
      <c r="AF5" s="1071"/>
      <c r="AG5" s="1071"/>
      <c r="AH5" s="1071"/>
      <c r="AI5" s="1071"/>
      <c r="AJ5" s="13"/>
      <c r="AK5" s="13"/>
      <c r="AL5" s="13"/>
      <c r="AM5" s="51"/>
    </row>
    <row r="6" spans="1:39" ht="12" customHeight="1" x14ac:dyDescent="0.2">
      <c r="A6" s="17"/>
      <c r="B6" s="1065" t="s">
        <v>9</v>
      </c>
      <c r="C6" s="1066"/>
      <c r="D6" s="1066"/>
      <c r="E6" s="1066"/>
      <c r="F6" s="1066"/>
      <c r="G6" s="1066"/>
      <c r="H6" s="1066"/>
      <c r="I6" s="1066"/>
      <c r="J6" s="1066"/>
      <c r="K6" s="1066"/>
      <c r="L6" s="1066"/>
      <c r="M6" s="1066"/>
      <c r="N6" s="1066"/>
      <c r="O6" s="1066"/>
      <c r="P6" s="1066"/>
      <c r="Q6" s="1066"/>
      <c r="R6" s="1066"/>
      <c r="S6" s="1066"/>
      <c r="T6" s="1066"/>
      <c r="U6" s="1066"/>
      <c r="V6" s="1066"/>
      <c r="W6" s="1067"/>
      <c r="X6" s="1089"/>
      <c r="Y6" s="1090"/>
      <c r="Z6" s="1090"/>
      <c r="AA6" s="1090"/>
      <c r="AB6" s="1090"/>
      <c r="AC6" s="1090"/>
      <c r="AD6" s="1091"/>
      <c r="AE6" s="1071"/>
      <c r="AF6" s="1071"/>
      <c r="AG6" s="1071"/>
      <c r="AH6" s="1071"/>
      <c r="AI6" s="1071"/>
      <c r="AJ6" s="13"/>
      <c r="AK6" s="13"/>
      <c r="AL6" s="13"/>
      <c r="AM6" s="51"/>
    </row>
    <row r="7" spans="1:39" ht="13.5" customHeight="1" x14ac:dyDescent="0.2">
      <c r="A7" s="17"/>
      <c r="B7" s="1068" t="s">
        <v>10</v>
      </c>
      <c r="C7" s="1069"/>
      <c r="D7" s="1069"/>
      <c r="E7" s="1069"/>
      <c r="F7" s="1069"/>
      <c r="G7" s="1069"/>
      <c r="H7" s="1069"/>
      <c r="I7" s="1069"/>
      <c r="J7" s="1069"/>
      <c r="K7" s="1069"/>
      <c r="L7" s="1069"/>
      <c r="M7" s="1069"/>
      <c r="N7" s="1069"/>
      <c r="O7" s="1069"/>
      <c r="P7" s="1069"/>
      <c r="Q7" s="1069"/>
      <c r="R7" s="1069"/>
      <c r="S7" s="1069"/>
      <c r="T7" s="1069"/>
      <c r="U7" s="1069"/>
      <c r="V7" s="1069"/>
      <c r="W7" s="1070"/>
      <c r="X7" s="1092"/>
      <c r="Y7" s="1093"/>
      <c r="Z7" s="1093"/>
      <c r="AA7" s="1093"/>
      <c r="AB7" s="1093"/>
      <c r="AC7" s="1093"/>
      <c r="AD7" s="1094"/>
      <c r="AE7" s="1071"/>
      <c r="AF7" s="1071"/>
      <c r="AG7" s="1071"/>
      <c r="AH7" s="1071"/>
      <c r="AI7" s="1071"/>
    </row>
    <row r="8" spans="1:39" ht="14.25" customHeight="1" x14ac:dyDescent="0.2">
      <c r="A8" s="17"/>
      <c r="B8" s="679" t="s">
        <v>11</v>
      </c>
      <c r="C8" s="708" t="s">
        <v>12</v>
      </c>
      <c r="D8" s="709"/>
      <c r="E8" s="709"/>
      <c r="F8" s="674" t="s">
        <v>13</v>
      </c>
      <c r="G8" s="674" t="s">
        <v>13</v>
      </c>
      <c r="H8" s="670" t="s">
        <v>701</v>
      </c>
      <c r="I8" s="670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779" t="s">
        <v>14</v>
      </c>
      <c r="Y8" s="793"/>
      <c r="Z8" s="793"/>
      <c r="AA8" s="966"/>
      <c r="AB8" s="777" t="s">
        <v>15</v>
      </c>
      <c r="AC8" s="1047" t="s">
        <v>16</v>
      </c>
      <c r="AD8" s="1048"/>
      <c r="AE8" s="1048"/>
      <c r="AF8" s="1048"/>
      <c r="AG8" s="1048"/>
      <c r="AH8" s="1048"/>
      <c r="AI8" s="1049"/>
    </row>
    <row r="9" spans="1:39" ht="11.25" customHeight="1" x14ac:dyDescent="0.2">
      <c r="A9" s="17"/>
      <c r="B9" s="679"/>
      <c r="C9" s="709"/>
      <c r="D9" s="709"/>
      <c r="E9" s="709"/>
      <c r="F9" s="675"/>
      <c r="G9" s="675"/>
      <c r="H9" s="398"/>
      <c r="I9" s="396" t="s">
        <v>260</v>
      </c>
      <c r="J9" s="398"/>
      <c r="K9" s="396" t="s">
        <v>17</v>
      </c>
      <c r="L9" s="399"/>
      <c r="M9" s="399" t="s">
        <v>18</v>
      </c>
      <c r="N9" s="399"/>
      <c r="O9" s="396" t="s">
        <v>19</v>
      </c>
      <c r="P9" s="399"/>
      <c r="Q9" s="399" t="s">
        <v>261</v>
      </c>
      <c r="R9" s="399"/>
      <c r="S9" s="399" t="s">
        <v>20</v>
      </c>
      <c r="T9" s="399"/>
      <c r="U9" s="399" t="s">
        <v>21</v>
      </c>
      <c r="V9" s="399"/>
      <c r="W9" s="399" t="s">
        <v>22</v>
      </c>
      <c r="X9" s="794"/>
      <c r="Y9" s="795"/>
      <c r="Z9" s="795"/>
      <c r="AA9" s="967"/>
      <c r="AB9" s="778"/>
      <c r="AC9" s="1050"/>
      <c r="AD9" s="1051"/>
      <c r="AE9" s="1051"/>
      <c r="AF9" s="1051"/>
      <c r="AG9" s="1051"/>
      <c r="AH9" s="1051"/>
      <c r="AI9" s="1052"/>
    </row>
    <row r="10" spans="1:39" ht="12.6" customHeight="1" x14ac:dyDescent="0.2">
      <c r="A10" s="17"/>
      <c r="B10" s="1083" t="s">
        <v>609</v>
      </c>
      <c r="C10" s="1084"/>
      <c r="D10" s="1084"/>
      <c r="E10" s="1085"/>
      <c r="F10" s="280">
        <v>720</v>
      </c>
      <c r="G10" s="275">
        <f t="shared" ref="G10" si="0">+F10*$X$1</f>
        <v>720</v>
      </c>
      <c r="H10" s="476"/>
      <c r="I10" s="595"/>
      <c r="J10" s="83">
        <f>F10+120</f>
        <v>840</v>
      </c>
      <c r="K10" s="280"/>
      <c r="L10" s="92"/>
      <c r="M10" s="280"/>
      <c r="N10" s="528">
        <f>F10+180</f>
        <v>900</v>
      </c>
      <c r="O10" s="256">
        <f t="shared" ref="O10" si="1">+N10*$X$1</f>
        <v>900</v>
      </c>
      <c r="P10" s="528">
        <f>F10+150</f>
        <v>870</v>
      </c>
      <c r="Q10" s="256">
        <f t="shared" ref="Q10" si="2">+P10*$X$1</f>
        <v>870</v>
      </c>
      <c r="R10" s="528">
        <f>F10+120</f>
        <v>840</v>
      </c>
      <c r="S10" s="256">
        <f t="shared" ref="S10" si="3">+R10*$X$1</f>
        <v>840</v>
      </c>
      <c r="T10" s="528">
        <f>F10+100</f>
        <v>820</v>
      </c>
      <c r="U10" s="256">
        <f t="shared" ref="U10" si="4">+T10*$X$1</f>
        <v>820</v>
      </c>
      <c r="V10" s="528">
        <f>F10+80</f>
        <v>800</v>
      </c>
      <c r="W10" s="256">
        <f t="shared" ref="W10:W12" si="5">+V10*$X$1</f>
        <v>800</v>
      </c>
      <c r="X10" s="119"/>
      <c r="Y10" s="119"/>
      <c r="Z10" s="119"/>
      <c r="AA10" s="119"/>
      <c r="AB10" s="337">
        <v>13</v>
      </c>
      <c r="AE10" s="58"/>
      <c r="AF10" s="1033" t="s">
        <v>723</v>
      </c>
      <c r="AG10" s="1033"/>
      <c r="AH10" s="1033"/>
    </row>
    <row r="11" spans="1:39" ht="12.6" customHeight="1" x14ac:dyDescent="0.2">
      <c r="A11" s="17"/>
      <c r="B11" s="765" t="s">
        <v>709</v>
      </c>
      <c r="C11" s="677"/>
      <c r="D11" s="677"/>
      <c r="E11" s="678"/>
      <c r="F11" s="255">
        <v>1630</v>
      </c>
      <c r="G11" s="276">
        <f t="shared" ref="G11" si="6">+F11*$X$1</f>
        <v>1630</v>
      </c>
      <c r="H11" s="251"/>
      <c r="I11" s="300"/>
      <c r="J11" s="68">
        <f>F11+120</f>
        <v>1750</v>
      </c>
      <c r="K11" s="255"/>
      <c r="L11" s="520"/>
      <c r="M11" s="255"/>
      <c r="N11" s="520">
        <f t="shared" ref="N11:N12" si="7">F11+180</f>
        <v>1810</v>
      </c>
      <c r="O11" s="255">
        <f t="shared" ref="O11:O12" si="8">+N11*$X$1</f>
        <v>1810</v>
      </c>
      <c r="P11" s="520">
        <f>F11+150</f>
        <v>1780</v>
      </c>
      <c r="Q11" s="255">
        <f t="shared" ref="Q11:Q13" si="9">+P11*$X$1</f>
        <v>1780</v>
      </c>
      <c r="R11" s="520">
        <f t="shared" ref="R11:R12" si="10">F11+120</f>
        <v>1750</v>
      </c>
      <c r="S11" s="255">
        <f t="shared" ref="S11:S12" si="11">+R11*$X$1</f>
        <v>1750</v>
      </c>
      <c r="T11" s="520">
        <f t="shared" ref="T11:T12" si="12">F11+100</f>
        <v>1730</v>
      </c>
      <c r="U11" s="255">
        <f t="shared" ref="U11:U13" si="13">+T11*$X$1</f>
        <v>1730</v>
      </c>
      <c r="V11" s="520">
        <f>F11+80</f>
        <v>1710</v>
      </c>
      <c r="W11" s="255">
        <f t="shared" si="5"/>
        <v>1710</v>
      </c>
      <c r="X11" s="119"/>
      <c r="Y11" s="119"/>
      <c r="Z11" s="119"/>
      <c r="AA11" s="119"/>
      <c r="AB11" s="337">
        <v>14</v>
      </c>
      <c r="AE11" s="58"/>
      <c r="AF11" s="1033" t="s">
        <v>23</v>
      </c>
      <c r="AG11" s="1033"/>
      <c r="AH11" s="1033"/>
    </row>
    <row r="12" spans="1:39" ht="12.6" customHeight="1" x14ac:dyDescent="0.2">
      <c r="A12" s="17"/>
      <c r="B12" s="771" t="s">
        <v>608</v>
      </c>
      <c r="C12" s="648"/>
      <c r="D12" s="648"/>
      <c r="E12" s="648"/>
      <c r="F12" s="256">
        <v>1790</v>
      </c>
      <c r="G12" s="275">
        <f t="shared" ref="G12:G13" si="14">+F12*$X$1</f>
        <v>1790</v>
      </c>
      <c r="H12" s="250"/>
      <c r="I12" s="301"/>
      <c r="J12" s="82"/>
      <c r="K12" s="256"/>
      <c r="L12" s="528"/>
      <c r="M12" s="256"/>
      <c r="N12" s="528">
        <f t="shared" si="7"/>
        <v>1970</v>
      </c>
      <c r="O12" s="256">
        <f t="shared" si="8"/>
        <v>1970</v>
      </c>
      <c r="P12" s="528">
        <f>F12+150</f>
        <v>1940</v>
      </c>
      <c r="Q12" s="256">
        <f t="shared" si="9"/>
        <v>1940</v>
      </c>
      <c r="R12" s="528">
        <f t="shared" si="10"/>
        <v>1910</v>
      </c>
      <c r="S12" s="256">
        <f t="shared" si="11"/>
        <v>1910</v>
      </c>
      <c r="T12" s="528">
        <f t="shared" si="12"/>
        <v>1890</v>
      </c>
      <c r="U12" s="256">
        <f t="shared" si="13"/>
        <v>1890</v>
      </c>
      <c r="V12" s="528">
        <f>F12+80</f>
        <v>1870</v>
      </c>
      <c r="W12" s="256">
        <f t="shared" si="5"/>
        <v>1870</v>
      </c>
      <c r="X12" s="119"/>
      <c r="Y12" s="119"/>
      <c r="Z12" s="119"/>
      <c r="AA12" s="119"/>
      <c r="AB12" s="337">
        <v>15</v>
      </c>
      <c r="AE12" s="58"/>
      <c r="AF12" s="1033" t="s">
        <v>366</v>
      </c>
      <c r="AG12" s="1033"/>
      <c r="AH12" s="1033"/>
    </row>
    <row r="13" spans="1:39" ht="12.6" customHeight="1" x14ac:dyDescent="0.2">
      <c r="A13" s="17"/>
      <c r="B13" s="765" t="s">
        <v>368</v>
      </c>
      <c r="C13" s="677"/>
      <c r="D13" s="677"/>
      <c r="E13" s="678"/>
      <c r="F13" s="255">
        <v>510</v>
      </c>
      <c r="G13" s="276">
        <f t="shared" si="14"/>
        <v>510</v>
      </c>
      <c r="H13" s="251"/>
      <c r="I13" s="1185"/>
      <c r="J13" s="612">
        <f>F13+270</f>
        <v>780</v>
      </c>
      <c r="K13" s="1186">
        <f t="shared" ref="K13" si="15">+J13*$X$1</f>
        <v>780</v>
      </c>
      <c r="L13" s="612">
        <f>F13+170</f>
        <v>680</v>
      </c>
      <c r="M13" s="1186">
        <f t="shared" ref="M13" si="16">+L13*$X$1</f>
        <v>680</v>
      </c>
      <c r="N13" s="612">
        <f>F13+130</f>
        <v>640</v>
      </c>
      <c r="O13" s="1186">
        <f>+N13*$X$1</f>
        <v>640</v>
      </c>
      <c r="P13" s="612">
        <f>F13+110</f>
        <v>620</v>
      </c>
      <c r="Q13" s="1186">
        <f t="shared" si="9"/>
        <v>620</v>
      </c>
      <c r="R13" s="612">
        <f>F13+90</f>
        <v>600</v>
      </c>
      <c r="S13" s="1186">
        <f>+R13*$X$1</f>
        <v>600</v>
      </c>
      <c r="T13" s="612">
        <f>F13+75</f>
        <v>585</v>
      </c>
      <c r="U13" s="1186">
        <f t="shared" si="13"/>
        <v>585</v>
      </c>
      <c r="V13" s="612"/>
      <c r="W13" s="255"/>
      <c r="X13" s="119"/>
      <c r="Y13" s="119"/>
      <c r="Z13" s="119"/>
      <c r="AA13" s="119"/>
      <c r="AB13" s="337">
        <v>17</v>
      </c>
      <c r="AE13" s="58"/>
      <c r="AF13" s="1033" t="s">
        <v>329</v>
      </c>
      <c r="AG13" s="1033"/>
      <c r="AH13" s="1033"/>
      <c r="AI13" s="58"/>
    </row>
    <row r="14" spans="1:39" ht="12.6" customHeight="1" x14ac:dyDescent="0.2">
      <c r="A14" s="17"/>
      <c r="B14" s="755" t="s">
        <v>620</v>
      </c>
      <c r="C14" s="641"/>
      <c r="D14" s="641"/>
      <c r="E14" s="642"/>
      <c r="F14" s="323">
        <f>19.97*X2</f>
        <v>30753.8</v>
      </c>
      <c r="G14" s="275">
        <f>+F14*$X$1</f>
        <v>30753.8</v>
      </c>
      <c r="H14" s="390">
        <f>F14+700</f>
        <v>31453.8</v>
      </c>
      <c r="I14" s="256">
        <f t="shared" ref="I14" si="17">+H14*$X$1</f>
        <v>31453.8</v>
      </c>
      <c r="J14" s="528">
        <f>F14+300</f>
        <v>31053.8</v>
      </c>
      <c r="K14" s="256">
        <f t="shared" ref="K14" si="18">+J14*$X$1</f>
        <v>31053.8</v>
      </c>
      <c r="L14" s="528">
        <f>F14+250</f>
        <v>31003.8</v>
      </c>
      <c r="M14" s="256">
        <f t="shared" ref="M14" si="19">+L14*$X$1</f>
        <v>31003.8</v>
      </c>
      <c r="N14" s="528">
        <f>F14+220</f>
        <v>30973.8</v>
      </c>
      <c r="O14" s="256">
        <f t="shared" ref="O14" si="20">+N14*$X$1</f>
        <v>30973.8</v>
      </c>
      <c r="P14" s="528">
        <f>F14+180</f>
        <v>30933.8</v>
      </c>
      <c r="Q14" s="256">
        <f t="shared" ref="Q14" si="21">+P14*$X$1</f>
        <v>30933.8</v>
      </c>
      <c r="R14" s="528">
        <f>F14+150</f>
        <v>30903.8</v>
      </c>
      <c r="S14" s="256">
        <f t="shared" ref="S14" si="22">+R14*$X$1</f>
        <v>30903.8</v>
      </c>
      <c r="T14" s="528">
        <f>F14+130</f>
        <v>30883.8</v>
      </c>
      <c r="U14" s="256">
        <f t="shared" ref="U14" si="23">+T14*$X$1</f>
        <v>30883.8</v>
      </c>
      <c r="V14" s="528"/>
      <c r="W14" s="256"/>
      <c r="X14" s="632"/>
      <c r="Y14" s="633"/>
      <c r="Z14" s="633"/>
      <c r="AA14" s="634"/>
      <c r="AB14" s="337">
        <v>18</v>
      </c>
      <c r="AE14" s="69"/>
      <c r="AF14" s="1033" t="s">
        <v>330</v>
      </c>
      <c r="AG14" s="1033"/>
      <c r="AH14" s="1033"/>
      <c r="AI14" s="445"/>
    </row>
    <row r="15" spans="1:39" ht="12.6" customHeight="1" x14ac:dyDescent="0.2">
      <c r="A15" s="17"/>
      <c r="B15" s="623" t="s">
        <v>929</v>
      </c>
      <c r="C15" s="627"/>
      <c r="D15" s="627"/>
      <c r="E15" s="628"/>
      <c r="F15" s="255">
        <v>9560</v>
      </c>
      <c r="G15" s="276">
        <f t="shared" ref="G15:G16" si="24">+F15*$X$1</f>
        <v>9560</v>
      </c>
      <c r="H15" s="287">
        <f>F15+700</f>
        <v>10260</v>
      </c>
      <c r="I15" s="255">
        <f t="shared" ref="I15" si="25">+H15*$X$1</f>
        <v>10260</v>
      </c>
      <c r="J15" s="520">
        <f>F15+300</f>
        <v>9860</v>
      </c>
      <c r="K15" s="255">
        <f t="shared" ref="K15" si="26">+J15*$X$1</f>
        <v>9860</v>
      </c>
      <c r="L15" s="520">
        <f>F15+250</f>
        <v>9810</v>
      </c>
      <c r="M15" s="255">
        <f t="shared" ref="M15" si="27">+L15*$X$1</f>
        <v>9810</v>
      </c>
      <c r="N15" s="520">
        <f>F15+220</f>
        <v>9780</v>
      </c>
      <c r="O15" s="255">
        <f t="shared" ref="O15" si="28">+N15*$X$1</f>
        <v>9780</v>
      </c>
      <c r="P15" s="520">
        <f>F15+180</f>
        <v>9740</v>
      </c>
      <c r="Q15" s="255">
        <f t="shared" ref="Q15" si="29">+P15*$X$1</f>
        <v>9740</v>
      </c>
      <c r="R15" s="520">
        <f>F15+150</f>
        <v>9710</v>
      </c>
      <c r="S15" s="255">
        <f t="shared" ref="S15" si="30">+R15*$X$1</f>
        <v>9710</v>
      </c>
      <c r="T15" s="520">
        <f>F15+130</f>
        <v>9690</v>
      </c>
      <c r="U15" s="255">
        <f t="shared" ref="U15" si="31">+T15*$X$1</f>
        <v>9690</v>
      </c>
      <c r="V15" s="520"/>
      <c r="W15" s="255"/>
      <c r="X15" s="632"/>
      <c r="Y15" s="633"/>
      <c r="Z15" s="633"/>
      <c r="AA15" s="634"/>
      <c r="AB15" s="337">
        <v>19</v>
      </c>
      <c r="AE15" s="69"/>
      <c r="AF15" s="666" t="s">
        <v>24</v>
      </c>
      <c r="AG15" s="666"/>
      <c r="AH15" s="666"/>
      <c r="AI15" s="666"/>
    </row>
    <row r="16" spans="1:39" ht="12.6" customHeight="1" x14ac:dyDescent="0.2">
      <c r="A16" s="17"/>
      <c r="B16" s="755" t="s">
        <v>954</v>
      </c>
      <c r="C16" s="641"/>
      <c r="D16" s="641"/>
      <c r="E16" s="642"/>
      <c r="F16" s="256">
        <v>3240</v>
      </c>
      <c r="G16" s="275">
        <f t="shared" si="24"/>
        <v>3240</v>
      </c>
      <c r="H16" s="250"/>
      <c r="I16" s="301"/>
      <c r="J16" s="528"/>
      <c r="K16" s="256"/>
      <c r="L16" s="528"/>
      <c r="M16" s="256"/>
      <c r="N16" s="528"/>
      <c r="O16" s="256"/>
      <c r="P16" s="528"/>
      <c r="Q16" s="256"/>
      <c r="R16" s="528"/>
      <c r="S16" s="256"/>
      <c r="T16" s="528"/>
      <c r="U16" s="256"/>
      <c r="V16" s="528"/>
      <c r="W16" s="256"/>
      <c r="X16" s="119"/>
      <c r="Y16" s="119"/>
      <c r="Z16" s="119"/>
      <c r="AA16" s="119"/>
      <c r="AB16" s="337">
        <v>20</v>
      </c>
      <c r="AE16" s="58"/>
      <c r="AF16" s="666" t="s">
        <v>755</v>
      </c>
      <c r="AG16" s="666"/>
      <c r="AH16" s="666"/>
      <c r="AI16" s="666"/>
    </row>
    <row r="17" spans="1:37" ht="12.6" customHeight="1" x14ac:dyDescent="0.2">
      <c r="A17" s="88"/>
      <c r="B17" s="765" t="s">
        <v>25</v>
      </c>
      <c r="C17" s="677"/>
      <c r="D17" s="677"/>
      <c r="E17" s="678"/>
      <c r="F17" s="324">
        <f>4.1*X2</f>
        <v>6313.9999999999991</v>
      </c>
      <c r="G17" s="276">
        <f>+F17*$X$1</f>
        <v>6313.9999999999991</v>
      </c>
      <c r="H17" s="287">
        <f>F17+700</f>
        <v>7013.9999999999991</v>
      </c>
      <c r="I17" s="255">
        <f t="shared" ref="I17:I18" si="32">+H17*$X$1</f>
        <v>7013.9999999999991</v>
      </c>
      <c r="J17" s="520"/>
      <c r="K17" s="257"/>
      <c r="L17" s="520"/>
      <c r="M17" s="255"/>
      <c r="N17" s="520"/>
      <c r="O17" s="255"/>
      <c r="P17" s="93"/>
      <c r="Q17" s="1095" t="s">
        <v>138</v>
      </c>
      <c r="R17" s="1096"/>
      <c r="S17" s="1096"/>
      <c r="T17" s="1096"/>
      <c r="U17" s="1096"/>
      <c r="V17" s="1096"/>
      <c r="W17" s="1097"/>
      <c r="X17" s="632"/>
      <c r="Y17" s="633"/>
      <c r="Z17" s="633"/>
      <c r="AA17" s="634"/>
      <c r="AB17" s="337">
        <v>24</v>
      </c>
      <c r="AE17" s="69"/>
      <c r="AF17" s="666" t="s">
        <v>840</v>
      </c>
      <c r="AG17" s="666"/>
      <c r="AH17" s="666"/>
      <c r="AI17" s="666"/>
      <c r="AJ17" s="666"/>
    </row>
    <row r="18" spans="1:37" ht="12.6" customHeight="1" x14ac:dyDescent="0.2">
      <c r="A18" s="115"/>
      <c r="B18" s="755" t="s">
        <v>493</v>
      </c>
      <c r="C18" s="756"/>
      <c r="D18" s="756"/>
      <c r="E18" s="757"/>
      <c r="F18" s="323">
        <f>4.1*X2</f>
        <v>6313.9999999999991</v>
      </c>
      <c r="G18" s="275">
        <f>+F18*$X$1</f>
        <v>6313.9999999999991</v>
      </c>
      <c r="H18" s="390">
        <f>F18+700</f>
        <v>7013.9999999999991</v>
      </c>
      <c r="I18" s="256">
        <f t="shared" si="32"/>
        <v>7013.9999999999991</v>
      </c>
      <c r="J18" s="528"/>
      <c r="K18" s="258"/>
      <c r="L18" s="86"/>
      <c r="M18" s="258"/>
      <c r="N18" s="86">
        <f>F18+40</f>
        <v>6353.9999999999991</v>
      </c>
      <c r="O18" s="256"/>
      <c r="P18" s="250"/>
      <c r="Q18" s="990" t="s">
        <v>138</v>
      </c>
      <c r="R18" s="991"/>
      <c r="S18" s="991"/>
      <c r="T18" s="991"/>
      <c r="U18" s="991"/>
      <c r="V18" s="991"/>
      <c r="W18" s="992"/>
      <c r="X18" s="220"/>
      <c r="Y18" s="177"/>
      <c r="Z18" s="177"/>
      <c r="AA18" s="176"/>
      <c r="AB18" s="337">
        <v>25</v>
      </c>
      <c r="AE18" s="69"/>
      <c r="AF18" s="666" t="s">
        <v>525</v>
      </c>
      <c r="AG18" s="666"/>
      <c r="AH18" s="666"/>
      <c r="AI18" s="666"/>
      <c r="AJ18" s="666"/>
    </row>
    <row r="19" spans="1:37" ht="12.6" customHeight="1" x14ac:dyDescent="0.2">
      <c r="A19" s="114"/>
      <c r="B19" s="765" t="s">
        <v>26</v>
      </c>
      <c r="C19" s="677"/>
      <c r="D19" s="677"/>
      <c r="E19" s="678"/>
      <c r="F19" s="255"/>
      <c r="G19" s="271"/>
      <c r="H19" s="251"/>
      <c r="I19" s="300"/>
      <c r="J19" s="520"/>
      <c r="K19" s="257"/>
      <c r="L19" s="520"/>
      <c r="M19" s="255"/>
      <c r="N19" s="520"/>
      <c r="O19" s="255"/>
      <c r="P19" s="93"/>
      <c r="Q19" s="255"/>
      <c r="R19" s="520"/>
      <c r="S19" s="255"/>
      <c r="T19" s="520"/>
      <c r="U19" s="255"/>
      <c r="V19" s="102"/>
      <c r="W19" s="255"/>
      <c r="X19" s="632"/>
      <c r="Y19" s="633"/>
      <c r="Z19" s="633"/>
      <c r="AA19" s="634"/>
      <c r="AB19" s="32"/>
      <c r="AF19" s="666" t="s">
        <v>340</v>
      </c>
      <c r="AG19" s="666"/>
      <c r="AH19" s="666"/>
      <c r="AI19" s="667"/>
      <c r="AJ19" s="667"/>
    </row>
    <row r="20" spans="1:37" ht="12.6" customHeight="1" x14ac:dyDescent="0.2">
      <c r="A20" s="17"/>
      <c r="B20" s="755" t="s">
        <v>27</v>
      </c>
      <c r="C20" s="641"/>
      <c r="D20" s="641"/>
      <c r="E20" s="642"/>
      <c r="F20" s="256">
        <v>6930</v>
      </c>
      <c r="G20" s="275">
        <f t="shared" ref="G20:G25" si="33">+F20*$X$1</f>
        <v>6930</v>
      </c>
      <c r="H20" s="390">
        <f>F20+700</f>
        <v>7630</v>
      </c>
      <c r="I20" s="256">
        <f t="shared" ref="I20:I21" si="34">+H20*$X$1</f>
        <v>7630</v>
      </c>
      <c r="J20" s="528">
        <f>F20+300</f>
        <v>7230</v>
      </c>
      <c r="K20" s="256">
        <f t="shared" ref="K20:K21" si="35">+J20*$X$1</f>
        <v>7230</v>
      </c>
      <c r="L20" s="528">
        <f>F20+250</f>
        <v>7180</v>
      </c>
      <c r="M20" s="256">
        <f t="shared" ref="M20:M21" si="36">+L20*$X$1</f>
        <v>7180</v>
      </c>
      <c r="N20" s="528">
        <f>F20+220</f>
        <v>7150</v>
      </c>
      <c r="O20" s="256">
        <f t="shared" ref="O20:O21" si="37">+N20*$X$1</f>
        <v>7150</v>
      </c>
      <c r="P20" s="528">
        <f>F20+180</f>
        <v>7110</v>
      </c>
      <c r="Q20" s="256">
        <f t="shared" ref="Q20:Q21" si="38">+P20*$X$1</f>
        <v>7110</v>
      </c>
      <c r="R20" s="528">
        <f>F20+150</f>
        <v>7080</v>
      </c>
      <c r="S20" s="256">
        <f t="shared" ref="S20:S21" si="39">+R20*$X$1</f>
        <v>7080</v>
      </c>
      <c r="T20" s="528">
        <f>F20+130</f>
        <v>7060</v>
      </c>
      <c r="U20" s="256">
        <f t="shared" ref="U20:U21" si="40">+T20*$X$1</f>
        <v>7060</v>
      </c>
      <c r="V20" s="528">
        <f>F20+110</f>
        <v>7040</v>
      </c>
      <c r="W20" s="256">
        <f t="shared" ref="W20" si="41">+V20*$X$1</f>
        <v>7040</v>
      </c>
      <c r="X20" s="632"/>
      <c r="Y20" s="633"/>
      <c r="Z20" s="633"/>
      <c r="AA20" s="634"/>
      <c r="AB20" s="337" t="s">
        <v>28</v>
      </c>
      <c r="AE20" s="69"/>
      <c r="AF20" s="666" t="s">
        <v>341</v>
      </c>
      <c r="AG20" s="666"/>
      <c r="AH20" s="666"/>
      <c r="AI20" s="666"/>
      <c r="AJ20" s="70"/>
    </row>
    <row r="21" spans="1:37" ht="12.6" customHeight="1" x14ac:dyDescent="0.2">
      <c r="A21" s="17"/>
      <c r="B21" s="772" t="s">
        <v>29</v>
      </c>
      <c r="C21" s="655"/>
      <c r="D21" s="655"/>
      <c r="E21" s="655"/>
      <c r="F21" s="255">
        <v>6930</v>
      </c>
      <c r="G21" s="276">
        <f t="shared" ref="G21" si="42">+F21*$X$1</f>
        <v>6930</v>
      </c>
      <c r="H21" s="287">
        <f>F21+700</f>
        <v>7630</v>
      </c>
      <c r="I21" s="255">
        <f t="shared" si="34"/>
        <v>7630</v>
      </c>
      <c r="J21" s="520">
        <f>F21+300</f>
        <v>7230</v>
      </c>
      <c r="K21" s="255">
        <f t="shared" si="35"/>
        <v>7230</v>
      </c>
      <c r="L21" s="520">
        <f>F21+250</f>
        <v>7180</v>
      </c>
      <c r="M21" s="255">
        <f t="shared" si="36"/>
        <v>7180</v>
      </c>
      <c r="N21" s="520">
        <f>F21+220</f>
        <v>7150</v>
      </c>
      <c r="O21" s="255">
        <f t="shared" si="37"/>
        <v>7150</v>
      </c>
      <c r="P21" s="520">
        <f>F21+180</f>
        <v>7110</v>
      </c>
      <c r="Q21" s="255">
        <f t="shared" si="38"/>
        <v>7110</v>
      </c>
      <c r="R21" s="520">
        <f>F21+150</f>
        <v>7080</v>
      </c>
      <c r="S21" s="255">
        <f t="shared" si="39"/>
        <v>7080</v>
      </c>
      <c r="T21" s="520">
        <f>F21+130</f>
        <v>7060</v>
      </c>
      <c r="U21" s="255">
        <f t="shared" si="40"/>
        <v>7060</v>
      </c>
      <c r="V21" s="520">
        <f>F21+110</f>
        <v>7040</v>
      </c>
      <c r="W21" s="255">
        <f t="shared" ref="W21" si="43">+V21*$X$1</f>
        <v>7040</v>
      </c>
      <c r="X21" s="632"/>
      <c r="Y21" s="633"/>
      <c r="Z21" s="633"/>
      <c r="AA21" s="634"/>
      <c r="AB21" s="337" t="s">
        <v>30</v>
      </c>
      <c r="AE21" s="69"/>
      <c r="AF21" s="666" t="s">
        <v>356</v>
      </c>
      <c r="AG21" s="666"/>
      <c r="AH21" s="666"/>
      <c r="AI21" s="666"/>
      <c r="AJ21" s="667"/>
    </row>
    <row r="22" spans="1:37" ht="12.6" customHeight="1" x14ac:dyDescent="0.2">
      <c r="A22" s="17"/>
      <c r="B22" s="771" t="s">
        <v>312</v>
      </c>
      <c r="C22" s="648"/>
      <c r="D22" s="648"/>
      <c r="E22" s="648"/>
      <c r="F22" s="256">
        <v>2268</v>
      </c>
      <c r="G22" s="306">
        <f t="shared" si="33"/>
        <v>2268</v>
      </c>
      <c r="H22" s="250"/>
      <c r="I22" s="304"/>
      <c r="J22" s="587"/>
      <c r="K22" s="258"/>
      <c r="L22" s="86"/>
      <c r="M22" s="258"/>
      <c r="N22" s="86"/>
      <c r="O22" s="256"/>
      <c r="P22" s="250"/>
      <c r="Q22" s="301"/>
      <c r="R22" s="528"/>
      <c r="S22" s="256"/>
      <c r="T22" s="528"/>
      <c r="U22" s="256"/>
      <c r="V22" s="528"/>
      <c r="W22" s="256"/>
      <c r="X22" s="119"/>
      <c r="Y22" s="119"/>
      <c r="Z22" s="119"/>
      <c r="AA22" s="119"/>
      <c r="AB22" s="337">
        <v>35</v>
      </c>
      <c r="AE22" s="69"/>
      <c r="AF22" s="666" t="s">
        <v>313</v>
      </c>
      <c r="AG22" s="667"/>
      <c r="AH22" s="667"/>
      <c r="AI22" s="667"/>
      <c r="AJ22" s="70"/>
    </row>
    <row r="23" spans="1:37" ht="12.6" customHeight="1" x14ac:dyDescent="0.2">
      <c r="A23" s="17"/>
      <c r="B23" s="772" t="s">
        <v>311</v>
      </c>
      <c r="C23" s="655"/>
      <c r="D23" s="655"/>
      <c r="E23" s="655"/>
      <c r="F23" s="255">
        <v>2200</v>
      </c>
      <c r="G23" s="271">
        <f t="shared" si="33"/>
        <v>2200</v>
      </c>
      <c r="H23" s="251"/>
      <c r="I23" s="300"/>
      <c r="J23" s="110"/>
      <c r="K23" s="255"/>
      <c r="L23" s="520"/>
      <c r="M23" s="255"/>
      <c r="N23" s="520"/>
      <c r="O23" s="255"/>
      <c r="P23" s="251"/>
      <c r="Q23" s="300"/>
      <c r="R23" s="520"/>
      <c r="S23" s="586"/>
      <c r="T23" s="93"/>
      <c r="U23" s="270"/>
      <c r="V23" s="93"/>
      <c r="W23" s="255"/>
      <c r="X23" s="119"/>
      <c r="Y23" s="119"/>
      <c r="Z23" s="119"/>
      <c r="AA23" s="119"/>
      <c r="AB23" s="337">
        <v>36</v>
      </c>
      <c r="AE23" s="69"/>
      <c r="AF23" s="666" t="s">
        <v>442</v>
      </c>
      <c r="AG23" s="666"/>
      <c r="AH23" s="666"/>
      <c r="AI23" s="666"/>
      <c r="AJ23" s="70"/>
    </row>
    <row r="24" spans="1:37" ht="12.6" customHeight="1" x14ac:dyDescent="0.2">
      <c r="A24" s="17"/>
      <c r="B24" s="773" t="s">
        <v>956</v>
      </c>
      <c r="C24" s="676"/>
      <c r="D24" s="676"/>
      <c r="E24" s="676"/>
      <c r="F24" s="256">
        <v>2642</v>
      </c>
      <c r="G24" s="298">
        <f t="shared" si="33"/>
        <v>2642</v>
      </c>
      <c r="H24" s="250"/>
      <c r="I24" s="301"/>
      <c r="J24" s="528">
        <f>F24+270</f>
        <v>2912</v>
      </c>
      <c r="K24" s="256">
        <f t="shared" ref="K24" si="44">+J24*$X$1</f>
        <v>2912</v>
      </c>
      <c r="L24" s="528">
        <f>F24+170</f>
        <v>2812</v>
      </c>
      <c r="M24" s="256">
        <f t="shared" ref="M24:M25" si="45">+L24*$X$1</f>
        <v>2812</v>
      </c>
      <c r="N24" s="528">
        <f>F24+130</f>
        <v>2772</v>
      </c>
      <c r="O24" s="256">
        <f>+N24*$X$1</f>
        <v>2772</v>
      </c>
      <c r="P24" s="528">
        <f>F24+110</f>
        <v>2752</v>
      </c>
      <c r="Q24" s="256">
        <f t="shared" ref="Q24:Q25" si="46">+P24*$X$1</f>
        <v>2752</v>
      </c>
      <c r="R24" s="528">
        <f>F24+90</f>
        <v>2732</v>
      </c>
      <c r="S24" s="256">
        <f>+R24*$X$1</f>
        <v>2732</v>
      </c>
      <c r="T24" s="528">
        <f>F24+75</f>
        <v>2717</v>
      </c>
      <c r="U24" s="256">
        <f t="shared" ref="U24:U25" si="47">+T24*$X$1</f>
        <v>2717</v>
      </c>
      <c r="V24" s="528">
        <f>F24+60</f>
        <v>2702</v>
      </c>
      <c r="W24" s="256">
        <f t="shared" ref="W24" si="48">+V24*$X$1</f>
        <v>2702</v>
      </c>
      <c r="X24" s="119"/>
      <c r="Y24" s="119"/>
      <c r="Z24" s="119"/>
      <c r="AA24" s="119"/>
      <c r="AB24" s="337">
        <v>37</v>
      </c>
      <c r="AE24" s="69"/>
      <c r="AF24" s="666" t="s">
        <v>31</v>
      </c>
      <c r="AG24" s="666"/>
      <c r="AH24" s="666"/>
      <c r="AI24" s="666"/>
      <c r="AJ24" s="70"/>
    </row>
    <row r="25" spans="1:37" ht="12.6" customHeight="1" x14ac:dyDescent="0.2">
      <c r="A25" s="17"/>
      <c r="B25" s="765" t="s">
        <v>32</v>
      </c>
      <c r="C25" s="677"/>
      <c r="D25" s="677"/>
      <c r="E25" s="678"/>
      <c r="F25" s="321">
        <f>7.3*X2</f>
        <v>11242</v>
      </c>
      <c r="G25" s="255">
        <f t="shared" si="33"/>
        <v>11242</v>
      </c>
      <c r="H25" s="287"/>
      <c r="I25" s="255"/>
      <c r="J25" s="520"/>
      <c r="K25" s="255"/>
      <c r="L25" s="520">
        <f>F25+250</f>
        <v>11492</v>
      </c>
      <c r="M25" s="255">
        <f t="shared" si="45"/>
        <v>11492</v>
      </c>
      <c r="N25" s="520">
        <f>F25+220</f>
        <v>11462</v>
      </c>
      <c r="O25" s="255">
        <f t="shared" ref="O25" si="49">+N25*$X$1</f>
        <v>11462</v>
      </c>
      <c r="P25" s="520">
        <f>F25+180</f>
        <v>11422</v>
      </c>
      <c r="Q25" s="255">
        <f t="shared" si="46"/>
        <v>11422</v>
      </c>
      <c r="R25" s="520">
        <f>F25+150</f>
        <v>11392</v>
      </c>
      <c r="S25" s="255">
        <f t="shared" ref="S25" si="50">+R25*$X$1</f>
        <v>11392</v>
      </c>
      <c r="T25" s="520">
        <f>F25+130</f>
        <v>11372</v>
      </c>
      <c r="U25" s="255">
        <f t="shared" si="47"/>
        <v>11372</v>
      </c>
      <c r="V25" s="520"/>
      <c r="W25" s="255"/>
      <c r="X25" s="632"/>
      <c r="Y25" s="1014"/>
      <c r="Z25" s="1014"/>
      <c r="AA25" s="651"/>
      <c r="AB25" s="337">
        <v>39</v>
      </c>
      <c r="AE25" s="69"/>
      <c r="AF25" s="666" t="s">
        <v>653</v>
      </c>
      <c r="AG25" s="666"/>
      <c r="AH25" s="666"/>
      <c r="AI25" s="667"/>
      <c r="AJ25" s="667"/>
    </row>
    <row r="26" spans="1:37" ht="12.6" customHeight="1" x14ac:dyDescent="0.2">
      <c r="A26" s="17"/>
      <c r="B26" s="771" t="s">
        <v>33</v>
      </c>
      <c r="C26" s="648"/>
      <c r="D26" s="648"/>
      <c r="E26" s="648"/>
      <c r="F26" s="322"/>
      <c r="G26" s="256"/>
      <c r="H26" s="250"/>
      <c r="I26" s="301"/>
      <c r="J26" s="528"/>
      <c r="K26" s="256"/>
      <c r="L26" s="528">
        <f>6.7*X2</f>
        <v>10318</v>
      </c>
      <c r="M26" s="256">
        <f t="shared" ref="M26:M28" si="51">+L26*$X$1</f>
        <v>10318</v>
      </c>
      <c r="N26" s="528">
        <f>6.6*X2</f>
        <v>10164</v>
      </c>
      <c r="O26" s="256">
        <f t="shared" ref="O26:O28" si="52">+N26*$X$1</f>
        <v>10164</v>
      </c>
      <c r="P26" s="252">
        <f>6.5*X2</f>
        <v>10010</v>
      </c>
      <c r="Q26" s="256">
        <f t="shared" ref="Q26:Q28" si="53">+P26*$X$1</f>
        <v>10010</v>
      </c>
      <c r="R26" s="528">
        <f>6.45*X2</f>
        <v>9933</v>
      </c>
      <c r="S26" s="256">
        <f t="shared" ref="S26:S28" si="54">+R26*$X$1</f>
        <v>9933</v>
      </c>
      <c r="T26" s="528">
        <f>6.42*X2</f>
        <v>9886.7999999999993</v>
      </c>
      <c r="U26" s="256">
        <f t="shared" ref="U26:U28" si="55">+T26*$X$1</f>
        <v>9886.7999999999993</v>
      </c>
      <c r="V26" s="528"/>
      <c r="W26" s="256"/>
      <c r="X26" s="661"/>
      <c r="Y26" s="1014"/>
      <c r="Z26" s="1014"/>
      <c r="AA26" s="651"/>
      <c r="AB26" s="337">
        <v>40</v>
      </c>
      <c r="AE26" s="69"/>
      <c r="AF26" s="666" t="s">
        <v>34</v>
      </c>
      <c r="AG26" s="666"/>
      <c r="AH26" s="666"/>
      <c r="AI26" s="666"/>
      <c r="AJ26" s="667"/>
    </row>
    <row r="27" spans="1:37" ht="12.6" customHeight="1" x14ac:dyDescent="0.2">
      <c r="A27" s="17"/>
      <c r="B27" s="765" t="s">
        <v>319</v>
      </c>
      <c r="C27" s="677"/>
      <c r="D27" s="677"/>
      <c r="E27" s="678"/>
      <c r="F27" s="324">
        <f>9.7*X2</f>
        <v>14937.999999999998</v>
      </c>
      <c r="G27" s="255">
        <f>+F27*$X$1</f>
        <v>14937.999999999998</v>
      </c>
      <c r="H27" s="251"/>
      <c r="I27" s="300"/>
      <c r="J27" s="520"/>
      <c r="K27" s="255"/>
      <c r="L27" s="520">
        <f>F27+250</f>
        <v>15187.999999999998</v>
      </c>
      <c r="M27" s="255">
        <f t="shared" si="51"/>
        <v>15187.999999999998</v>
      </c>
      <c r="N27" s="520">
        <f>F27+220</f>
        <v>15157.999999999998</v>
      </c>
      <c r="O27" s="255">
        <f t="shared" si="52"/>
        <v>15157.999999999998</v>
      </c>
      <c r="P27" s="520">
        <f>F27+180</f>
        <v>15117.999999999998</v>
      </c>
      <c r="Q27" s="255">
        <f t="shared" si="53"/>
        <v>15117.999999999998</v>
      </c>
      <c r="R27" s="520">
        <f>F27+150</f>
        <v>15087.999999999998</v>
      </c>
      <c r="S27" s="255">
        <f t="shared" si="54"/>
        <v>15087.999999999998</v>
      </c>
      <c r="T27" s="520">
        <f>F27+130</f>
        <v>15067.999999999998</v>
      </c>
      <c r="U27" s="255">
        <f t="shared" si="55"/>
        <v>15067.999999999998</v>
      </c>
      <c r="V27" s="520"/>
      <c r="W27" s="255"/>
      <c r="X27" s="195"/>
      <c r="Y27" s="150"/>
      <c r="Z27" s="150"/>
      <c r="AA27" s="151"/>
      <c r="AB27" s="337">
        <v>44</v>
      </c>
      <c r="AE27" s="69"/>
      <c r="AF27" s="666" t="s">
        <v>371</v>
      </c>
      <c r="AG27" s="666"/>
      <c r="AH27" s="666"/>
      <c r="AI27" s="667"/>
      <c r="AJ27" s="667"/>
      <c r="AK27" s="62"/>
    </row>
    <row r="28" spans="1:37" ht="12.6" customHeight="1" x14ac:dyDescent="0.2">
      <c r="A28" s="17"/>
      <c r="B28" s="776" t="s">
        <v>585</v>
      </c>
      <c r="C28" s="698"/>
      <c r="D28" s="698"/>
      <c r="E28" s="698"/>
      <c r="F28" s="322">
        <f>0.52*X2</f>
        <v>800.80000000000007</v>
      </c>
      <c r="G28" s="256">
        <f>+F28*$X$1</f>
        <v>800.80000000000007</v>
      </c>
      <c r="H28" s="250"/>
      <c r="I28" s="301"/>
      <c r="J28" s="82"/>
      <c r="K28" s="256"/>
      <c r="L28" s="528">
        <f>F28+230</f>
        <v>1030.8000000000002</v>
      </c>
      <c r="M28" s="256">
        <f t="shared" si="51"/>
        <v>1030.8000000000002</v>
      </c>
      <c r="N28" s="528">
        <f t="shared" ref="N28" si="56">F28+180</f>
        <v>980.80000000000007</v>
      </c>
      <c r="O28" s="256">
        <f t="shared" si="52"/>
        <v>980.80000000000007</v>
      </c>
      <c r="P28" s="528">
        <f>F28+150</f>
        <v>950.80000000000007</v>
      </c>
      <c r="Q28" s="256">
        <f t="shared" si="53"/>
        <v>950.80000000000007</v>
      </c>
      <c r="R28" s="528">
        <f t="shared" ref="R28" si="57">F28+120</f>
        <v>920.80000000000007</v>
      </c>
      <c r="S28" s="256">
        <f t="shared" si="54"/>
        <v>920.80000000000007</v>
      </c>
      <c r="T28" s="528">
        <f t="shared" ref="T28" si="58">F28+100</f>
        <v>900.80000000000007</v>
      </c>
      <c r="U28" s="256">
        <f t="shared" si="55"/>
        <v>900.80000000000007</v>
      </c>
      <c r="V28" s="528">
        <f>F28+80</f>
        <v>880.80000000000007</v>
      </c>
      <c r="W28" s="256">
        <f t="shared" ref="W28" si="59">+V28*$X$1</f>
        <v>880.80000000000007</v>
      </c>
      <c r="X28" s="119"/>
      <c r="Y28" s="119"/>
      <c r="Z28" s="119"/>
      <c r="AA28" s="119"/>
      <c r="AB28" s="337">
        <v>45</v>
      </c>
      <c r="AF28" s="666" t="s">
        <v>945</v>
      </c>
      <c r="AG28" s="666"/>
      <c r="AH28" s="666"/>
      <c r="AI28" s="667"/>
      <c r="AJ28" s="667"/>
    </row>
    <row r="29" spans="1:37" ht="12.6" customHeight="1" x14ac:dyDescent="0.2">
      <c r="A29" s="17"/>
      <c r="B29" s="772" t="s">
        <v>35</v>
      </c>
      <c r="C29" s="655"/>
      <c r="D29" s="655"/>
      <c r="E29" s="655"/>
      <c r="F29" s="255">
        <v>786</v>
      </c>
      <c r="G29" s="276">
        <f t="shared" ref="G29:G37" si="60">+F29*$X$1</f>
        <v>786</v>
      </c>
      <c r="H29" s="996" t="s">
        <v>36</v>
      </c>
      <c r="I29" s="996"/>
      <c r="J29" s="997"/>
      <c r="K29" s="998"/>
      <c r="L29" s="251"/>
      <c r="M29" s="300"/>
      <c r="N29" s="79">
        <v>2350</v>
      </c>
      <c r="O29" s="276">
        <f t="shared" ref="O29:O40" si="61">+N29*$X$1</f>
        <v>2350</v>
      </c>
      <c r="P29" s="281">
        <v>2160</v>
      </c>
      <c r="Q29" s="575">
        <f t="shared" ref="Q29:S46" si="62">+P29*$X$1</f>
        <v>2160</v>
      </c>
      <c r="R29" s="93">
        <v>1996</v>
      </c>
      <c r="S29" s="234">
        <f t="shared" si="62"/>
        <v>1996</v>
      </c>
      <c r="T29" s="520">
        <v>1844</v>
      </c>
      <c r="U29" s="234">
        <f t="shared" ref="U29:U46" si="63">+T29*$X$1</f>
        <v>1844</v>
      </c>
      <c r="V29" s="520">
        <v>1780</v>
      </c>
      <c r="W29" s="255">
        <f t="shared" ref="W29:W46" si="64">+V29*$X$1</f>
        <v>1780</v>
      </c>
      <c r="X29" s="632"/>
      <c r="Y29" s="1014"/>
      <c r="Z29" s="1014"/>
      <c r="AA29" s="651"/>
      <c r="AB29" s="337" t="s">
        <v>37</v>
      </c>
      <c r="AE29" s="69"/>
      <c r="AF29" s="666" t="s">
        <v>962</v>
      </c>
      <c r="AG29" s="666"/>
      <c r="AH29" s="666"/>
      <c r="AI29" s="667"/>
      <c r="AJ29" s="667"/>
    </row>
    <row r="30" spans="1:37" ht="12.6" customHeight="1" x14ac:dyDescent="0.2">
      <c r="A30" s="17"/>
      <c r="B30" s="771" t="s">
        <v>38</v>
      </c>
      <c r="C30" s="648"/>
      <c r="D30" s="648"/>
      <c r="E30" s="648"/>
      <c r="F30" s="256">
        <v>786</v>
      </c>
      <c r="G30" s="275">
        <f t="shared" si="60"/>
        <v>786</v>
      </c>
      <c r="H30" s="993" t="s">
        <v>36</v>
      </c>
      <c r="I30" s="993"/>
      <c r="J30" s="994"/>
      <c r="K30" s="995"/>
      <c r="L30" s="250"/>
      <c r="M30" s="301"/>
      <c r="N30" s="83">
        <v>2350</v>
      </c>
      <c r="O30" s="275">
        <f t="shared" ref="O30:O33" si="65">+N30*$X$1</f>
        <v>2350</v>
      </c>
      <c r="P30" s="252">
        <v>2160</v>
      </c>
      <c r="Q30" s="574">
        <f t="shared" ref="Q30:Q33" si="66">+P30*$X$1</f>
        <v>2160</v>
      </c>
      <c r="R30" s="92">
        <v>1996</v>
      </c>
      <c r="S30" s="269">
        <f t="shared" ref="S30:S33" si="67">+R30*$X$1</f>
        <v>1996</v>
      </c>
      <c r="T30" s="528">
        <v>1844</v>
      </c>
      <c r="U30" s="269">
        <f t="shared" ref="U30:U33" si="68">+T30*$X$1</f>
        <v>1844</v>
      </c>
      <c r="V30" s="528">
        <v>1780</v>
      </c>
      <c r="W30" s="256">
        <f t="shared" ref="W30:W33" si="69">+V30*$X$1</f>
        <v>1780</v>
      </c>
      <c r="X30" s="632"/>
      <c r="Y30" s="1014"/>
      <c r="Z30" s="1014"/>
      <c r="AA30" s="651"/>
      <c r="AB30" s="337" t="s">
        <v>39</v>
      </c>
    </row>
    <row r="31" spans="1:37" ht="12.6" customHeight="1" x14ac:dyDescent="0.2">
      <c r="A31" s="17"/>
      <c r="B31" s="772" t="s">
        <v>40</v>
      </c>
      <c r="C31" s="655"/>
      <c r="D31" s="655"/>
      <c r="E31" s="655"/>
      <c r="F31" s="255">
        <v>786</v>
      </c>
      <c r="G31" s="276">
        <f t="shared" si="60"/>
        <v>786</v>
      </c>
      <c r="H31" s="1016" t="s">
        <v>36</v>
      </c>
      <c r="I31" s="1016"/>
      <c r="J31" s="1017"/>
      <c r="K31" s="1018"/>
      <c r="L31" s="251"/>
      <c r="M31" s="300"/>
      <c r="N31" s="79">
        <v>2350</v>
      </c>
      <c r="O31" s="276">
        <f t="shared" si="65"/>
        <v>2350</v>
      </c>
      <c r="P31" s="281">
        <v>2160</v>
      </c>
      <c r="Q31" s="575">
        <f t="shared" si="66"/>
        <v>2160</v>
      </c>
      <c r="R31" s="93">
        <v>1996</v>
      </c>
      <c r="S31" s="234">
        <f t="shared" si="67"/>
        <v>1996</v>
      </c>
      <c r="T31" s="520">
        <v>1844</v>
      </c>
      <c r="U31" s="234">
        <f t="shared" si="68"/>
        <v>1844</v>
      </c>
      <c r="V31" s="520">
        <v>1780</v>
      </c>
      <c r="W31" s="255">
        <f t="shared" si="69"/>
        <v>1780</v>
      </c>
      <c r="X31" s="632"/>
      <c r="Y31" s="1014"/>
      <c r="Z31" s="1014"/>
      <c r="AA31" s="651"/>
      <c r="AB31" s="337" t="s">
        <v>41</v>
      </c>
    </row>
    <row r="32" spans="1:37" ht="12.6" customHeight="1" x14ac:dyDescent="0.2">
      <c r="A32" s="17"/>
      <c r="B32" s="771" t="s">
        <v>42</v>
      </c>
      <c r="C32" s="648"/>
      <c r="D32" s="648"/>
      <c r="E32" s="648"/>
      <c r="F32" s="256">
        <v>786</v>
      </c>
      <c r="G32" s="275">
        <f t="shared" si="60"/>
        <v>786</v>
      </c>
      <c r="H32" s="993" t="s">
        <v>36</v>
      </c>
      <c r="I32" s="993"/>
      <c r="J32" s="994"/>
      <c r="K32" s="995"/>
      <c r="L32" s="250"/>
      <c r="M32" s="301"/>
      <c r="N32" s="83">
        <v>2350</v>
      </c>
      <c r="O32" s="275">
        <f t="shared" si="65"/>
        <v>2350</v>
      </c>
      <c r="P32" s="252">
        <v>2160</v>
      </c>
      <c r="Q32" s="574">
        <f t="shared" si="66"/>
        <v>2160</v>
      </c>
      <c r="R32" s="92">
        <v>1996</v>
      </c>
      <c r="S32" s="269">
        <f t="shared" si="67"/>
        <v>1996</v>
      </c>
      <c r="T32" s="528">
        <v>1844</v>
      </c>
      <c r="U32" s="269">
        <f t="shared" si="68"/>
        <v>1844</v>
      </c>
      <c r="V32" s="528">
        <v>1780</v>
      </c>
      <c r="W32" s="256">
        <f t="shared" si="69"/>
        <v>1780</v>
      </c>
      <c r="X32" s="632"/>
      <c r="Y32" s="1014"/>
      <c r="Z32" s="1014"/>
      <c r="AA32" s="651"/>
      <c r="AB32" s="337" t="s">
        <v>43</v>
      </c>
    </row>
    <row r="33" spans="1:28" ht="12.6" customHeight="1" x14ac:dyDescent="0.2">
      <c r="A33" s="17"/>
      <c r="B33" s="772" t="s">
        <v>44</v>
      </c>
      <c r="C33" s="655"/>
      <c r="D33" s="655"/>
      <c r="E33" s="655"/>
      <c r="F33" s="255">
        <v>786</v>
      </c>
      <c r="G33" s="276">
        <f t="shared" si="60"/>
        <v>786</v>
      </c>
      <c r="H33" s="1016" t="s">
        <v>36</v>
      </c>
      <c r="I33" s="1016"/>
      <c r="J33" s="1017"/>
      <c r="K33" s="1018"/>
      <c r="L33" s="251"/>
      <c r="M33" s="300"/>
      <c r="N33" s="79">
        <v>2350</v>
      </c>
      <c r="O33" s="276">
        <f t="shared" si="65"/>
        <v>2350</v>
      </c>
      <c r="P33" s="281">
        <v>2160</v>
      </c>
      <c r="Q33" s="575">
        <f t="shared" si="66"/>
        <v>2160</v>
      </c>
      <c r="R33" s="93">
        <v>1996</v>
      </c>
      <c r="S33" s="234">
        <f t="shared" si="67"/>
        <v>1996</v>
      </c>
      <c r="T33" s="520">
        <v>1844</v>
      </c>
      <c r="U33" s="234">
        <f t="shared" si="68"/>
        <v>1844</v>
      </c>
      <c r="V33" s="520">
        <v>1780</v>
      </c>
      <c r="W33" s="255">
        <f t="shared" si="69"/>
        <v>1780</v>
      </c>
      <c r="X33" s="632"/>
      <c r="Y33" s="1014"/>
      <c r="Z33" s="1014"/>
      <c r="AA33" s="651"/>
      <c r="AB33" s="337" t="s">
        <v>45</v>
      </c>
    </row>
    <row r="34" spans="1:28" ht="12.6" customHeight="1" x14ac:dyDescent="0.25">
      <c r="A34" s="17"/>
      <c r="B34" s="771" t="s">
        <v>46</v>
      </c>
      <c r="C34" s="648"/>
      <c r="D34" s="648"/>
      <c r="E34" s="648"/>
      <c r="F34" s="256">
        <v>786</v>
      </c>
      <c r="G34" s="275">
        <f t="shared" si="60"/>
        <v>786</v>
      </c>
      <c r="H34" s="993" t="s">
        <v>36</v>
      </c>
      <c r="I34" s="993"/>
      <c r="J34" s="994"/>
      <c r="K34" s="995"/>
      <c r="L34" s="250"/>
      <c r="M34" s="301"/>
      <c r="N34" s="83">
        <v>2035</v>
      </c>
      <c r="O34" s="275">
        <f t="shared" si="61"/>
        <v>2035</v>
      </c>
      <c r="P34" s="252">
        <v>1867</v>
      </c>
      <c r="Q34" s="574">
        <f t="shared" si="62"/>
        <v>1867</v>
      </c>
      <c r="R34" s="528">
        <v>1711</v>
      </c>
      <c r="S34" s="269">
        <f t="shared" si="62"/>
        <v>1711</v>
      </c>
      <c r="T34" s="528">
        <v>1594</v>
      </c>
      <c r="U34" s="269">
        <f t="shared" si="63"/>
        <v>1594</v>
      </c>
      <c r="V34" s="528">
        <v>1515</v>
      </c>
      <c r="W34" s="256">
        <f t="shared" si="64"/>
        <v>1515</v>
      </c>
      <c r="X34" s="632"/>
      <c r="Y34" s="630"/>
      <c r="Z34" s="630"/>
      <c r="AA34" s="631"/>
      <c r="AB34" s="337" t="s">
        <v>403</v>
      </c>
    </row>
    <row r="35" spans="1:28" ht="12.6" customHeight="1" x14ac:dyDescent="0.2">
      <c r="A35" s="17"/>
      <c r="B35" s="772" t="s">
        <v>47</v>
      </c>
      <c r="C35" s="655"/>
      <c r="D35" s="655"/>
      <c r="E35" s="655"/>
      <c r="F35" s="255">
        <v>786</v>
      </c>
      <c r="G35" s="276">
        <f t="shared" si="60"/>
        <v>786</v>
      </c>
      <c r="H35" s="1016" t="s">
        <v>36</v>
      </c>
      <c r="I35" s="1016"/>
      <c r="J35" s="1017"/>
      <c r="K35" s="1018"/>
      <c r="L35" s="251"/>
      <c r="M35" s="300"/>
      <c r="N35" s="79">
        <v>1790</v>
      </c>
      <c r="O35" s="276">
        <f t="shared" ref="O35" si="70">+N35*$X$1</f>
        <v>1790</v>
      </c>
      <c r="P35" s="281">
        <v>1641</v>
      </c>
      <c r="Q35" s="575">
        <f t="shared" ref="Q35" si="71">+P35*$X$1</f>
        <v>1641</v>
      </c>
      <c r="R35" s="93">
        <v>1496</v>
      </c>
      <c r="S35" s="234">
        <f t="shared" ref="S35" si="72">+R35*$X$1</f>
        <v>1496</v>
      </c>
      <c r="T35" s="520">
        <v>1379</v>
      </c>
      <c r="U35" s="234">
        <f t="shared" ref="U35" si="73">+T35*$X$1</f>
        <v>1379</v>
      </c>
      <c r="V35" s="520">
        <v>1237</v>
      </c>
      <c r="W35" s="255">
        <f t="shared" ref="W35" si="74">+V35*$X$1</f>
        <v>1237</v>
      </c>
      <c r="X35" s="632"/>
      <c r="Y35" s="630"/>
      <c r="Z35" s="630"/>
      <c r="AA35" s="631"/>
      <c r="AB35" s="337" t="s">
        <v>401</v>
      </c>
    </row>
    <row r="36" spans="1:28" ht="12.6" customHeight="1" x14ac:dyDescent="0.25">
      <c r="A36" s="17"/>
      <c r="B36" s="771" t="s">
        <v>48</v>
      </c>
      <c r="C36" s="648"/>
      <c r="D36" s="648"/>
      <c r="E36" s="648"/>
      <c r="F36" s="256">
        <v>786</v>
      </c>
      <c r="G36" s="275">
        <f t="shared" si="60"/>
        <v>786</v>
      </c>
      <c r="H36" s="993" t="s">
        <v>36</v>
      </c>
      <c r="I36" s="993"/>
      <c r="J36" s="994"/>
      <c r="K36" s="995"/>
      <c r="L36" s="250"/>
      <c r="M36" s="301"/>
      <c r="N36" s="83">
        <v>1790</v>
      </c>
      <c r="O36" s="275">
        <f t="shared" ref="O36" si="75">+N36*$X$1</f>
        <v>1790</v>
      </c>
      <c r="P36" s="252">
        <v>1641</v>
      </c>
      <c r="Q36" s="574">
        <f t="shared" ref="Q36" si="76">+P36*$X$1</f>
        <v>1641</v>
      </c>
      <c r="R36" s="92">
        <v>1496</v>
      </c>
      <c r="S36" s="269">
        <f t="shared" ref="S36" si="77">+R36*$X$1</f>
        <v>1496</v>
      </c>
      <c r="T36" s="528">
        <v>1379</v>
      </c>
      <c r="U36" s="269">
        <f t="shared" ref="U36" si="78">+T36*$X$1</f>
        <v>1379</v>
      </c>
      <c r="V36" s="528">
        <v>1237</v>
      </c>
      <c r="W36" s="256">
        <f t="shared" ref="W36" si="79">+V36*$X$1</f>
        <v>1237</v>
      </c>
      <c r="X36" s="632"/>
      <c r="Y36" s="630"/>
      <c r="Z36" s="630"/>
      <c r="AA36" s="631"/>
      <c r="AB36" s="337" t="s">
        <v>404</v>
      </c>
    </row>
    <row r="37" spans="1:28" ht="12.6" customHeight="1" x14ac:dyDescent="0.25">
      <c r="A37" s="17"/>
      <c r="B37" s="772" t="s">
        <v>49</v>
      </c>
      <c r="C37" s="655"/>
      <c r="D37" s="655"/>
      <c r="E37" s="655"/>
      <c r="F37" s="255">
        <v>786</v>
      </c>
      <c r="G37" s="276">
        <f t="shared" si="60"/>
        <v>786</v>
      </c>
      <c r="H37" s="1016" t="s">
        <v>36</v>
      </c>
      <c r="I37" s="1016"/>
      <c r="J37" s="1017"/>
      <c r="K37" s="1018"/>
      <c r="L37" s="251"/>
      <c r="M37" s="300"/>
      <c r="N37" s="79">
        <v>2110</v>
      </c>
      <c r="O37" s="276">
        <v>2430</v>
      </c>
      <c r="P37" s="281">
        <v>1950</v>
      </c>
      <c r="Q37" s="575">
        <v>2243</v>
      </c>
      <c r="R37" s="520">
        <v>2064</v>
      </c>
      <c r="S37" s="234">
        <f t="shared" si="62"/>
        <v>2064</v>
      </c>
      <c r="T37" s="520">
        <v>1935</v>
      </c>
      <c r="U37" s="234">
        <f t="shared" si="63"/>
        <v>1935</v>
      </c>
      <c r="V37" s="520">
        <v>1850</v>
      </c>
      <c r="W37" s="255">
        <f t="shared" si="64"/>
        <v>1850</v>
      </c>
      <c r="X37" s="632"/>
      <c r="Y37" s="630"/>
      <c r="Z37" s="630"/>
      <c r="AA37" s="631"/>
      <c r="AB37" s="337" t="s">
        <v>402</v>
      </c>
    </row>
    <row r="38" spans="1:28" ht="12.6" customHeight="1" x14ac:dyDescent="0.2">
      <c r="A38" s="17"/>
      <c r="B38" s="771" t="s">
        <v>405</v>
      </c>
      <c r="C38" s="648"/>
      <c r="D38" s="648"/>
      <c r="E38" s="648"/>
      <c r="F38" s="256">
        <v>786</v>
      </c>
      <c r="G38" s="275">
        <f t="shared" ref="G38" si="80">+F38*$X$1</f>
        <v>786</v>
      </c>
      <c r="H38" s="993" t="s">
        <v>36</v>
      </c>
      <c r="I38" s="993"/>
      <c r="J38" s="994"/>
      <c r="K38" s="995"/>
      <c r="L38" s="250"/>
      <c r="M38" s="301"/>
      <c r="N38" s="83">
        <v>2390</v>
      </c>
      <c r="O38" s="275">
        <f t="shared" ref="O38:O39" si="81">+N38*$X$1</f>
        <v>2390</v>
      </c>
      <c r="P38" s="252">
        <v>2204</v>
      </c>
      <c r="Q38" s="574">
        <f t="shared" si="62"/>
        <v>2204</v>
      </c>
      <c r="R38" s="528">
        <v>2032</v>
      </c>
      <c r="S38" s="269">
        <f t="shared" si="62"/>
        <v>2032</v>
      </c>
      <c r="T38" s="528">
        <v>1921</v>
      </c>
      <c r="U38" s="269">
        <f t="shared" si="63"/>
        <v>1921</v>
      </c>
      <c r="V38" s="528">
        <v>1808</v>
      </c>
      <c r="W38" s="256">
        <f t="shared" si="64"/>
        <v>1808</v>
      </c>
      <c r="X38" s="632"/>
      <c r="Y38" s="630"/>
      <c r="Z38" s="630"/>
      <c r="AA38" s="631"/>
      <c r="AB38" s="337" t="s">
        <v>407</v>
      </c>
    </row>
    <row r="39" spans="1:28" ht="12.6" customHeight="1" x14ac:dyDescent="0.2">
      <c r="A39" s="17"/>
      <c r="B39" s="772" t="s">
        <v>406</v>
      </c>
      <c r="C39" s="655"/>
      <c r="D39" s="655"/>
      <c r="E39" s="655"/>
      <c r="F39" s="255">
        <v>786</v>
      </c>
      <c r="G39" s="276">
        <f t="shared" ref="G39" si="82">+F39*$X$1</f>
        <v>786</v>
      </c>
      <c r="H39" s="1016" t="s">
        <v>36</v>
      </c>
      <c r="I39" s="1016"/>
      <c r="J39" s="1017"/>
      <c r="K39" s="1018"/>
      <c r="L39" s="251"/>
      <c r="M39" s="300"/>
      <c r="N39" s="79">
        <v>2035</v>
      </c>
      <c r="O39" s="276">
        <f t="shared" si="81"/>
        <v>2035</v>
      </c>
      <c r="P39" s="281">
        <v>1867</v>
      </c>
      <c r="Q39" s="575">
        <f t="shared" ref="Q39" si="83">+P39*$X$1</f>
        <v>1867</v>
      </c>
      <c r="R39" s="520">
        <v>1711</v>
      </c>
      <c r="S39" s="234">
        <f t="shared" ref="S39" si="84">+R39*$X$1</f>
        <v>1711</v>
      </c>
      <c r="T39" s="520">
        <v>1594</v>
      </c>
      <c r="U39" s="234">
        <f t="shared" ref="U39" si="85">+T39*$X$1</f>
        <v>1594</v>
      </c>
      <c r="V39" s="520">
        <v>1515</v>
      </c>
      <c r="W39" s="255">
        <f t="shared" ref="W39" si="86">+V39*$X$1</f>
        <v>1515</v>
      </c>
      <c r="X39" s="632"/>
      <c r="Y39" s="630"/>
      <c r="Z39" s="630"/>
      <c r="AA39" s="631"/>
      <c r="AB39" s="337" t="s">
        <v>408</v>
      </c>
    </row>
    <row r="40" spans="1:28" ht="12.6" customHeight="1" x14ac:dyDescent="0.2">
      <c r="A40" s="17"/>
      <c r="B40" s="771" t="s">
        <v>50</v>
      </c>
      <c r="C40" s="648"/>
      <c r="D40" s="648"/>
      <c r="E40" s="648"/>
      <c r="F40" s="256">
        <v>1710</v>
      </c>
      <c r="G40" s="275">
        <f t="shared" ref="G40:G48" si="87">+F40*$X$1</f>
        <v>1710</v>
      </c>
      <c r="H40" s="1019" t="s">
        <v>51</v>
      </c>
      <c r="I40" s="1019"/>
      <c r="J40" s="1020"/>
      <c r="K40" s="1021"/>
      <c r="L40" s="250"/>
      <c r="M40" s="301"/>
      <c r="N40" s="83">
        <v>3030</v>
      </c>
      <c r="O40" s="275">
        <f t="shared" si="61"/>
        <v>3030</v>
      </c>
      <c r="P40" s="252">
        <v>2808</v>
      </c>
      <c r="Q40" s="574">
        <f t="shared" si="62"/>
        <v>2808</v>
      </c>
      <c r="R40" s="528">
        <v>2582</v>
      </c>
      <c r="S40" s="269">
        <f t="shared" si="62"/>
        <v>2582</v>
      </c>
      <c r="T40" s="528">
        <v>2406</v>
      </c>
      <c r="U40" s="269">
        <f t="shared" si="63"/>
        <v>2406</v>
      </c>
      <c r="V40" s="528">
        <v>2305</v>
      </c>
      <c r="W40" s="256">
        <f t="shared" si="64"/>
        <v>2305</v>
      </c>
      <c r="X40" s="632"/>
      <c r="Y40" s="630"/>
      <c r="Z40" s="630"/>
      <c r="AA40" s="631"/>
      <c r="AB40" s="338" t="s">
        <v>52</v>
      </c>
    </row>
    <row r="41" spans="1:28" ht="12.6" customHeight="1" x14ac:dyDescent="0.2">
      <c r="A41" s="17"/>
      <c r="B41" s="772" t="s">
        <v>53</v>
      </c>
      <c r="C41" s="655"/>
      <c r="D41" s="655"/>
      <c r="E41" s="655"/>
      <c r="F41" s="255">
        <v>1710</v>
      </c>
      <c r="G41" s="276">
        <f t="shared" si="87"/>
        <v>1710</v>
      </c>
      <c r="H41" s="1022" t="s">
        <v>51</v>
      </c>
      <c r="I41" s="1022"/>
      <c r="J41" s="1023"/>
      <c r="K41" s="1024"/>
      <c r="L41" s="251"/>
      <c r="M41" s="300"/>
      <c r="N41" s="79">
        <v>3030</v>
      </c>
      <c r="O41" s="276">
        <f t="shared" ref="O41:O42" si="88">+N41*$X$1</f>
        <v>3030</v>
      </c>
      <c r="P41" s="281">
        <v>2808</v>
      </c>
      <c r="Q41" s="575">
        <f t="shared" ref="Q41:Q42" si="89">+P41*$X$1</f>
        <v>2808</v>
      </c>
      <c r="R41" s="520">
        <v>2582</v>
      </c>
      <c r="S41" s="234">
        <f t="shared" ref="S41:S42" si="90">+R41*$X$1</f>
        <v>2582</v>
      </c>
      <c r="T41" s="520">
        <v>2406</v>
      </c>
      <c r="U41" s="234">
        <f t="shared" ref="U41:U42" si="91">+T41*$X$1</f>
        <v>2406</v>
      </c>
      <c r="V41" s="520">
        <v>2305</v>
      </c>
      <c r="W41" s="255">
        <f t="shared" ref="W41:W42" si="92">+V41*$X$1</f>
        <v>2305</v>
      </c>
      <c r="X41" s="632"/>
      <c r="Y41" s="630"/>
      <c r="Z41" s="630"/>
      <c r="AA41" s="631"/>
      <c r="AB41" s="338" t="s">
        <v>54</v>
      </c>
    </row>
    <row r="42" spans="1:28" ht="12.6" customHeight="1" x14ac:dyDescent="0.2">
      <c r="A42" s="17"/>
      <c r="B42" s="771" t="s">
        <v>55</v>
      </c>
      <c r="C42" s="648"/>
      <c r="D42" s="648"/>
      <c r="E42" s="648"/>
      <c r="F42" s="256">
        <v>1710</v>
      </c>
      <c r="G42" s="275">
        <f t="shared" si="87"/>
        <v>1710</v>
      </c>
      <c r="H42" s="993" t="s">
        <v>51</v>
      </c>
      <c r="I42" s="993"/>
      <c r="J42" s="994"/>
      <c r="K42" s="995"/>
      <c r="L42" s="250"/>
      <c r="M42" s="301"/>
      <c r="N42" s="83">
        <v>3030</v>
      </c>
      <c r="O42" s="275">
        <f t="shared" si="88"/>
        <v>3030</v>
      </c>
      <c r="P42" s="252">
        <v>2808</v>
      </c>
      <c r="Q42" s="574">
        <f t="shared" si="89"/>
        <v>2808</v>
      </c>
      <c r="R42" s="528">
        <v>2582</v>
      </c>
      <c r="S42" s="269">
        <f t="shared" si="90"/>
        <v>2582</v>
      </c>
      <c r="T42" s="528">
        <v>2406</v>
      </c>
      <c r="U42" s="269">
        <f t="shared" si="91"/>
        <v>2406</v>
      </c>
      <c r="V42" s="528">
        <v>2305</v>
      </c>
      <c r="W42" s="256">
        <f t="shared" si="92"/>
        <v>2305</v>
      </c>
      <c r="X42" s="632"/>
      <c r="Y42" s="630"/>
      <c r="Z42" s="630"/>
      <c r="AA42" s="631"/>
      <c r="AB42" s="338" t="s">
        <v>56</v>
      </c>
    </row>
    <row r="43" spans="1:28" ht="12.6" customHeight="1" x14ac:dyDescent="0.2">
      <c r="A43" s="17"/>
      <c r="B43" s="772" t="s">
        <v>490</v>
      </c>
      <c r="C43" s="655"/>
      <c r="D43" s="655"/>
      <c r="E43" s="655"/>
      <c r="F43" s="255">
        <v>1840</v>
      </c>
      <c r="G43" s="276">
        <f t="shared" ref="G43" si="93">+F43*$X$1</f>
        <v>1840</v>
      </c>
      <c r="H43" s="996" t="s">
        <v>51</v>
      </c>
      <c r="I43" s="996"/>
      <c r="J43" s="997"/>
      <c r="K43" s="998"/>
      <c r="L43" s="251"/>
      <c r="M43" s="300"/>
      <c r="N43" s="79">
        <v>3205</v>
      </c>
      <c r="O43" s="276">
        <f t="shared" ref="O43" si="94">+N43*$X$1</f>
        <v>3205</v>
      </c>
      <c r="P43" s="281">
        <v>2976</v>
      </c>
      <c r="Q43" s="575">
        <f t="shared" ref="Q43" si="95">+P43*$X$1</f>
        <v>2976</v>
      </c>
      <c r="R43" s="520">
        <v>2724</v>
      </c>
      <c r="S43" s="234">
        <f t="shared" ref="S43" si="96">+R43*$X$1</f>
        <v>2724</v>
      </c>
      <c r="T43" s="520">
        <v>2558</v>
      </c>
      <c r="U43" s="234">
        <f t="shared" ref="U43" si="97">+T43*$X$1</f>
        <v>2558</v>
      </c>
      <c r="V43" s="520">
        <v>2437</v>
      </c>
      <c r="W43" s="255">
        <f t="shared" ref="W43" si="98">+V43*$X$1</f>
        <v>2437</v>
      </c>
      <c r="X43" s="632"/>
      <c r="Y43" s="630"/>
      <c r="Z43" s="630"/>
      <c r="AA43" s="631"/>
      <c r="AB43" s="339" t="s">
        <v>499</v>
      </c>
    </row>
    <row r="44" spans="1:28" ht="12.6" customHeight="1" x14ac:dyDescent="0.2">
      <c r="A44" s="17"/>
      <c r="B44" s="771" t="s">
        <v>491</v>
      </c>
      <c r="C44" s="648"/>
      <c r="D44" s="648"/>
      <c r="E44" s="648"/>
      <c r="F44" s="256">
        <v>1840</v>
      </c>
      <c r="G44" s="275">
        <f t="shared" ref="G44" si="99">+F44*$X$1</f>
        <v>1840</v>
      </c>
      <c r="H44" s="1019" t="s">
        <v>51</v>
      </c>
      <c r="I44" s="1019"/>
      <c r="J44" s="1020"/>
      <c r="K44" s="1021"/>
      <c r="L44" s="250"/>
      <c r="M44" s="301"/>
      <c r="N44" s="83">
        <v>3205</v>
      </c>
      <c r="O44" s="275">
        <f t="shared" ref="O44:O45" si="100">+N44*$X$1</f>
        <v>3205</v>
      </c>
      <c r="P44" s="252">
        <v>2976</v>
      </c>
      <c r="Q44" s="574">
        <f t="shared" ref="Q44:Q45" si="101">+P44*$X$1</f>
        <v>2976</v>
      </c>
      <c r="R44" s="528">
        <v>2724</v>
      </c>
      <c r="S44" s="269">
        <f t="shared" ref="S44:S45" si="102">+R44*$X$1</f>
        <v>2724</v>
      </c>
      <c r="T44" s="528">
        <v>2558</v>
      </c>
      <c r="U44" s="269">
        <f t="shared" ref="U44:U45" si="103">+T44*$X$1</f>
        <v>2558</v>
      </c>
      <c r="V44" s="528">
        <v>2437</v>
      </c>
      <c r="W44" s="256">
        <f t="shared" ref="W44:W45" si="104">+V44*$X$1</f>
        <v>2437</v>
      </c>
      <c r="X44" s="632"/>
      <c r="Y44" s="630"/>
      <c r="Z44" s="630"/>
      <c r="AA44" s="631"/>
      <c r="AB44" s="339" t="s">
        <v>500</v>
      </c>
    </row>
    <row r="45" spans="1:28" ht="12.6" customHeight="1" x14ac:dyDescent="0.2">
      <c r="A45" s="17"/>
      <c r="B45" s="772" t="s">
        <v>492</v>
      </c>
      <c r="C45" s="655"/>
      <c r="D45" s="655"/>
      <c r="E45" s="655"/>
      <c r="F45" s="255">
        <v>1840</v>
      </c>
      <c r="G45" s="276">
        <f t="shared" ref="G45" si="105">+F45*$X$1</f>
        <v>1840</v>
      </c>
      <c r="H45" s="996" t="s">
        <v>51</v>
      </c>
      <c r="I45" s="996"/>
      <c r="J45" s="997"/>
      <c r="K45" s="998"/>
      <c r="L45" s="251"/>
      <c r="M45" s="300"/>
      <c r="N45" s="79">
        <v>3205</v>
      </c>
      <c r="O45" s="276">
        <f t="shared" si="100"/>
        <v>3205</v>
      </c>
      <c r="P45" s="281">
        <v>2976</v>
      </c>
      <c r="Q45" s="575">
        <f t="shared" si="101"/>
        <v>2976</v>
      </c>
      <c r="R45" s="520">
        <v>2724</v>
      </c>
      <c r="S45" s="234">
        <f t="shared" si="102"/>
        <v>2724</v>
      </c>
      <c r="T45" s="520">
        <v>2558</v>
      </c>
      <c r="U45" s="234">
        <f t="shared" si="103"/>
        <v>2558</v>
      </c>
      <c r="V45" s="520">
        <v>2437</v>
      </c>
      <c r="W45" s="255">
        <f t="shared" si="104"/>
        <v>2437</v>
      </c>
      <c r="X45" s="632"/>
      <c r="Y45" s="630"/>
      <c r="Z45" s="630"/>
      <c r="AA45" s="631"/>
      <c r="AB45" s="339" t="s">
        <v>501</v>
      </c>
    </row>
    <row r="46" spans="1:28" ht="12.6" customHeight="1" x14ac:dyDescent="0.2">
      <c r="A46" s="17"/>
      <c r="B46" s="771" t="s">
        <v>57</v>
      </c>
      <c r="C46" s="648"/>
      <c r="D46" s="648"/>
      <c r="E46" s="648"/>
      <c r="F46" s="256">
        <v>2310</v>
      </c>
      <c r="G46" s="275">
        <f t="shared" si="87"/>
        <v>2310</v>
      </c>
      <c r="H46" s="993" t="s">
        <v>51</v>
      </c>
      <c r="I46" s="993"/>
      <c r="J46" s="994"/>
      <c r="K46" s="995"/>
      <c r="L46" s="250"/>
      <c r="M46" s="301"/>
      <c r="N46" s="82">
        <v>4215</v>
      </c>
      <c r="O46" s="298">
        <f t="shared" ref="O46" si="106">+N46*$X$1</f>
        <v>4215</v>
      </c>
      <c r="P46" s="252">
        <v>3903</v>
      </c>
      <c r="Q46" s="282">
        <f t="shared" si="62"/>
        <v>3903</v>
      </c>
      <c r="R46" s="528">
        <v>3592</v>
      </c>
      <c r="S46" s="256">
        <f t="shared" si="62"/>
        <v>3592</v>
      </c>
      <c r="T46" s="528">
        <v>3342</v>
      </c>
      <c r="U46" s="256">
        <f t="shared" si="63"/>
        <v>3342</v>
      </c>
      <c r="V46" s="528">
        <v>3220</v>
      </c>
      <c r="W46" s="256">
        <f t="shared" si="64"/>
        <v>3220</v>
      </c>
      <c r="X46" s="632"/>
      <c r="Y46" s="630"/>
      <c r="Z46" s="630"/>
      <c r="AA46" s="631"/>
      <c r="AB46" s="339" t="s">
        <v>58</v>
      </c>
    </row>
    <row r="47" spans="1:28" ht="12.6" customHeight="1" x14ac:dyDescent="0.2">
      <c r="A47" s="17"/>
      <c r="B47" s="772" t="s">
        <v>59</v>
      </c>
      <c r="C47" s="655"/>
      <c r="D47" s="655"/>
      <c r="E47" s="655"/>
      <c r="F47" s="255">
        <v>2310</v>
      </c>
      <c r="G47" s="276">
        <f t="shared" si="87"/>
        <v>2310</v>
      </c>
      <c r="H47" s="996" t="s">
        <v>51</v>
      </c>
      <c r="I47" s="996"/>
      <c r="J47" s="997"/>
      <c r="K47" s="998"/>
      <c r="L47" s="251"/>
      <c r="M47" s="300"/>
      <c r="N47" s="68">
        <v>4215</v>
      </c>
      <c r="O47" s="271">
        <f t="shared" ref="O47:O48" si="107">+N47*$X$1</f>
        <v>4215</v>
      </c>
      <c r="P47" s="281">
        <v>3903</v>
      </c>
      <c r="Q47" s="283">
        <f t="shared" ref="Q47:Q48" si="108">+P47*$X$1</f>
        <v>3903</v>
      </c>
      <c r="R47" s="520">
        <v>3592</v>
      </c>
      <c r="S47" s="255">
        <f t="shared" ref="S47:S48" si="109">+R47*$X$1</f>
        <v>3592</v>
      </c>
      <c r="T47" s="520">
        <v>3342</v>
      </c>
      <c r="U47" s="255">
        <f t="shared" ref="U47:U48" si="110">+T47*$X$1</f>
        <v>3342</v>
      </c>
      <c r="V47" s="520">
        <v>3220</v>
      </c>
      <c r="W47" s="255">
        <f t="shared" ref="W47:W48" si="111">+V47*$X$1</f>
        <v>3220</v>
      </c>
      <c r="X47" s="632"/>
      <c r="Y47" s="630"/>
      <c r="Z47" s="630"/>
      <c r="AA47" s="631"/>
      <c r="AB47" s="339" t="s">
        <v>60</v>
      </c>
    </row>
    <row r="48" spans="1:28" ht="12.6" customHeight="1" x14ac:dyDescent="0.2">
      <c r="A48" s="17"/>
      <c r="B48" s="771" t="s">
        <v>61</v>
      </c>
      <c r="C48" s="648"/>
      <c r="D48" s="648"/>
      <c r="E48" s="648"/>
      <c r="F48" s="256">
        <v>2310</v>
      </c>
      <c r="G48" s="423">
        <f t="shared" si="87"/>
        <v>2310</v>
      </c>
      <c r="H48" s="993" t="s">
        <v>51</v>
      </c>
      <c r="I48" s="993"/>
      <c r="J48" s="994"/>
      <c r="K48" s="1008"/>
      <c r="L48" s="250"/>
      <c r="M48" s="301"/>
      <c r="N48" s="82">
        <v>4215</v>
      </c>
      <c r="O48" s="298">
        <f t="shared" si="107"/>
        <v>4215</v>
      </c>
      <c r="P48" s="252">
        <v>3903</v>
      </c>
      <c r="Q48" s="282">
        <f t="shared" si="108"/>
        <v>3903</v>
      </c>
      <c r="R48" s="528">
        <v>3592</v>
      </c>
      <c r="S48" s="256">
        <f t="shared" si="109"/>
        <v>3592</v>
      </c>
      <c r="T48" s="528">
        <v>3342</v>
      </c>
      <c r="U48" s="256">
        <f t="shared" si="110"/>
        <v>3342</v>
      </c>
      <c r="V48" s="528">
        <v>3220</v>
      </c>
      <c r="W48" s="256">
        <f t="shared" si="111"/>
        <v>3220</v>
      </c>
      <c r="X48" s="632"/>
      <c r="Y48" s="630"/>
      <c r="Z48" s="630"/>
      <c r="AA48" s="631"/>
      <c r="AB48" s="339" t="s">
        <v>62</v>
      </c>
    </row>
    <row r="49" spans="1:35" ht="12.6" customHeight="1" x14ac:dyDescent="0.2">
      <c r="A49" s="17"/>
      <c r="B49" s="772" t="s">
        <v>382</v>
      </c>
      <c r="C49" s="655"/>
      <c r="D49" s="655"/>
      <c r="E49" s="1098"/>
      <c r="F49" s="569"/>
      <c r="G49" s="551"/>
      <c r="H49" s="551"/>
      <c r="I49" s="551"/>
      <c r="J49" s="251"/>
      <c r="K49" s="251"/>
      <c r="L49" s="238"/>
      <c r="M49" s="255"/>
      <c r="N49" s="552"/>
      <c r="O49" s="305"/>
      <c r="P49" s="251"/>
      <c r="Q49" s="283"/>
      <c r="R49" s="102"/>
      <c r="S49" s="523"/>
      <c r="T49" s="102"/>
      <c r="U49" s="523"/>
      <c r="V49" s="102"/>
      <c r="W49" s="255"/>
      <c r="X49" s="119"/>
      <c r="Y49" s="119"/>
      <c r="Z49" s="119"/>
      <c r="AA49" s="119"/>
      <c r="AB49" s="33">
        <v>48</v>
      </c>
      <c r="AC49" s="340" t="s">
        <v>63</v>
      </c>
      <c r="AD49" s="340" t="s">
        <v>64</v>
      </c>
      <c r="AE49" s="340" t="s">
        <v>65</v>
      </c>
    </row>
    <row r="50" spans="1:35" ht="12.6" customHeight="1" x14ac:dyDescent="0.2">
      <c r="A50" s="17"/>
      <c r="B50" s="1012" t="s">
        <v>66</v>
      </c>
      <c r="C50" s="1013"/>
      <c r="D50" s="1013"/>
      <c r="E50" s="1013"/>
      <c r="F50" s="568"/>
      <c r="G50" s="506"/>
      <c r="H50" s="506"/>
      <c r="I50" s="506"/>
      <c r="J50" s="250"/>
      <c r="K50" s="250"/>
      <c r="L50" s="265"/>
      <c r="M50" s="528"/>
      <c r="N50" s="554"/>
      <c r="O50" s="528"/>
      <c r="P50" s="383"/>
      <c r="Q50" s="528"/>
      <c r="R50" s="528"/>
      <c r="S50" s="528"/>
      <c r="T50" s="528"/>
      <c r="U50" s="528"/>
      <c r="V50" s="82"/>
      <c r="W50" s="82"/>
      <c r="X50" s="152"/>
      <c r="Y50" s="152"/>
      <c r="Z50" s="152"/>
      <c r="AA50" s="152"/>
      <c r="AB50" s="178">
        <v>54</v>
      </c>
    </row>
    <row r="51" spans="1:35" ht="12.6" customHeight="1" x14ac:dyDescent="0.2">
      <c r="A51" s="17"/>
      <c r="B51" s="772" t="s">
        <v>67</v>
      </c>
      <c r="C51" s="655"/>
      <c r="D51" s="655"/>
      <c r="E51" s="655"/>
      <c r="F51" s="255">
        <v>1115</v>
      </c>
      <c r="G51" s="234">
        <f t="shared" ref="G51:G54" si="112">+F51*$X$1</f>
        <v>1115</v>
      </c>
      <c r="H51" s="111"/>
      <c r="I51" s="255"/>
      <c r="J51" s="520">
        <f>F51+430</f>
        <v>1545</v>
      </c>
      <c r="K51" s="255">
        <f t="shared" ref="K51" si="113">+J51*$X$1</f>
        <v>1545</v>
      </c>
      <c r="L51" s="520">
        <f>F51+350</f>
        <v>1465</v>
      </c>
      <c r="M51" s="255">
        <f t="shared" ref="M51" si="114">+L51*$X$1</f>
        <v>1465</v>
      </c>
      <c r="N51" s="93">
        <f>F51+260</f>
        <v>1375</v>
      </c>
      <c r="O51" s="234">
        <f t="shared" ref="O51" si="115">+N51*$X$1</f>
        <v>1375</v>
      </c>
      <c r="P51" s="93">
        <f>F51+230</f>
        <v>1345</v>
      </c>
      <c r="Q51" s="255">
        <f t="shared" ref="Q51" si="116">+P51*$X$1</f>
        <v>1345</v>
      </c>
      <c r="R51" s="93">
        <f>F51+210</f>
        <v>1325</v>
      </c>
      <c r="S51" s="234">
        <f t="shared" ref="S51" si="117">+R51*$X$1</f>
        <v>1325</v>
      </c>
      <c r="T51" s="93">
        <f>F51+190</f>
        <v>1305</v>
      </c>
      <c r="U51" s="234">
        <f t="shared" ref="U51" si="118">+T51*$X$1</f>
        <v>1305</v>
      </c>
      <c r="V51" s="93">
        <f>F51+170</f>
        <v>1285</v>
      </c>
      <c r="W51" s="255">
        <f t="shared" ref="W51" si="119">+V51*$X$1</f>
        <v>1285</v>
      </c>
      <c r="X51" s="118"/>
      <c r="Y51" s="119"/>
      <c r="Z51" s="119"/>
      <c r="AA51" s="119"/>
      <c r="AB51" s="337">
        <v>60</v>
      </c>
    </row>
    <row r="52" spans="1:35" ht="12.6" customHeight="1" x14ac:dyDescent="0.2">
      <c r="A52" s="17"/>
      <c r="B52" s="771" t="s">
        <v>470</v>
      </c>
      <c r="C52" s="648"/>
      <c r="D52" s="648"/>
      <c r="E52" s="648"/>
      <c r="F52" s="256">
        <v>1330</v>
      </c>
      <c r="G52" s="269">
        <f t="shared" si="112"/>
        <v>1330</v>
      </c>
      <c r="H52" s="112"/>
      <c r="I52" s="256"/>
      <c r="J52" s="528">
        <f>F52+430</f>
        <v>1760</v>
      </c>
      <c r="K52" s="256">
        <f t="shared" ref="K52" si="120">+J52*$X$1</f>
        <v>1760</v>
      </c>
      <c r="L52" s="528">
        <f>F52+350</f>
        <v>1680</v>
      </c>
      <c r="M52" s="256">
        <f t="shared" ref="M52" si="121">+L52*$X$1</f>
        <v>1680</v>
      </c>
      <c r="N52" s="92">
        <f>F52+260</f>
        <v>1590</v>
      </c>
      <c r="O52" s="269">
        <f t="shared" ref="O52" si="122">+N52*$X$1</f>
        <v>1590</v>
      </c>
      <c r="P52" s="92">
        <f>F52+230</f>
        <v>1560</v>
      </c>
      <c r="Q52" s="256">
        <f t="shared" ref="Q52" si="123">+P52*$X$1</f>
        <v>1560</v>
      </c>
      <c r="R52" s="92">
        <f>F52+210</f>
        <v>1540</v>
      </c>
      <c r="S52" s="269">
        <f t="shared" ref="S52" si="124">+R52*$X$1</f>
        <v>1540</v>
      </c>
      <c r="T52" s="92">
        <f>F52+190</f>
        <v>1520</v>
      </c>
      <c r="U52" s="269">
        <f t="shared" ref="U52" si="125">+T52*$X$1</f>
        <v>1520</v>
      </c>
      <c r="V52" s="92">
        <f>F52+170</f>
        <v>1500</v>
      </c>
      <c r="W52" s="256">
        <f t="shared" ref="W52" si="126">+V52*$X$1</f>
        <v>1500</v>
      </c>
      <c r="X52" s="118"/>
      <c r="Y52" s="119"/>
      <c r="Z52" s="119"/>
      <c r="AA52" s="119"/>
      <c r="AB52" s="337">
        <v>61</v>
      </c>
    </row>
    <row r="53" spans="1:35" ht="12.6" customHeight="1" x14ac:dyDescent="0.2">
      <c r="A53" s="17"/>
      <c r="B53" s="1115" t="s">
        <v>68</v>
      </c>
      <c r="C53" s="1116"/>
      <c r="D53" s="1116"/>
      <c r="E53" s="1116"/>
      <c r="F53" s="257">
        <v>1172</v>
      </c>
      <c r="G53" s="523">
        <f t="shared" si="112"/>
        <v>1172</v>
      </c>
      <c r="H53" s="553"/>
      <c r="I53" s="255"/>
      <c r="J53" s="520">
        <f>F53+430</f>
        <v>1602</v>
      </c>
      <c r="K53" s="255">
        <f t="shared" ref="K53:K54" si="127">+J53*$X$1</f>
        <v>1602</v>
      </c>
      <c r="L53" s="520">
        <f>F53+350</f>
        <v>1522</v>
      </c>
      <c r="M53" s="255">
        <f t="shared" ref="M53:M54" si="128">+L53*$X$1</f>
        <v>1522</v>
      </c>
      <c r="N53" s="93">
        <f>F53+260</f>
        <v>1432</v>
      </c>
      <c r="O53" s="234">
        <f t="shared" ref="O53:O54" si="129">+N53*$X$1</f>
        <v>1432</v>
      </c>
      <c r="P53" s="93">
        <f>F53+230</f>
        <v>1402</v>
      </c>
      <c r="Q53" s="255">
        <f t="shared" ref="Q53:Q54" si="130">+P53*$X$1</f>
        <v>1402</v>
      </c>
      <c r="R53" s="93">
        <f>F53+210</f>
        <v>1382</v>
      </c>
      <c r="S53" s="234">
        <f t="shared" ref="S53:S54" si="131">+R53*$X$1</f>
        <v>1382</v>
      </c>
      <c r="T53" s="93">
        <f>F53+190</f>
        <v>1362</v>
      </c>
      <c r="U53" s="234">
        <f t="shared" ref="U53:U54" si="132">+T53*$X$1</f>
        <v>1362</v>
      </c>
      <c r="V53" s="93">
        <f>F53+170</f>
        <v>1342</v>
      </c>
      <c r="W53" s="255">
        <f t="shared" ref="W53:W54" si="133">+V53*$X$1</f>
        <v>1342</v>
      </c>
      <c r="X53" s="118"/>
      <c r="Y53" s="119"/>
      <c r="Z53" s="119"/>
      <c r="AA53" s="119"/>
      <c r="AB53" s="337">
        <v>62</v>
      </c>
    </row>
    <row r="54" spans="1:35" ht="12.6" customHeight="1" x14ac:dyDescent="0.2">
      <c r="A54" s="17"/>
      <c r="B54" s="771" t="s">
        <v>69</v>
      </c>
      <c r="C54" s="688"/>
      <c r="D54" s="688"/>
      <c r="E54" s="688"/>
      <c r="F54" s="256">
        <v>1387</v>
      </c>
      <c r="G54" s="256">
        <f t="shared" si="112"/>
        <v>1387</v>
      </c>
      <c r="H54" s="112"/>
      <c r="I54" s="256"/>
      <c r="J54" s="528">
        <f>F54+430</f>
        <v>1817</v>
      </c>
      <c r="K54" s="256">
        <f t="shared" si="127"/>
        <v>1817</v>
      </c>
      <c r="L54" s="528">
        <f>F54+350</f>
        <v>1737</v>
      </c>
      <c r="M54" s="256">
        <f t="shared" si="128"/>
        <v>1737</v>
      </c>
      <c r="N54" s="92">
        <f>F54+260</f>
        <v>1647</v>
      </c>
      <c r="O54" s="269">
        <f t="shared" si="129"/>
        <v>1647</v>
      </c>
      <c r="P54" s="92">
        <f>F54+230</f>
        <v>1617</v>
      </c>
      <c r="Q54" s="256">
        <f t="shared" si="130"/>
        <v>1617</v>
      </c>
      <c r="R54" s="92">
        <f>F54+210</f>
        <v>1597</v>
      </c>
      <c r="S54" s="269">
        <f t="shared" si="131"/>
        <v>1597</v>
      </c>
      <c r="T54" s="92">
        <f>F54+190</f>
        <v>1577</v>
      </c>
      <c r="U54" s="269">
        <f t="shared" si="132"/>
        <v>1577</v>
      </c>
      <c r="V54" s="92">
        <f>F54+170</f>
        <v>1557</v>
      </c>
      <c r="W54" s="256">
        <f t="shared" si="133"/>
        <v>1557</v>
      </c>
      <c r="X54" s="118"/>
      <c r="Y54" s="119"/>
      <c r="Z54" s="119"/>
      <c r="AA54" s="119"/>
      <c r="AB54" s="337">
        <v>63</v>
      </c>
      <c r="AD54" s="4"/>
      <c r="AE54" s="4"/>
      <c r="AF54" s="4"/>
      <c r="AG54" s="4"/>
      <c r="AH54" s="4"/>
      <c r="AI54" s="4"/>
    </row>
    <row r="55" spans="1:35" ht="12.6" customHeight="1" x14ac:dyDescent="0.2">
      <c r="A55" s="17"/>
      <c r="B55" s="772" t="s">
        <v>466</v>
      </c>
      <c r="C55" s="655"/>
      <c r="D55" s="655"/>
      <c r="E55" s="655"/>
      <c r="F55" s="255">
        <v>1460</v>
      </c>
      <c r="G55" s="255">
        <f t="shared" ref="G55" si="134">+F55*$X$1</f>
        <v>1460</v>
      </c>
      <c r="H55" s="111"/>
      <c r="I55" s="255"/>
      <c r="J55" s="520">
        <f>F55+520</f>
        <v>1980</v>
      </c>
      <c r="K55" s="255">
        <f t="shared" ref="K55" si="135">+J55*$X$1</f>
        <v>1980</v>
      </c>
      <c r="L55" s="520">
        <f>F55+420</f>
        <v>1880</v>
      </c>
      <c r="M55" s="255">
        <f t="shared" ref="M55" si="136">+L55*$X$1</f>
        <v>1880</v>
      </c>
      <c r="N55" s="93">
        <f>F55+320</f>
        <v>1780</v>
      </c>
      <c r="O55" s="234">
        <f t="shared" ref="O55:O56" si="137">+N55*$X$1</f>
        <v>1780</v>
      </c>
      <c r="P55" s="93">
        <f>F55+280</f>
        <v>1740</v>
      </c>
      <c r="Q55" s="255">
        <f t="shared" ref="Q55:Q56" si="138">+P55*$X$1</f>
        <v>1740</v>
      </c>
      <c r="R55" s="93">
        <f>F55+250</f>
        <v>1710</v>
      </c>
      <c r="S55" s="234">
        <f t="shared" ref="S55:S56" si="139">+R55*$X$1</f>
        <v>1710</v>
      </c>
      <c r="T55" s="93">
        <f>F55+230</f>
        <v>1690</v>
      </c>
      <c r="U55" s="234">
        <f t="shared" ref="U55:U56" si="140">+T55*$X$1</f>
        <v>1690</v>
      </c>
      <c r="V55" s="93">
        <f>F55+210</f>
        <v>1670</v>
      </c>
      <c r="W55" s="255">
        <f t="shared" ref="W55:W56" si="141">+V55*$X$1</f>
        <v>1670</v>
      </c>
      <c r="X55" s="118"/>
      <c r="Y55" s="119"/>
      <c r="Z55" s="119"/>
      <c r="AA55" s="119"/>
      <c r="AB55" s="337">
        <v>64</v>
      </c>
    </row>
    <row r="56" spans="1:35" ht="12.6" customHeight="1" x14ac:dyDescent="0.2">
      <c r="A56" s="17"/>
      <c r="B56" s="931" t="s">
        <v>978</v>
      </c>
      <c r="C56" s="932"/>
      <c r="D56" s="932"/>
      <c r="E56" s="932"/>
      <c r="F56" s="446">
        <v>390</v>
      </c>
      <c r="G56" s="446">
        <f t="shared" ref="G56:G69" si="142">+F56*$X$1</f>
        <v>390</v>
      </c>
      <c r="H56" s="448"/>
      <c r="I56" s="450"/>
      <c r="J56" s="454"/>
      <c r="K56" s="446"/>
      <c r="L56" s="617">
        <f t="shared" ref="L56:L61" si="143">F56+250</f>
        <v>640</v>
      </c>
      <c r="M56" s="447">
        <f t="shared" ref="M56" si="144">+L56*$X$1</f>
        <v>640</v>
      </c>
      <c r="N56" s="617">
        <f t="shared" ref="N56:N61" si="145">F56+200</f>
        <v>590</v>
      </c>
      <c r="O56" s="447">
        <f t="shared" si="137"/>
        <v>590</v>
      </c>
      <c r="P56" s="617">
        <f t="shared" ref="P56:P61" si="146">F56+170</f>
        <v>560</v>
      </c>
      <c r="Q56" s="447">
        <f t="shared" si="138"/>
        <v>560</v>
      </c>
      <c r="R56" s="617">
        <f t="shared" ref="R56:R61" si="147">F56+150</f>
        <v>540</v>
      </c>
      <c r="S56" s="447">
        <f t="shared" si="139"/>
        <v>540</v>
      </c>
      <c r="T56" s="617">
        <f t="shared" ref="T56:T61" si="148">F56+130</f>
        <v>520</v>
      </c>
      <c r="U56" s="447">
        <f t="shared" si="140"/>
        <v>520</v>
      </c>
      <c r="V56" s="617">
        <f t="shared" ref="V56:V61" si="149">F56+110</f>
        <v>500</v>
      </c>
      <c r="W56" s="447">
        <f t="shared" si="141"/>
        <v>500</v>
      </c>
      <c r="X56" s="119"/>
      <c r="Y56" s="119"/>
      <c r="Z56" s="119"/>
      <c r="AA56" s="119"/>
      <c r="AB56" s="337">
        <v>85</v>
      </c>
    </row>
    <row r="57" spans="1:35" ht="12.6" customHeight="1" x14ac:dyDescent="0.2">
      <c r="A57" s="17"/>
      <c r="B57" s="758" t="s">
        <v>977</v>
      </c>
      <c r="C57" s="687"/>
      <c r="D57" s="687"/>
      <c r="E57" s="687"/>
      <c r="F57" s="270">
        <v>970</v>
      </c>
      <c r="G57" s="270">
        <f t="shared" ref="G57" si="150">+F57*$X$1</f>
        <v>970</v>
      </c>
      <c r="H57" s="251"/>
      <c r="I57" s="300"/>
      <c r="J57" s="369"/>
      <c r="K57" s="270"/>
      <c r="L57" s="520">
        <f t="shared" si="143"/>
        <v>1220</v>
      </c>
      <c r="M57" s="255">
        <f t="shared" ref="M57" si="151">+L57*$X$1</f>
        <v>1220</v>
      </c>
      <c r="N57" s="520">
        <f t="shared" si="145"/>
        <v>1170</v>
      </c>
      <c r="O57" s="255">
        <f t="shared" ref="O57" si="152">+N57*$X$1</f>
        <v>1170</v>
      </c>
      <c r="P57" s="520">
        <f t="shared" si="146"/>
        <v>1140</v>
      </c>
      <c r="Q57" s="255">
        <f t="shared" ref="Q57" si="153">+P57*$X$1</f>
        <v>1140</v>
      </c>
      <c r="R57" s="520">
        <f t="shared" si="147"/>
        <v>1120</v>
      </c>
      <c r="S57" s="255">
        <f t="shared" ref="S57" si="154">+R57*$X$1</f>
        <v>1120</v>
      </c>
      <c r="T57" s="520">
        <f t="shared" si="148"/>
        <v>1100</v>
      </c>
      <c r="U57" s="255">
        <f t="shared" ref="U57" si="155">+T57*$X$1</f>
        <v>1100</v>
      </c>
      <c r="V57" s="520">
        <f t="shared" si="149"/>
        <v>1080</v>
      </c>
      <c r="W57" s="255">
        <f t="shared" ref="W57" si="156">+V57*$X$1</f>
        <v>1080</v>
      </c>
      <c r="X57" s="119"/>
      <c r="Y57" s="119"/>
      <c r="Z57" s="119"/>
      <c r="AA57" s="119"/>
      <c r="AB57" s="337">
        <v>85</v>
      </c>
    </row>
    <row r="58" spans="1:35" ht="12.6" customHeight="1" x14ac:dyDescent="0.2">
      <c r="A58" s="17"/>
      <c r="B58" s="776" t="s">
        <v>857</v>
      </c>
      <c r="C58" s="698"/>
      <c r="D58" s="698"/>
      <c r="E58" s="698"/>
      <c r="F58" s="280">
        <v>1450</v>
      </c>
      <c r="G58" s="423">
        <f t="shared" si="142"/>
        <v>1450</v>
      </c>
      <c r="H58" s="250"/>
      <c r="I58" s="301"/>
      <c r="J58" s="370"/>
      <c r="K58" s="280"/>
      <c r="L58" s="528">
        <f t="shared" si="143"/>
        <v>1700</v>
      </c>
      <c r="M58" s="256">
        <f t="shared" ref="M58:M61" si="157">+L58*$X$1</f>
        <v>1700</v>
      </c>
      <c r="N58" s="528">
        <f t="shared" si="145"/>
        <v>1650</v>
      </c>
      <c r="O58" s="256">
        <f t="shared" ref="O58:O61" si="158">+N58*$X$1</f>
        <v>1650</v>
      </c>
      <c r="P58" s="528">
        <f t="shared" si="146"/>
        <v>1620</v>
      </c>
      <c r="Q58" s="256">
        <f t="shared" ref="Q58:Q61" si="159">+P58*$X$1</f>
        <v>1620</v>
      </c>
      <c r="R58" s="528">
        <f t="shared" si="147"/>
        <v>1600</v>
      </c>
      <c r="S58" s="256">
        <f t="shared" ref="S58:S61" si="160">+R58*$X$1</f>
        <v>1600</v>
      </c>
      <c r="T58" s="528">
        <f t="shared" si="148"/>
        <v>1580</v>
      </c>
      <c r="U58" s="256">
        <f t="shared" ref="U58:U61" si="161">+T58*$X$1</f>
        <v>1580</v>
      </c>
      <c r="V58" s="528">
        <f t="shared" si="149"/>
        <v>1560</v>
      </c>
      <c r="W58" s="256">
        <f t="shared" ref="W58:W61" si="162">+V58*$X$1</f>
        <v>1560</v>
      </c>
      <c r="X58" s="119"/>
      <c r="Y58" s="119"/>
      <c r="Z58" s="119"/>
      <c r="AA58" s="119"/>
      <c r="AB58" s="339" t="s">
        <v>863</v>
      </c>
    </row>
    <row r="59" spans="1:35" ht="12.6" customHeight="1" x14ac:dyDescent="0.2">
      <c r="A59" s="17"/>
      <c r="B59" s="758" t="s">
        <v>858</v>
      </c>
      <c r="C59" s="687"/>
      <c r="D59" s="687"/>
      <c r="E59" s="687"/>
      <c r="F59" s="270">
        <v>1080</v>
      </c>
      <c r="G59" s="297">
        <f t="shared" ref="G59" si="163">+F59*$X$1</f>
        <v>1080</v>
      </c>
      <c r="H59" s="251"/>
      <c r="I59" s="300"/>
      <c r="J59" s="369"/>
      <c r="K59" s="270"/>
      <c r="L59" s="520">
        <f t="shared" si="143"/>
        <v>1330</v>
      </c>
      <c r="M59" s="255">
        <f t="shared" si="157"/>
        <v>1330</v>
      </c>
      <c r="N59" s="520">
        <f t="shared" si="145"/>
        <v>1280</v>
      </c>
      <c r="O59" s="255">
        <f t="shared" si="158"/>
        <v>1280</v>
      </c>
      <c r="P59" s="520">
        <f t="shared" si="146"/>
        <v>1250</v>
      </c>
      <c r="Q59" s="255">
        <f t="shared" si="159"/>
        <v>1250</v>
      </c>
      <c r="R59" s="520">
        <f t="shared" si="147"/>
        <v>1230</v>
      </c>
      <c r="S59" s="255">
        <f t="shared" si="160"/>
        <v>1230</v>
      </c>
      <c r="T59" s="520">
        <f t="shared" si="148"/>
        <v>1210</v>
      </c>
      <c r="U59" s="255">
        <f t="shared" si="161"/>
        <v>1210</v>
      </c>
      <c r="V59" s="520">
        <f t="shared" si="149"/>
        <v>1190</v>
      </c>
      <c r="W59" s="255">
        <f t="shared" si="162"/>
        <v>1190</v>
      </c>
      <c r="X59" s="119"/>
      <c r="Y59" s="119"/>
      <c r="Z59" s="119"/>
      <c r="AA59" s="119"/>
      <c r="AB59" s="339" t="s">
        <v>864</v>
      </c>
    </row>
    <row r="60" spans="1:35" ht="12.6" customHeight="1" x14ac:dyDescent="0.2">
      <c r="A60" s="17"/>
      <c r="B60" s="776" t="s">
        <v>859</v>
      </c>
      <c r="C60" s="698"/>
      <c r="D60" s="698"/>
      <c r="E60" s="698"/>
      <c r="F60" s="280">
        <v>1100</v>
      </c>
      <c r="G60" s="423">
        <f t="shared" ref="G60:G64" si="164">+F60*$X$1</f>
        <v>1100</v>
      </c>
      <c r="H60" s="250"/>
      <c r="I60" s="301"/>
      <c r="J60" s="370"/>
      <c r="K60" s="280"/>
      <c r="L60" s="528">
        <f t="shared" si="143"/>
        <v>1350</v>
      </c>
      <c r="M60" s="256">
        <f t="shared" si="157"/>
        <v>1350</v>
      </c>
      <c r="N60" s="528">
        <f t="shared" si="145"/>
        <v>1300</v>
      </c>
      <c r="O60" s="256">
        <f t="shared" si="158"/>
        <v>1300</v>
      </c>
      <c r="P60" s="528">
        <f t="shared" si="146"/>
        <v>1270</v>
      </c>
      <c r="Q60" s="256">
        <f t="shared" si="159"/>
        <v>1270</v>
      </c>
      <c r="R60" s="528">
        <f t="shared" si="147"/>
        <v>1250</v>
      </c>
      <c r="S60" s="256">
        <f t="shared" si="160"/>
        <v>1250</v>
      </c>
      <c r="T60" s="528">
        <f t="shared" si="148"/>
        <v>1230</v>
      </c>
      <c r="U60" s="256">
        <f t="shared" si="161"/>
        <v>1230</v>
      </c>
      <c r="V60" s="528">
        <f t="shared" si="149"/>
        <v>1210</v>
      </c>
      <c r="W60" s="256">
        <f t="shared" si="162"/>
        <v>1210</v>
      </c>
      <c r="X60" s="119"/>
      <c r="Y60" s="119"/>
      <c r="Z60" s="119"/>
      <c r="AA60" s="119"/>
      <c r="AB60" s="339" t="s">
        <v>861</v>
      </c>
    </row>
    <row r="61" spans="1:35" ht="12.6" customHeight="1" x14ac:dyDescent="0.2">
      <c r="A61" s="17"/>
      <c r="B61" s="758" t="s">
        <v>860</v>
      </c>
      <c r="C61" s="687"/>
      <c r="D61" s="687"/>
      <c r="E61" s="687"/>
      <c r="F61" s="270">
        <v>794</v>
      </c>
      <c r="G61" s="297">
        <f t="shared" ref="G61" si="165">+F61*$X$1</f>
        <v>794</v>
      </c>
      <c r="H61" s="251"/>
      <c r="I61" s="300"/>
      <c r="J61" s="369"/>
      <c r="K61" s="270"/>
      <c r="L61" s="520">
        <f t="shared" si="143"/>
        <v>1044</v>
      </c>
      <c r="M61" s="255">
        <f t="shared" si="157"/>
        <v>1044</v>
      </c>
      <c r="N61" s="520">
        <f t="shared" si="145"/>
        <v>994</v>
      </c>
      <c r="O61" s="255">
        <f t="shared" si="158"/>
        <v>994</v>
      </c>
      <c r="P61" s="520">
        <f t="shared" si="146"/>
        <v>964</v>
      </c>
      <c r="Q61" s="255">
        <f t="shared" si="159"/>
        <v>964</v>
      </c>
      <c r="R61" s="520">
        <f t="shared" si="147"/>
        <v>944</v>
      </c>
      <c r="S61" s="255">
        <f t="shared" si="160"/>
        <v>944</v>
      </c>
      <c r="T61" s="520">
        <f t="shared" si="148"/>
        <v>924</v>
      </c>
      <c r="U61" s="255">
        <f t="shared" si="161"/>
        <v>924</v>
      </c>
      <c r="V61" s="520">
        <f t="shared" si="149"/>
        <v>904</v>
      </c>
      <c r="W61" s="255">
        <f t="shared" si="162"/>
        <v>904</v>
      </c>
      <c r="X61" s="119"/>
      <c r="Y61" s="119"/>
      <c r="Z61" s="119"/>
      <c r="AA61" s="119"/>
      <c r="AB61" s="339" t="s">
        <v>862</v>
      </c>
    </row>
    <row r="62" spans="1:35" ht="12.6" customHeight="1" x14ac:dyDescent="0.2">
      <c r="A62" s="17"/>
      <c r="B62" s="776" t="s">
        <v>681</v>
      </c>
      <c r="C62" s="698"/>
      <c r="D62" s="698"/>
      <c r="E62" s="698"/>
      <c r="F62" s="322">
        <f>2.57*X2</f>
        <v>3957.7999999999997</v>
      </c>
      <c r="G62" s="256">
        <f t="shared" si="164"/>
        <v>3957.7999999999997</v>
      </c>
      <c r="H62" s="82"/>
      <c r="I62" s="256"/>
      <c r="J62" s="82">
        <f>F62+280</f>
        <v>4237.7999999999993</v>
      </c>
      <c r="K62" s="256">
        <f t="shared" ref="K62" si="166">+J62*$X$1</f>
        <v>4237.7999999999993</v>
      </c>
      <c r="L62" s="528">
        <f>F62+230</f>
        <v>4187.7999999999993</v>
      </c>
      <c r="M62" s="256">
        <f t="shared" ref="M62" si="167">+L62*$X$1</f>
        <v>4187.7999999999993</v>
      </c>
      <c r="N62" s="528">
        <f t="shared" ref="N62" si="168">F62+180</f>
        <v>4137.7999999999993</v>
      </c>
      <c r="O62" s="256">
        <f t="shared" ref="O62" si="169">+N62*$X$1</f>
        <v>4137.7999999999993</v>
      </c>
      <c r="P62" s="528">
        <f>F62+150</f>
        <v>4107.7999999999993</v>
      </c>
      <c r="Q62" s="256">
        <f t="shared" ref="Q62" si="170">+P62*$X$1</f>
        <v>4107.7999999999993</v>
      </c>
      <c r="R62" s="528">
        <f t="shared" ref="R62" si="171">F62+120</f>
        <v>4077.7999999999997</v>
      </c>
      <c r="S62" s="256">
        <f t="shared" ref="S62" si="172">+R62*$X$1</f>
        <v>4077.7999999999997</v>
      </c>
      <c r="T62" s="528">
        <f t="shared" ref="T62" si="173">F62+100</f>
        <v>4057.7999999999997</v>
      </c>
      <c r="U62" s="256">
        <f t="shared" ref="U62" si="174">+T62*$X$1</f>
        <v>4057.7999999999997</v>
      </c>
      <c r="V62" s="528">
        <f>F62+80</f>
        <v>4037.7999999999997</v>
      </c>
      <c r="W62" s="256">
        <f t="shared" ref="W62" si="175">+V62*$X$1</f>
        <v>4037.7999999999997</v>
      </c>
      <c r="X62" s="119"/>
      <c r="Y62" s="119"/>
      <c r="Z62" s="119"/>
      <c r="AA62" s="119"/>
      <c r="AB62" s="337" t="s">
        <v>682</v>
      </c>
    </row>
    <row r="63" spans="1:35" ht="12.6" customHeight="1" x14ac:dyDescent="0.2">
      <c r="A63" s="17"/>
      <c r="B63" s="765" t="s">
        <v>952</v>
      </c>
      <c r="C63" s="766"/>
      <c r="D63" s="766"/>
      <c r="E63" s="767"/>
      <c r="F63" s="270">
        <v>1280</v>
      </c>
      <c r="G63" s="297">
        <f t="shared" si="142"/>
        <v>1280</v>
      </c>
      <c r="H63" s="251"/>
      <c r="I63" s="300"/>
      <c r="J63" s="68">
        <f>F63+340</f>
        <v>1620</v>
      </c>
      <c r="K63" s="255">
        <f t="shared" ref="K63" si="176">+J63*$X$1</f>
        <v>1620</v>
      </c>
      <c r="L63" s="520">
        <f>F63+280</f>
        <v>1560</v>
      </c>
      <c r="M63" s="255">
        <f t="shared" ref="M63" si="177">+L63*$X$1</f>
        <v>1560</v>
      </c>
      <c r="N63" s="520">
        <f>F63+250</f>
        <v>1530</v>
      </c>
      <c r="O63" s="255">
        <f t="shared" ref="O63" si="178">+N63*$X$1</f>
        <v>1530</v>
      </c>
      <c r="P63" s="520">
        <f>F63+230</f>
        <v>1510</v>
      </c>
      <c r="Q63" s="255">
        <f t="shared" ref="Q63" si="179">+P63*$X$1</f>
        <v>1510</v>
      </c>
      <c r="R63" s="520">
        <f>F63+200</f>
        <v>1480</v>
      </c>
      <c r="S63" s="255">
        <f t="shared" ref="S63" si="180">+R63*$X$1</f>
        <v>1480</v>
      </c>
      <c r="T63" s="520">
        <f>F63+180</f>
        <v>1460</v>
      </c>
      <c r="U63" s="255">
        <f t="shared" ref="U63" si="181">+T63*$X$1</f>
        <v>1460</v>
      </c>
      <c r="V63" s="520">
        <f>F63+150</f>
        <v>1430</v>
      </c>
      <c r="W63" s="255">
        <f t="shared" ref="W63" si="182">+V63*$X$1</f>
        <v>1430</v>
      </c>
      <c r="X63" s="119"/>
      <c r="Y63" s="119"/>
      <c r="Z63" s="119"/>
      <c r="AA63" s="119"/>
      <c r="AB63" s="337">
        <v>89</v>
      </c>
    </row>
    <row r="64" spans="1:35" ht="12.6" customHeight="1" x14ac:dyDescent="0.2">
      <c r="A64" s="17"/>
      <c r="B64" s="623" t="s">
        <v>951</v>
      </c>
      <c r="C64" s="624"/>
      <c r="D64" s="624"/>
      <c r="E64" s="625"/>
      <c r="F64" s="270">
        <v>1480</v>
      </c>
      <c r="G64" s="256">
        <f t="shared" si="164"/>
        <v>1480</v>
      </c>
      <c r="H64" s="250"/>
      <c r="I64" s="301"/>
      <c r="J64" s="82">
        <f>F64+340</f>
        <v>1820</v>
      </c>
      <c r="K64" s="256">
        <f t="shared" ref="K64" si="183">+J64*$X$1</f>
        <v>1820</v>
      </c>
      <c r="L64" s="528">
        <f>F64+280</f>
        <v>1760</v>
      </c>
      <c r="M64" s="256">
        <f t="shared" ref="M64" si="184">+L64*$X$1</f>
        <v>1760</v>
      </c>
      <c r="N64" s="528">
        <f>F64+250</f>
        <v>1730</v>
      </c>
      <c r="O64" s="256">
        <f t="shared" ref="O64:O66" si="185">+N64*$X$1</f>
        <v>1730</v>
      </c>
      <c r="P64" s="528">
        <f>F64+230</f>
        <v>1710</v>
      </c>
      <c r="Q64" s="256">
        <f t="shared" ref="Q64:Q66" si="186">+P64*$X$1</f>
        <v>1710</v>
      </c>
      <c r="R64" s="528">
        <f>F64+200</f>
        <v>1680</v>
      </c>
      <c r="S64" s="256">
        <f t="shared" ref="S64:S66" si="187">+R64*$X$1</f>
        <v>1680</v>
      </c>
      <c r="T64" s="528">
        <f>F64+180</f>
        <v>1660</v>
      </c>
      <c r="U64" s="256">
        <f t="shared" ref="U64:U66" si="188">+T64*$X$1</f>
        <v>1660</v>
      </c>
      <c r="V64" s="528">
        <f>F64+150</f>
        <v>1630</v>
      </c>
      <c r="W64" s="256">
        <f t="shared" ref="W64:W66" si="189">+V64*$X$1</f>
        <v>1630</v>
      </c>
      <c r="X64" s="119"/>
      <c r="Y64" s="119"/>
      <c r="Z64" s="119"/>
      <c r="AA64" s="119"/>
      <c r="AB64" s="337" t="s">
        <v>953</v>
      </c>
    </row>
    <row r="65" spans="1:38" ht="12.6" customHeight="1" x14ac:dyDescent="0.2">
      <c r="A65" s="17"/>
      <c r="B65" s="772" t="s">
        <v>449</v>
      </c>
      <c r="C65" s="655"/>
      <c r="D65" s="655"/>
      <c r="E65" s="655"/>
      <c r="F65" s="255">
        <v>667</v>
      </c>
      <c r="G65" s="297">
        <f t="shared" si="142"/>
        <v>667</v>
      </c>
      <c r="H65" s="251"/>
      <c r="I65" s="300"/>
      <c r="J65" s="68"/>
      <c r="K65" s="234"/>
      <c r="L65" s="520"/>
      <c r="M65" s="234"/>
      <c r="N65" s="520">
        <f>F65+200</f>
        <v>867</v>
      </c>
      <c r="O65" s="255">
        <f t="shared" si="185"/>
        <v>867</v>
      </c>
      <c r="P65" s="520">
        <f>F65+170</f>
        <v>837</v>
      </c>
      <c r="Q65" s="255">
        <f t="shared" si="186"/>
        <v>837</v>
      </c>
      <c r="R65" s="520">
        <f>F65+150</f>
        <v>817</v>
      </c>
      <c r="S65" s="255">
        <f t="shared" si="187"/>
        <v>817</v>
      </c>
      <c r="T65" s="520">
        <f>F65+130</f>
        <v>797</v>
      </c>
      <c r="U65" s="255">
        <f t="shared" si="188"/>
        <v>797</v>
      </c>
      <c r="V65" s="520">
        <f>F65+110</f>
        <v>777</v>
      </c>
      <c r="W65" s="255">
        <f t="shared" si="189"/>
        <v>777</v>
      </c>
      <c r="X65" s="131"/>
      <c r="Y65" s="131"/>
      <c r="Z65" s="131" t="s">
        <v>70</v>
      </c>
      <c r="AA65" s="119"/>
      <c r="AB65" s="337">
        <v>91</v>
      </c>
    </row>
    <row r="66" spans="1:38" ht="12.6" customHeight="1" x14ac:dyDescent="0.2">
      <c r="A66" s="17"/>
      <c r="B66" s="1012" t="s">
        <v>71</v>
      </c>
      <c r="C66" s="1013"/>
      <c r="D66" s="1013"/>
      <c r="E66" s="1015"/>
      <c r="F66" s="256">
        <v>290</v>
      </c>
      <c r="G66" s="275">
        <f t="shared" si="142"/>
        <v>290</v>
      </c>
      <c r="H66" s="250"/>
      <c r="I66" s="301"/>
      <c r="J66" s="82"/>
      <c r="K66" s="269"/>
      <c r="L66" s="528"/>
      <c r="M66" s="269"/>
      <c r="N66" s="528">
        <f>F66+200</f>
        <v>490</v>
      </c>
      <c r="O66" s="256">
        <f t="shared" si="185"/>
        <v>490</v>
      </c>
      <c r="P66" s="528">
        <f>F66+170</f>
        <v>460</v>
      </c>
      <c r="Q66" s="256">
        <f t="shared" si="186"/>
        <v>460</v>
      </c>
      <c r="R66" s="528">
        <f>F66+150</f>
        <v>440</v>
      </c>
      <c r="S66" s="256">
        <f t="shared" si="187"/>
        <v>440</v>
      </c>
      <c r="T66" s="528">
        <f>F66+130</f>
        <v>420</v>
      </c>
      <c r="U66" s="256">
        <f t="shared" si="188"/>
        <v>420</v>
      </c>
      <c r="V66" s="528">
        <f>F66+110</f>
        <v>400</v>
      </c>
      <c r="W66" s="256">
        <f t="shared" si="189"/>
        <v>400</v>
      </c>
      <c r="X66" s="131"/>
      <c r="Y66" s="131"/>
      <c r="Z66" s="131"/>
      <c r="AA66" s="119"/>
      <c r="AB66" s="337" t="s">
        <v>72</v>
      </c>
    </row>
    <row r="67" spans="1:38" ht="12.6" customHeight="1" x14ac:dyDescent="0.2">
      <c r="A67" s="17"/>
      <c r="B67" s="1009" t="s">
        <v>308</v>
      </c>
      <c r="C67" s="1010"/>
      <c r="D67" s="1010"/>
      <c r="E67" s="1011"/>
      <c r="F67" s="255"/>
      <c r="G67" s="276"/>
      <c r="H67" s="251"/>
      <c r="I67" s="251"/>
      <c r="J67" s="68"/>
      <c r="K67" s="87"/>
      <c r="L67" s="520"/>
      <c r="M67" s="234"/>
      <c r="N67" s="93"/>
      <c r="O67" s="234"/>
      <c r="P67" s="93"/>
      <c r="Q67" s="255"/>
      <c r="R67" s="93"/>
      <c r="S67" s="234"/>
      <c r="T67" s="93"/>
      <c r="U67" s="234"/>
      <c r="V67" s="93"/>
      <c r="W67" s="255"/>
      <c r="X67" s="131"/>
      <c r="Y67" s="131"/>
      <c r="Z67" s="131"/>
      <c r="AA67" s="119"/>
      <c r="AB67" s="32"/>
    </row>
    <row r="68" spans="1:38" ht="12.6" customHeight="1" x14ac:dyDescent="0.2">
      <c r="A68" s="17"/>
      <c r="B68" s="1012" t="s">
        <v>309</v>
      </c>
      <c r="C68" s="1013"/>
      <c r="D68" s="1013"/>
      <c r="E68" s="1015"/>
      <c r="F68" s="256"/>
      <c r="G68" s="275"/>
      <c r="H68" s="250"/>
      <c r="I68" s="250"/>
      <c r="J68" s="82"/>
      <c r="K68" s="85"/>
      <c r="L68" s="528"/>
      <c r="M68" s="269"/>
      <c r="N68" s="92"/>
      <c r="O68" s="269"/>
      <c r="P68" s="92"/>
      <c r="Q68" s="256"/>
      <c r="R68" s="92"/>
      <c r="S68" s="269"/>
      <c r="T68" s="92"/>
      <c r="U68" s="269"/>
      <c r="V68" s="92"/>
      <c r="W68" s="256"/>
      <c r="X68" s="131"/>
      <c r="Y68" s="131"/>
      <c r="Z68" s="131"/>
      <c r="AA68" s="119"/>
      <c r="AB68" s="32"/>
    </row>
    <row r="69" spans="1:38" ht="12.6" customHeight="1" x14ac:dyDescent="0.2">
      <c r="A69" s="17"/>
      <c r="B69" s="772" t="s">
        <v>73</v>
      </c>
      <c r="C69" s="655"/>
      <c r="D69" s="655"/>
      <c r="E69" s="655"/>
      <c r="F69" s="255">
        <v>6570</v>
      </c>
      <c r="G69" s="276">
        <f t="shared" si="142"/>
        <v>6570</v>
      </c>
      <c r="H69" s="68">
        <f>F69+800</f>
        <v>7370</v>
      </c>
      <c r="I69" s="255">
        <f>+H69*$X$1</f>
        <v>7370</v>
      </c>
      <c r="J69" s="68">
        <f>F69+320</f>
        <v>6890</v>
      </c>
      <c r="K69" s="255">
        <f t="shared" ref="K69" si="190">+J69*$X$1</f>
        <v>6890</v>
      </c>
      <c r="L69" s="520">
        <f>F69+250</f>
        <v>6820</v>
      </c>
      <c r="M69" s="255">
        <f t="shared" ref="M69" si="191">+L69*$X$1</f>
        <v>6820</v>
      </c>
      <c r="N69" s="520">
        <f>F69+200</f>
        <v>6770</v>
      </c>
      <c r="O69" s="255">
        <f t="shared" ref="O69" si="192">+N69*$X$1</f>
        <v>6770</v>
      </c>
      <c r="P69" s="520">
        <f>F69+170</f>
        <v>6740</v>
      </c>
      <c r="Q69" s="255">
        <f t="shared" ref="Q69" si="193">+P69*$X$1</f>
        <v>6740</v>
      </c>
      <c r="R69" s="520">
        <f>F69+140</f>
        <v>6710</v>
      </c>
      <c r="S69" s="255">
        <f t="shared" ref="S69" si="194">+R69*$X$1</f>
        <v>6710</v>
      </c>
      <c r="T69" s="520">
        <f>F69+120</f>
        <v>6690</v>
      </c>
      <c r="U69" s="255">
        <f t="shared" ref="U69" si="195">+T69*$X$1</f>
        <v>6690</v>
      </c>
      <c r="V69" s="520">
        <f>F69+95</f>
        <v>6665</v>
      </c>
      <c r="W69" s="255">
        <f t="shared" ref="W69" si="196">+V69*$X$1</f>
        <v>6665</v>
      </c>
      <c r="X69" s="121"/>
      <c r="Y69" s="119"/>
      <c r="Z69" s="119"/>
      <c r="AA69" s="119"/>
      <c r="AB69" s="337">
        <v>92</v>
      </c>
    </row>
    <row r="70" spans="1:38" ht="12.6" customHeight="1" x14ac:dyDescent="0.25">
      <c r="A70" s="54"/>
      <c r="B70" s="771" t="s">
        <v>418</v>
      </c>
      <c r="C70" s="688"/>
      <c r="D70" s="688"/>
      <c r="E70" s="688"/>
      <c r="F70" s="256"/>
      <c r="G70" s="269"/>
      <c r="H70" s="226"/>
      <c r="I70" s="1000" t="s">
        <v>426</v>
      </c>
      <c r="J70" s="1001"/>
      <c r="K70" s="1001"/>
      <c r="L70" s="1002"/>
      <c r="M70" s="1003"/>
      <c r="N70" s="528">
        <v>1020</v>
      </c>
      <c r="O70" s="275">
        <f>+N70*$X$1</f>
        <v>1020</v>
      </c>
      <c r="P70" s="252">
        <v>980</v>
      </c>
      <c r="Q70" s="298">
        <f>+P70*$X$1</f>
        <v>980</v>
      </c>
      <c r="R70" s="528">
        <v>925</v>
      </c>
      <c r="S70" s="269">
        <f>+R70*$X$1</f>
        <v>925</v>
      </c>
      <c r="T70" s="528">
        <v>880</v>
      </c>
      <c r="U70" s="256">
        <f>+T70*$X$1</f>
        <v>880</v>
      </c>
      <c r="V70" s="528">
        <v>805</v>
      </c>
      <c r="W70" s="256">
        <f>+V70*$X$1</f>
        <v>805</v>
      </c>
      <c r="X70" s="937"/>
      <c r="Y70" s="937"/>
      <c r="Z70" s="937"/>
      <c r="AA70" s="937"/>
      <c r="AB70" s="178" t="s">
        <v>419</v>
      </c>
    </row>
    <row r="71" spans="1:38" ht="12.6" customHeight="1" x14ac:dyDescent="0.25">
      <c r="A71" s="54"/>
      <c r="B71" s="772" t="s">
        <v>299</v>
      </c>
      <c r="C71" s="725"/>
      <c r="D71" s="725"/>
      <c r="E71" s="725"/>
      <c r="F71" s="255"/>
      <c r="G71" s="234"/>
      <c r="H71" s="96"/>
      <c r="I71" s="1004" t="s">
        <v>426</v>
      </c>
      <c r="J71" s="1005"/>
      <c r="K71" s="1005"/>
      <c r="L71" s="1006"/>
      <c r="M71" s="1007"/>
      <c r="N71" s="520">
        <v>1120</v>
      </c>
      <c r="O71" s="276">
        <f>+N71*$X$1</f>
        <v>1120</v>
      </c>
      <c r="P71" s="261">
        <v>1080</v>
      </c>
      <c r="Q71" s="271">
        <f>+P71*$X$1</f>
        <v>1080</v>
      </c>
      <c r="R71" s="520">
        <v>990</v>
      </c>
      <c r="S71" s="234">
        <f>+R71*$X$1</f>
        <v>990</v>
      </c>
      <c r="T71" s="520">
        <v>960</v>
      </c>
      <c r="U71" s="255">
        <f>+T71*$X$1</f>
        <v>960</v>
      </c>
      <c r="V71" s="520">
        <v>870</v>
      </c>
      <c r="W71" s="255">
        <f>+V71*$X$1</f>
        <v>870</v>
      </c>
      <c r="X71" s="937"/>
      <c r="Y71" s="937"/>
      <c r="Z71" s="937"/>
      <c r="AA71" s="937"/>
      <c r="AB71" s="178" t="s">
        <v>74</v>
      </c>
    </row>
    <row r="72" spans="1:38" ht="12.6" customHeight="1" x14ac:dyDescent="0.25">
      <c r="A72" s="54"/>
      <c r="B72" s="771" t="s">
        <v>420</v>
      </c>
      <c r="C72" s="688"/>
      <c r="D72" s="688"/>
      <c r="E72" s="688"/>
      <c r="F72" s="256"/>
      <c r="G72" s="579"/>
      <c r="H72" s="580"/>
      <c r="I72" s="1000" t="s">
        <v>426</v>
      </c>
      <c r="J72" s="1001"/>
      <c r="K72" s="1001"/>
      <c r="L72" s="1002"/>
      <c r="M72" s="1003"/>
      <c r="N72" s="528">
        <v>1600</v>
      </c>
      <c r="O72" s="275">
        <f>+N72*$X$1</f>
        <v>1600</v>
      </c>
      <c r="P72" s="260">
        <v>1570</v>
      </c>
      <c r="Q72" s="298">
        <f>+P72*$X$1</f>
        <v>1570</v>
      </c>
      <c r="R72" s="528">
        <v>1500</v>
      </c>
      <c r="S72" s="269">
        <f>+R72*$X$1</f>
        <v>1500</v>
      </c>
      <c r="T72" s="528">
        <v>1475</v>
      </c>
      <c r="U72" s="256">
        <f>+T72*$X$1</f>
        <v>1475</v>
      </c>
      <c r="V72" s="528">
        <v>1390</v>
      </c>
      <c r="W72" s="256">
        <f>+V72*$X$1</f>
        <v>1390</v>
      </c>
      <c r="X72" s="937"/>
      <c r="Y72" s="937"/>
      <c r="Z72" s="937"/>
      <c r="AA72" s="937"/>
      <c r="AB72" s="178" t="s">
        <v>421</v>
      </c>
    </row>
    <row r="73" spans="1:38" s="6" customFormat="1" ht="12.6" customHeight="1" x14ac:dyDescent="0.25">
      <c r="A73" s="54"/>
      <c r="B73" s="999" t="s">
        <v>354</v>
      </c>
      <c r="C73" s="677"/>
      <c r="D73" s="677"/>
      <c r="E73" s="678"/>
      <c r="F73" s="255"/>
      <c r="G73" s="255"/>
      <c r="H73" s="520"/>
      <c r="I73" s="255"/>
      <c r="J73" s="576"/>
      <c r="K73" s="577"/>
      <c r="L73" s="578">
        <v>2760</v>
      </c>
      <c r="M73" s="255">
        <f>+L73*$X$1</f>
        <v>2760</v>
      </c>
      <c r="N73" s="520">
        <v>2490</v>
      </c>
      <c r="O73" s="276">
        <f>+N73*$X$1</f>
        <v>2490</v>
      </c>
      <c r="P73" s="325">
        <v>2300</v>
      </c>
      <c r="Q73" s="271">
        <f>+P73*$X$1</f>
        <v>2300</v>
      </c>
      <c r="R73" s="520">
        <v>2270</v>
      </c>
      <c r="S73" s="234">
        <f>+R73*$X$1</f>
        <v>2270</v>
      </c>
      <c r="T73" s="520">
        <v>2185</v>
      </c>
      <c r="U73" s="255">
        <f>+T73*$X$1</f>
        <v>2185</v>
      </c>
      <c r="V73" s="573"/>
      <c r="W73" s="309"/>
      <c r="X73" s="224"/>
      <c r="Y73" s="225"/>
      <c r="Z73" s="225"/>
      <c r="AA73" s="225"/>
      <c r="AB73" s="178" t="s">
        <v>75</v>
      </c>
      <c r="AC73" s="8"/>
      <c r="AD73" s="8"/>
      <c r="AE73" s="8"/>
      <c r="AF73" s="8"/>
      <c r="AG73" s="8"/>
      <c r="AH73" s="53"/>
      <c r="AI73" s="22"/>
      <c r="AJ73" s="53"/>
      <c r="AK73" s="8"/>
      <c r="AL73" s="8"/>
    </row>
    <row r="74" spans="1:38" s="6" customFormat="1" ht="12.6" customHeight="1" x14ac:dyDescent="0.25">
      <c r="A74" s="54"/>
      <c r="B74" s="1110" t="s">
        <v>355</v>
      </c>
      <c r="C74" s="1111"/>
      <c r="D74" s="1111"/>
      <c r="E74" s="1112"/>
      <c r="F74" s="256"/>
      <c r="G74" s="581"/>
      <c r="H74" s="92"/>
      <c r="I74" s="582"/>
      <c r="J74" s="583"/>
      <c r="K74" s="584"/>
      <c r="L74" s="585">
        <v>3700</v>
      </c>
      <c r="M74" s="256">
        <f>+L74*$X$1</f>
        <v>3700</v>
      </c>
      <c r="N74" s="528">
        <v>3490</v>
      </c>
      <c r="O74" s="582">
        <f>+N74*$X$1</f>
        <v>3490</v>
      </c>
      <c r="P74" s="326">
        <v>3400</v>
      </c>
      <c r="Q74" s="298">
        <f>+P74*$X$1</f>
        <v>3400</v>
      </c>
      <c r="R74" s="528">
        <v>3370</v>
      </c>
      <c r="S74" s="581">
        <f>+R74*$X$1</f>
        <v>3370</v>
      </c>
      <c r="T74" s="528">
        <v>3150</v>
      </c>
      <c r="U74" s="256">
        <f>+T74*$X$1</f>
        <v>3150</v>
      </c>
      <c r="V74" s="572"/>
      <c r="W74" s="310"/>
      <c r="X74" s="1119"/>
      <c r="Y74" s="1120"/>
      <c r="Z74" s="1120"/>
      <c r="AA74" s="1120"/>
      <c r="AB74" s="178" t="s">
        <v>76</v>
      </c>
      <c r="AC74" s="8"/>
      <c r="AD74" s="8"/>
      <c r="AE74" s="8"/>
      <c r="AF74" s="8"/>
      <c r="AG74" s="8"/>
      <c r="AH74" s="53"/>
      <c r="AI74" s="53"/>
      <c r="AJ74" s="53"/>
      <c r="AK74" s="8"/>
      <c r="AL74" s="8"/>
    </row>
    <row r="75" spans="1:38" ht="12.6" customHeight="1" x14ac:dyDescent="0.2">
      <c r="A75" s="88"/>
      <c r="B75" s="98"/>
      <c r="C75" s="64"/>
      <c r="D75" s="64"/>
      <c r="E75" s="64"/>
      <c r="F75" s="169"/>
      <c r="G75" s="169"/>
      <c r="H75" s="169"/>
      <c r="I75" s="169"/>
      <c r="J75" s="169"/>
      <c r="K75" s="169"/>
      <c r="L75" s="99"/>
      <c r="M75" s="99"/>
      <c r="N75" s="100"/>
      <c r="O75" s="100"/>
      <c r="P75" s="100"/>
      <c r="Q75" s="101"/>
      <c r="R75" s="81"/>
      <c r="S75" s="60"/>
      <c r="T75" s="60"/>
      <c r="U75" s="60"/>
      <c r="V75" s="60"/>
      <c r="W75" s="60"/>
      <c r="X75" s="72"/>
      <c r="AB75" s="97"/>
    </row>
    <row r="76" spans="1:38" ht="12.6" customHeight="1" x14ac:dyDescent="0.2">
      <c r="A76" s="88"/>
      <c r="B76" s="98"/>
      <c r="C76" s="502"/>
      <c r="D76" s="502"/>
      <c r="E76" s="502"/>
      <c r="F76" s="217"/>
      <c r="G76" s="217"/>
      <c r="H76" s="217"/>
      <c r="I76" s="217"/>
      <c r="J76" s="217"/>
      <c r="K76" s="217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218"/>
      <c r="D77" s="218"/>
      <c r="E77" s="2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5.75" customHeight="1" x14ac:dyDescent="0.2">
      <c r="A78" s="17"/>
      <c r="B78" s="679" t="s">
        <v>11</v>
      </c>
      <c r="C78" s="708" t="s">
        <v>12</v>
      </c>
      <c r="D78" s="709"/>
      <c r="E78" s="709"/>
      <c r="F78" s="674" t="s">
        <v>13</v>
      </c>
      <c r="G78" s="674" t="s">
        <v>13</v>
      </c>
      <c r="H78" s="670" t="s">
        <v>701</v>
      </c>
      <c r="I78" s="670"/>
      <c r="J78" s="671"/>
      <c r="K78" s="671"/>
      <c r="L78" s="671"/>
      <c r="M78" s="671"/>
      <c r="N78" s="671"/>
      <c r="O78" s="671"/>
      <c r="P78" s="671"/>
      <c r="Q78" s="671"/>
      <c r="R78" s="671"/>
      <c r="S78" s="671"/>
      <c r="T78" s="671"/>
      <c r="U78" s="671"/>
      <c r="V78" s="671"/>
      <c r="W78" s="671"/>
      <c r="X78" s="779" t="s">
        <v>14</v>
      </c>
      <c r="Y78" s="793"/>
      <c r="Z78" s="793"/>
      <c r="AA78" s="966"/>
      <c r="AB78" s="777" t="s">
        <v>15</v>
      </c>
      <c r="AF78" s="759" t="s">
        <v>3</v>
      </c>
      <c r="AG78" s="760"/>
      <c r="AH78" s="760"/>
    </row>
    <row r="79" spans="1:38" ht="12" customHeight="1" x14ac:dyDescent="0.2">
      <c r="A79" s="17"/>
      <c r="B79" s="679"/>
      <c r="C79" s="709"/>
      <c r="D79" s="709"/>
      <c r="E79" s="709"/>
      <c r="F79" s="675"/>
      <c r="G79" s="675"/>
      <c r="H79" s="398"/>
      <c r="I79" s="396" t="s">
        <v>260</v>
      </c>
      <c r="J79" s="398"/>
      <c r="K79" s="396" t="s">
        <v>17</v>
      </c>
      <c r="L79" s="399"/>
      <c r="M79" s="399" t="s">
        <v>18</v>
      </c>
      <c r="N79" s="399"/>
      <c r="O79" s="396" t="s">
        <v>19</v>
      </c>
      <c r="P79" s="399"/>
      <c r="Q79" s="399" t="s">
        <v>261</v>
      </c>
      <c r="R79" s="399"/>
      <c r="S79" s="399" t="s">
        <v>20</v>
      </c>
      <c r="T79" s="399"/>
      <c r="U79" s="399" t="s">
        <v>21</v>
      </c>
      <c r="V79" s="399"/>
      <c r="W79" s="399" t="s">
        <v>22</v>
      </c>
      <c r="X79" s="794"/>
      <c r="Y79" s="795"/>
      <c r="Z79" s="795"/>
      <c r="AA79" s="967"/>
      <c r="AB79" s="778"/>
    </row>
    <row r="80" spans="1:38" ht="12.6" customHeight="1" x14ac:dyDescent="0.2">
      <c r="A80" s="17"/>
      <c r="B80" s="686" t="s">
        <v>77</v>
      </c>
      <c r="C80" s="687"/>
      <c r="D80" s="687"/>
      <c r="E80" s="1132"/>
      <c r="F80" s="1105" t="s">
        <v>583</v>
      </c>
      <c r="G80" s="1106"/>
      <c r="H80" s="1106"/>
      <c r="I80" s="1106"/>
      <c r="J80" s="546"/>
      <c r="K80" s="405"/>
      <c r="L80" s="547"/>
      <c r="M80" s="270"/>
      <c r="N80" s="93"/>
      <c r="O80" s="297"/>
      <c r="P80" s="548"/>
      <c r="Q80" s="297"/>
      <c r="R80" s="93"/>
      <c r="S80" s="270"/>
      <c r="T80" s="93"/>
      <c r="U80" s="270"/>
      <c r="V80" s="93"/>
      <c r="W80" s="270"/>
      <c r="X80" s="119"/>
      <c r="Y80" s="119"/>
      <c r="Z80" s="119"/>
      <c r="AA80" s="119"/>
      <c r="AB80" s="344" t="s">
        <v>78</v>
      </c>
      <c r="AC80" s="340" t="s">
        <v>79</v>
      </c>
      <c r="AD80" s="340" t="s">
        <v>80</v>
      </c>
      <c r="AE80" s="340" t="s">
        <v>81</v>
      </c>
      <c r="AF80" s="340" t="s">
        <v>82</v>
      </c>
      <c r="AG80" s="340" t="s">
        <v>83</v>
      </c>
    </row>
    <row r="81" spans="1:34" ht="12.6" customHeight="1" x14ac:dyDescent="0.2">
      <c r="A81" s="17"/>
      <c r="B81" s="647" t="s">
        <v>84</v>
      </c>
      <c r="C81" s="648"/>
      <c r="D81" s="648"/>
      <c r="E81" s="1104"/>
      <c r="F81" s="1107"/>
      <c r="G81" s="1106"/>
      <c r="H81" s="1106"/>
      <c r="I81" s="1106"/>
      <c r="J81" s="237"/>
      <c r="K81" s="250"/>
      <c r="L81" s="266"/>
      <c r="M81" s="256"/>
      <c r="N81" s="92"/>
      <c r="O81" s="275"/>
      <c r="P81" s="252"/>
      <c r="Q81" s="298"/>
      <c r="R81" s="92"/>
      <c r="S81" s="269"/>
      <c r="T81" s="92"/>
      <c r="U81" s="256"/>
      <c r="V81" s="528"/>
      <c r="W81" s="256"/>
      <c r="X81" s="122"/>
      <c r="Y81" s="122"/>
      <c r="Z81" s="122"/>
      <c r="AA81" s="122"/>
      <c r="AB81" s="344" t="s">
        <v>85</v>
      </c>
      <c r="AC81" s="340" t="s">
        <v>86</v>
      </c>
      <c r="AD81" s="340" t="s">
        <v>87</v>
      </c>
      <c r="AE81" s="340" t="s">
        <v>88</v>
      </c>
      <c r="AF81" s="340" t="s">
        <v>89</v>
      </c>
      <c r="AG81" s="340" t="s">
        <v>90</v>
      </c>
      <c r="AH81" s="340" t="s">
        <v>91</v>
      </c>
    </row>
    <row r="82" spans="1:34" ht="12.6" customHeight="1" x14ac:dyDescent="0.25">
      <c r="A82" s="17"/>
      <c r="B82" s="654" t="s">
        <v>92</v>
      </c>
      <c r="C82" s="655"/>
      <c r="D82" s="655"/>
      <c r="E82" s="1098"/>
      <c r="F82" s="1107"/>
      <c r="G82" s="1106"/>
      <c r="H82" s="1106"/>
      <c r="I82" s="1106"/>
      <c r="J82" s="239"/>
      <c r="K82" s="251"/>
      <c r="L82" s="415"/>
      <c r="M82" s="255"/>
      <c r="N82" s="520"/>
      <c r="O82" s="276"/>
      <c r="P82" s="281"/>
      <c r="Q82" s="271"/>
      <c r="R82" s="520"/>
      <c r="S82" s="234"/>
      <c r="T82" s="520"/>
      <c r="U82" s="255"/>
      <c r="V82" s="520"/>
      <c r="W82" s="255"/>
      <c r="X82" s="1102"/>
      <c r="Y82" s="1103"/>
      <c r="Z82" s="1103"/>
      <c r="AA82" s="171"/>
      <c r="AB82" s="344" t="s">
        <v>93</v>
      </c>
      <c r="AC82" s="340" t="s">
        <v>94</v>
      </c>
      <c r="AD82" s="340" t="s">
        <v>95</v>
      </c>
      <c r="AE82" s="340" t="s">
        <v>96</v>
      </c>
      <c r="AF82" s="340" t="s">
        <v>97</v>
      </c>
      <c r="AG82" s="345" t="s">
        <v>98</v>
      </c>
      <c r="AH82" s="340" t="s">
        <v>99</v>
      </c>
    </row>
    <row r="83" spans="1:34" ht="12.6" customHeight="1" x14ac:dyDescent="0.25">
      <c r="A83" s="17"/>
      <c r="B83" s="647" t="s">
        <v>100</v>
      </c>
      <c r="C83" s="648"/>
      <c r="D83" s="648"/>
      <c r="E83" s="1104"/>
      <c r="F83" s="1107"/>
      <c r="G83" s="1106"/>
      <c r="H83" s="1106"/>
      <c r="I83" s="1106"/>
      <c r="J83" s="237"/>
      <c r="K83" s="250"/>
      <c r="L83" s="266"/>
      <c r="M83" s="256"/>
      <c r="N83" s="528"/>
      <c r="O83" s="275"/>
      <c r="P83" s="252"/>
      <c r="Q83" s="298"/>
      <c r="R83" s="528"/>
      <c r="S83" s="269"/>
      <c r="T83" s="528"/>
      <c r="U83" s="256"/>
      <c r="V83" s="528"/>
      <c r="W83" s="256"/>
      <c r="X83" s="1102"/>
      <c r="Y83" s="1103"/>
      <c r="Z83" s="1103"/>
      <c r="AA83" s="171"/>
      <c r="AB83" s="344" t="s">
        <v>101</v>
      </c>
      <c r="AC83" s="346" t="s">
        <v>102</v>
      </c>
      <c r="AD83" s="346" t="s">
        <v>103</v>
      </c>
      <c r="AE83" s="346" t="s">
        <v>104</v>
      </c>
      <c r="AF83" s="346" t="s">
        <v>105</v>
      </c>
      <c r="AG83" s="28"/>
    </row>
    <row r="84" spans="1:34" ht="12.6" customHeight="1" x14ac:dyDescent="0.2">
      <c r="A84" s="17"/>
      <c r="B84" s="654" t="s">
        <v>106</v>
      </c>
      <c r="C84" s="655"/>
      <c r="D84" s="655"/>
      <c r="E84" s="1098"/>
      <c r="F84" s="1107"/>
      <c r="G84" s="1106"/>
      <c r="H84" s="1106"/>
      <c r="I84" s="1106"/>
      <c r="J84" s="239"/>
      <c r="K84" s="251"/>
      <c r="L84" s="415"/>
      <c r="M84" s="255"/>
      <c r="N84" s="520"/>
      <c r="O84" s="276"/>
      <c r="P84" s="281"/>
      <c r="Q84" s="271"/>
      <c r="R84" s="520"/>
      <c r="S84" s="234"/>
      <c r="T84" s="520"/>
      <c r="U84" s="255"/>
      <c r="V84" s="520"/>
      <c r="W84" s="255"/>
      <c r="X84" s="136"/>
      <c r="Y84" s="136"/>
      <c r="Z84" s="136"/>
      <c r="AA84" s="136"/>
      <c r="AB84" s="29" t="s">
        <v>107</v>
      </c>
      <c r="AC84" s="340" t="s">
        <v>108</v>
      </c>
      <c r="AD84" s="340" t="s">
        <v>109</v>
      </c>
      <c r="AE84" s="340" t="s">
        <v>110</v>
      </c>
      <c r="AF84" s="340" t="s">
        <v>111</v>
      </c>
      <c r="AG84" s="340" t="s">
        <v>112</v>
      </c>
    </row>
    <row r="85" spans="1:34" ht="12.6" customHeight="1" x14ac:dyDescent="0.2">
      <c r="A85" s="17"/>
      <c r="B85" s="647" t="s">
        <v>113</v>
      </c>
      <c r="C85" s="648"/>
      <c r="D85" s="648"/>
      <c r="E85" s="1104"/>
      <c r="F85" s="1107"/>
      <c r="G85" s="1106"/>
      <c r="H85" s="1106"/>
      <c r="I85" s="1106"/>
      <c r="J85" s="237"/>
      <c r="K85" s="250"/>
      <c r="L85" s="266"/>
      <c r="M85" s="256"/>
      <c r="N85" s="528"/>
      <c r="O85" s="275"/>
      <c r="P85" s="252"/>
      <c r="Q85" s="298"/>
      <c r="R85" s="528"/>
      <c r="S85" s="269"/>
      <c r="T85" s="528"/>
      <c r="U85" s="256"/>
      <c r="V85" s="528"/>
      <c r="W85" s="256"/>
      <c r="X85" s="136"/>
      <c r="Y85" s="136"/>
      <c r="Z85" s="136"/>
      <c r="AA85" s="136"/>
      <c r="AB85" s="29" t="s">
        <v>114</v>
      </c>
      <c r="AC85" s="346" t="s">
        <v>115</v>
      </c>
      <c r="AD85" s="346" t="s">
        <v>116</v>
      </c>
      <c r="AE85" s="346" t="s">
        <v>117</v>
      </c>
    </row>
    <row r="86" spans="1:34" ht="12.6" customHeight="1" x14ac:dyDescent="0.25">
      <c r="A86" s="17"/>
      <c r="B86" s="654" t="s">
        <v>928</v>
      </c>
      <c r="C86" s="655"/>
      <c r="D86" s="655"/>
      <c r="E86" s="1098"/>
      <c r="F86" s="1107"/>
      <c r="G86" s="1106"/>
      <c r="H86" s="1106"/>
      <c r="I86" s="1106"/>
      <c r="J86" s="239"/>
      <c r="K86" s="251"/>
      <c r="L86" s="415"/>
      <c r="M86" s="255"/>
      <c r="N86" s="520"/>
      <c r="O86" s="276"/>
      <c r="P86" s="281"/>
      <c r="Q86" s="271"/>
      <c r="R86" s="520"/>
      <c r="S86" s="234"/>
      <c r="T86" s="520"/>
      <c r="U86" s="255"/>
      <c r="V86" s="520"/>
      <c r="W86" s="255"/>
      <c r="X86" s="1102"/>
      <c r="Y86" s="1103"/>
      <c r="Z86" s="1103"/>
      <c r="AA86" s="171"/>
      <c r="AB86" s="29" t="s">
        <v>118</v>
      </c>
      <c r="AC86" s="340" t="s">
        <v>119</v>
      </c>
      <c r="AD86" s="340" t="s">
        <v>120</v>
      </c>
      <c r="AE86" s="340" t="s">
        <v>121</v>
      </c>
      <c r="AF86" s="340" t="s">
        <v>122</v>
      </c>
      <c r="AG86" s="340" t="s">
        <v>123</v>
      </c>
      <c r="AH86" s="340" t="s">
        <v>124</v>
      </c>
    </row>
    <row r="87" spans="1:34" ht="12.6" customHeight="1" x14ac:dyDescent="0.25">
      <c r="A87" s="17"/>
      <c r="B87" s="647" t="s">
        <v>125</v>
      </c>
      <c r="C87" s="648"/>
      <c r="D87" s="648"/>
      <c r="E87" s="1104"/>
      <c r="F87" s="1107"/>
      <c r="G87" s="1106"/>
      <c r="H87" s="1106"/>
      <c r="I87" s="1106"/>
      <c r="J87" s="237"/>
      <c r="K87" s="250"/>
      <c r="L87" s="266"/>
      <c r="M87" s="256"/>
      <c r="N87" s="528"/>
      <c r="O87" s="275"/>
      <c r="P87" s="252"/>
      <c r="Q87" s="298"/>
      <c r="R87" s="528"/>
      <c r="S87" s="269"/>
      <c r="T87" s="528"/>
      <c r="U87" s="256"/>
      <c r="V87" s="528"/>
      <c r="W87" s="256"/>
      <c r="X87" s="1102"/>
      <c r="Y87" s="1103"/>
      <c r="Z87" s="1103"/>
      <c r="AA87" s="171"/>
      <c r="AB87" s="342" t="s">
        <v>126</v>
      </c>
      <c r="AC87" s="61"/>
      <c r="AD87" s="61"/>
      <c r="AE87" s="61"/>
      <c r="AF87" s="61"/>
      <c r="AG87" s="61"/>
    </row>
    <row r="88" spans="1:34" ht="12.6" customHeight="1" x14ac:dyDescent="0.2">
      <c r="A88" s="17"/>
      <c r="B88" s="654" t="s">
        <v>127</v>
      </c>
      <c r="C88" s="655"/>
      <c r="D88" s="655"/>
      <c r="E88" s="1098"/>
      <c r="F88" s="1107"/>
      <c r="G88" s="1106"/>
      <c r="H88" s="1106"/>
      <c r="I88" s="1106"/>
      <c r="J88" s="239"/>
      <c r="K88" s="251"/>
      <c r="L88" s="415"/>
      <c r="M88" s="255"/>
      <c r="N88" s="520"/>
      <c r="O88" s="276"/>
      <c r="P88" s="281"/>
      <c r="Q88" s="271"/>
      <c r="R88" s="520"/>
      <c r="S88" s="234"/>
      <c r="T88" s="520"/>
      <c r="U88" s="255"/>
      <c r="V88" s="520"/>
      <c r="W88" s="255"/>
      <c r="X88" s="135"/>
      <c r="Y88" s="135"/>
      <c r="Z88" s="135"/>
      <c r="AA88" s="135"/>
      <c r="AB88" s="340" t="s">
        <v>128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47" t="s">
        <v>129</v>
      </c>
      <c r="C89" s="648"/>
      <c r="D89" s="648"/>
      <c r="E89" s="1104"/>
      <c r="F89" s="1107"/>
      <c r="G89" s="1106"/>
      <c r="H89" s="1106"/>
      <c r="I89" s="1106"/>
      <c r="J89" s="237"/>
      <c r="K89" s="250"/>
      <c r="L89" s="266"/>
      <c r="M89" s="256"/>
      <c r="N89" s="528"/>
      <c r="O89" s="275"/>
      <c r="P89" s="252"/>
      <c r="Q89" s="275"/>
      <c r="R89" s="528"/>
      <c r="S89" s="275"/>
      <c r="T89" s="528"/>
      <c r="U89" s="256"/>
      <c r="V89" s="528"/>
      <c r="W89" s="256"/>
      <c r="X89" s="135"/>
      <c r="Y89" s="135"/>
      <c r="Z89" s="135"/>
      <c r="AA89" s="135"/>
      <c r="AB89" s="340" t="s">
        <v>130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54" t="s">
        <v>131</v>
      </c>
      <c r="C90" s="655"/>
      <c r="D90" s="655"/>
      <c r="E90" s="1098"/>
      <c r="F90" s="1108"/>
      <c r="G90" s="1109"/>
      <c r="H90" s="1109"/>
      <c r="I90" s="1109"/>
      <c r="J90" s="239"/>
      <c r="K90" s="251"/>
      <c r="L90" s="415"/>
      <c r="M90" s="255"/>
      <c r="N90" s="520"/>
      <c r="O90" s="305"/>
      <c r="P90" s="281"/>
      <c r="Q90" s="271"/>
      <c r="R90" s="102"/>
      <c r="S90" s="523"/>
      <c r="T90" s="520"/>
      <c r="U90" s="255"/>
      <c r="V90" s="520"/>
      <c r="W90" s="255"/>
      <c r="X90" s="119"/>
      <c r="Y90" s="119"/>
      <c r="Z90" s="119"/>
      <c r="AA90" s="119"/>
      <c r="AB90" s="343" t="s">
        <v>132</v>
      </c>
      <c r="AC90" s="340" t="s">
        <v>133</v>
      </c>
      <c r="AD90" s="340" t="s">
        <v>134</v>
      </c>
      <c r="AE90" s="340" t="s">
        <v>135</v>
      </c>
      <c r="AF90" s="340" t="s">
        <v>136</v>
      </c>
      <c r="AG90" s="340" t="s">
        <v>137</v>
      </c>
    </row>
    <row r="91" spans="1:34" ht="12.6" customHeight="1" x14ac:dyDescent="0.2">
      <c r="A91" s="17"/>
      <c r="B91" s="647" t="s">
        <v>414</v>
      </c>
      <c r="C91" s="648"/>
      <c r="D91" s="648"/>
      <c r="E91" s="648"/>
      <c r="F91" s="256"/>
      <c r="G91" s="298"/>
      <c r="H91" s="237"/>
      <c r="I91" s="545"/>
      <c r="J91" s="528"/>
      <c r="K91" s="256"/>
      <c r="L91" s="528"/>
      <c r="M91" s="256"/>
      <c r="N91" s="528"/>
      <c r="O91" s="256"/>
      <c r="P91" s="528"/>
      <c r="Q91" s="256"/>
      <c r="R91" s="528"/>
      <c r="S91" s="256"/>
      <c r="T91" s="528"/>
      <c r="U91" s="256"/>
      <c r="V91" s="82"/>
      <c r="W91" s="302"/>
      <c r="X91" s="146"/>
      <c r="Y91" s="122"/>
      <c r="Z91" s="122"/>
      <c r="AA91" s="125"/>
      <c r="AB91" s="341">
        <v>117</v>
      </c>
    </row>
    <row r="92" spans="1:34" ht="12.6" customHeight="1" x14ac:dyDescent="0.2">
      <c r="A92" s="17"/>
      <c r="B92" s="657" t="s">
        <v>432</v>
      </c>
      <c r="C92" s="677"/>
      <c r="D92" s="677"/>
      <c r="E92" s="678"/>
      <c r="F92" s="255"/>
      <c r="G92" s="271"/>
      <c r="H92" s="239"/>
      <c r="I92" s="251"/>
      <c r="J92" s="520"/>
      <c r="K92" s="255"/>
      <c r="L92" s="520"/>
      <c r="M92" s="255"/>
      <c r="N92" s="520"/>
      <c r="O92" s="255"/>
      <c r="P92" s="520"/>
      <c r="Q92" s="255"/>
      <c r="R92" s="520"/>
      <c r="S92" s="255"/>
      <c r="T92" s="520"/>
      <c r="U92" s="255"/>
      <c r="V92" s="68"/>
      <c r="W92" s="303"/>
      <c r="X92" s="146"/>
      <c r="Y92" s="122"/>
      <c r="Z92" s="122"/>
      <c r="AA92" s="125"/>
      <c r="AB92" s="341"/>
    </row>
    <row r="93" spans="1:34" ht="12.6" customHeight="1" x14ac:dyDescent="0.2">
      <c r="A93" s="17"/>
      <c r="B93" s="647" t="s">
        <v>415</v>
      </c>
      <c r="C93" s="648"/>
      <c r="D93" s="648"/>
      <c r="E93" s="648"/>
      <c r="F93" s="256"/>
      <c r="G93" s="298"/>
      <c r="H93" s="237"/>
      <c r="I93" s="250"/>
      <c r="J93" s="528"/>
      <c r="K93" s="256"/>
      <c r="L93" s="528"/>
      <c r="M93" s="256"/>
      <c r="N93" s="528"/>
      <c r="O93" s="256"/>
      <c r="P93" s="528"/>
      <c r="Q93" s="256"/>
      <c r="R93" s="528"/>
      <c r="S93" s="256"/>
      <c r="T93" s="528"/>
      <c r="U93" s="256"/>
      <c r="V93" s="82"/>
      <c r="W93" s="302"/>
      <c r="X93" s="146"/>
      <c r="Y93" s="122"/>
      <c r="Z93" s="122"/>
      <c r="AA93" s="125"/>
      <c r="AB93" s="341">
        <v>129</v>
      </c>
    </row>
    <row r="94" spans="1:34" ht="12.6" customHeight="1" x14ac:dyDescent="0.2">
      <c r="A94" s="94"/>
      <c r="B94" s="926" t="s">
        <v>348</v>
      </c>
      <c r="C94" s="932"/>
      <c r="D94" s="932"/>
      <c r="E94" s="932"/>
      <c r="F94" s="446">
        <v>790</v>
      </c>
      <c r="G94" s="452">
        <f t="shared" ref="G94:G98" si="197">+F94*$X$1</f>
        <v>790</v>
      </c>
      <c r="H94" s="448"/>
      <c r="I94" s="448"/>
      <c r="J94" s="514">
        <f t="shared" ref="J94" si="198">F94+280</f>
        <v>1070</v>
      </c>
      <c r="K94" s="515">
        <f>+J94*$X$1</f>
        <v>1070</v>
      </c>
      <c r="L94" s="516">
        <f>F94+230</f>
        <v>1020</v>
      </c>
      <c r="M94" s="515">
        <f t="shared" ref="M94:M95" si="199">+L94*$X$1</f>
        <v>1020</v>
      </c>
      <c r="N94" s="453">
        <f>F94+7.2</f>
        <v>797.2</v>
      </c>
      <c r="O94" s="1113" t="s">
        <v>138</v>
      </c>
      <c r="P94" s="1114"/>
      <c r="Q94" s="1114"/>
      <c r="R94" s="1114"/>
      <c r="S94" s="1114"/>
      <c r="T94" s="1114"/>
      <c r="U94" s="1114"/>
      <c r="V94" s="1114"/>
      <c r="W94" s="1114"/>
      <c r="X94" s="147"/>
      <c r="Y94" s="122"/>
      <c r="Z94" s="122"/>
      <c r="AA94" s="125"/>
      <c r="AB94" s="347">
        <v>247</v>
      </c>
    </row>
    <row r="95" spans="1:34" ht="12.6" customHeight="1" x14ac:dyDescent="0.2">
      <c r="A95" s="88"/>
      <c r="B95" s="640" t="s">
        <v>445</v>
      </c>
      <c r="C95" s="641"/>
      <c r="D95" s="641"/>
      <c r="E95" s="642"/>
      <c r="F95" s="322">
        <f>2.631*X2</f>
        <v>4051.74</v>
      </c>
      <c r="G95" s="275">
        <f>+F95*$X$1</f>
        <v>4051.74</v>
      </c>
      <c r="H95" s="528"/>
      <c r="I95" s="256"/>
      <c r="J95" s="82">
        <f>F95+280</f>
        <v>4331.74</v>
      </c>
      <c r="K95" s="256">
        <f t="shared" ref="K95" si="200">+J95*$X$1</f>
        <v>4331.74</v>
      </c>
      <c r="L95" s="528">
        <f>F95+230</f>
        <v>4281.74</v>
      </c>
      <c r="M95" s="256">
        <f t="shared" si="199"/>
        <v>4281.74</v>
      </c>
      <c r="N95" s="528">
        <f t="shared" ref="N95" si="201">F95+180</f>
        <v>4231.74</v>
      </c>
      <c r="O95" s="256">
        <f t="shared" ref="O95" si="202">+N95*$X$1</f>
        <v>4231.74</v>
      </c>
      <c r="P95" s="528">
        <f>F95+150</f>
        <v>4201.74</v>
      </c>
      <c r="Q95" s="256">
        <f t="shared" ref="Q95" si="203">+P95*$X$1</f>
        <v>4201.74</v>
      </c>
      <c r="R95" s="528">
        <f t="shared" ref="R95" si="204">F95+120</f>
        <v>4171.74</v>
      </c>
      <c r="S95" s="256">
        <f t="shared" ref="S95" si="205">+R95*$X$1</f>
        <v>4171.74</v>
      </c>
      <c r="T95" s="528">
        <f t="shared" ref="T95" si="206">F95+100</f>
        <v>4151.74</v>
      </c>
      <c r="U95" s="256">
        <f t="shared" ref="U95" si="207">+T95*$X$1</f>
        <v>4151.74</v>
      </c>
      <c r="V95" s="528">
        <f>F95+80</f>
        <v>4131.74</v>
      </c>
      <c r="W95" s="256">
        <f t="shared" ref="W95" si="208">+V95*$X$1</f>
        <v>4131.74</v>
      </c>
      <c r="X95" s="147"/>
      <c r="Y95" s="122"/>
      <c r="Z95" s="122"/>
      <c r="AA95" s="125"/>
      <c r="AB95" s="347">
        <v>249</v>
      </c>
    </row>
    <row r="96" spans="1:34" ht="12.6" customHeight="1" x14ac:dyDescent="0.2">
      <c r="A96" s="17"/>
      <c r="B96" s="654" t="s">
        <v>320</v>
      </c>
      <c r="C96" s="655"/>
      <c r="D96" s="655"/>
      <c r="E96" s="655"/>
      <c r="F96" s="255">
        <v>690</v>
      </c>
      <c r="G96" s="255">
        <f t="shared" si="197"/>
        <v>690</v>
      </c>
      <c r="H96" s="251"/>
      <c r="I96" s="251"/>
      <c r="J96" s="103">
        <f>F96+300</f>
        <v>990</v>
      </c>
      <c r="K96" s="255">
        <f t="shared" ref="K96:K103" si="209">+J96*$X$1</f>
        <v>990</v>
      </c>
      <c r="L96" s="520"/>
      <c r="M96" s="520"/>
      <c r="N96" s="520">
        <f>F96+23</f>
        <v>713</v>
      </c>
      <c r="O96" s="520"/>
      <c r="P96" s="251"/>
      <c r="Q96" s="251"/>
      <c r="R96" s="520">
        <f>F96+15</f>
        <v>705</v>
      </c>
      <c r="S96" s="520"/>
      <c r="T96" s="520">
        <f>F96+12</f>
        <v>702</v>
      </c>
      <c r="U96" s="520"/>
      <c r="V96" s="520">
        <f>F96+10</f>
        <v>700</v>
      </c>
      <c r="W96" s="520"/>
      <c r="X96" s="148"/>
      <c r="Y96" s="122"/>
      <c r="Z96" s="122"/>
      <c r="AA96" s="125"/>
      <c r="AB96" s="348" t="s">
        <v>139</v>
      </c>
    </row>
    <row r="97" spans="1:29" ht="12.6" customHeight="1" x14ac:dyDescent="0.2">
      <c r="A97" s="17"/>
      <c r="B97" s="640" t="s">
        <v>436</v>
      </c>
      <c r="C97" s="672"/>
      <c r="D97" s="672"/>
      <c r="E97" s="673"/>
      <c r="F97" s="322">
        <f>12.04*X2</f>
        <v>18541.599999999999</v>
      </c>
      <c r="G97" s="256">
        <f t="shared" si="197"/>
        <v>18541.599999999999</v>
      </c>
      <c r="H97" s="528">
        <f>F97+800</f>
        <v>19341.599999999999</v>
      </c>
      <c r="I97" s="256">
        <f t="shared" ref="I97" si="210">+H97*$X$1</f>
        <v>19341.599999999999</v>
      </c>
      <c r="J97" s="82">
        <f>F97+300</f>
        <v>18841.599999999999</v>
      </c>
      <c r="K97" s="256">
        <f t="shared" si="209"/>
        <v>18841.599999999999</v>
      </c>
      <c r="L97" s="528">
        <f t="shared" ref="L97:L103" si="211">F97+230</f>
        <v>18771.599999999999</v>
      </c>
      <c r="M97" s="256">
        <f t="shared" ref="M97" si="212">+L97*$X$1</f>
        <v>18771.599999999999</v>
      </c>
      <c r="N97" s="528">
        <f t="shared" ref="N97" si="213">F97+180</f>
        <v>18721.599999999999</v>
      </c>
      <c r="O97" s="256">
        <f t="shared" ref="O97" si="214">+N97*$X$1</f>
        <v>18721.599999999999</v>
      </c>
      <c r="P97" s="528">
        <f t="shared" ref="P97:P103" si="215">F97+150</f>
        <v>18691.599999999999</v>
      </c>
      <c r="Q97" s="256">
        <f t="shared" ref="Q97" si="216">+P97*$X$1</f>
        <v>18691.599999999999</v>
      </c>
      <c r="R97" s="528">
        <f t="shared" ref="R97" si="217">F97+120</f>
        <v>18661.599999999999</v>
      </c>
      <c r="S97" s="256">
        <f t="shared" ref="S97" si="218">+R97*$X$1</f>
        <v>18661.599999999999</v>
      </c>
      <c r="T97" s="528">
        <f t="shared" ref="T97" si="219">F97+100</f>
        <v>18641.599999999999</v>
      </c>
      <c r="U97" s="256">
        <f t="shared" ref="U97" si="220">+T97*$X$1</f>
        <v>18641.599999999999</v>
      </c>
      <c r="V97" s="528">
        <f t="shared" ref="V97:V103" si="221">F97+80</f>
        <v>18621.599999999999</v>
      </c>
      <c r="W97" s="256">
        <f t="shared" ref="W97" si="222">+V97*$X$1</f>
        <v>18621.599999999999</v>
      </c>
      <c r="X97" s="149"/>
      <c r="Y97" s="122"/>
      <c r="Z97" s="122"/>
      <c r="AA97" s="125"/>
      <c r="AB97" s="348">
        <v>268</v>
      </c>
    </row>
    <row r="98" spans="1:29" ht="12.6" customHeight="1" x14ac:dyDescent="0.2">
      <c r="A98" s="17"/>
      <c r="B98" s="654" t="s">
        <v>574</v>
      </c>
      <c r="C98" s="655"/>
      <c r="D98" s="655"/>
      <c r="E98" s="655"/>
      <c r="F98" s="321">
        <f>4.49*X2</f>
        <v>6914.6</v>
      </c>
      <c r="G98" s="255">
        <f t="shared" si="197"/>
        <v>6914.6</v>
      </c>
      <c r="H98" s="520">
        <f>F98+800</f>
        <v>7714.6</v>
      </c>
      <c r="I98" s="255">
        <f t="shared" ref="I98:I100" si="223">+H98*$X$1</f>
        <v>7714.6</v>
      </c>
      <c r="J98" s="68">
        <f t="shared" ref="J98:J103" si="224">F98+300</f>
        <v>7214.6</v>
      </c>
      <c r="K98" s="255">
        <f t="shared" ref="K98:K100" si="225">+J98*$X$1</f>
        <v>7214.6</v>
      </c>
      <c r="L98" s="520">
        <f t="shared" si="211"/>
        <v>7144.6</v>
      </c>
      <c r="M98" s="255">
        <f t="shared" ref="M98:M100" si="226">+L98*$X$1</f>
        <v>7144.6</v>
      </c>
      <c r="N98" s="520">
        <f t="shared" ref="N98:N100" si="227">F98+180</f>
        <v>7094.6</v>
      </c>
      <c r="O98" s="255">
        <f t="shared" ref="O98:O100" si="228">+N98*$X$1</f>
        <v>7094.6</v>
      </c>
      <c r="P98" s="520">
        <f t="shared" si="215"/>
        <v>7064.6</v>
      </c>
      <c r="Q98" s="255">
        <f t="shared" ref="Q98:Q100" si="229">+P98*$X$1</f>
        <v>7064.6</v>
      </c>
      <c r="R98" s="520">
        <f t="shared" ref="R98:R100" si="230">F98+120</f>
        <v>7034.6</v>
      </c>
      <c r="S98" s="255">
        <f t="shared" ref="S98:S100" si="231">+R98*$X$1</f>
        <v>7034.6</v>
      </c>
      <c r="T98" s="520">
        <f t="shared" ref="T98:T100" si="232">F98+100</f>
        <v>7014.6</v>
      </c>
      <c r="U98" s="255">
        <f t="shared" ref="U98:U100" si="233">+T98*$X$1</f>
        <v>7014.6</v>
      </c>
      <c r="V98" s="520">
        <f t="shared" si="221"/>
        <v>6994.6</v>
      </c>
      <c r="W98" s="255">
        <f t="shared" ref="W98:W100" si="234">+V98*$X$1</f>
        <v>6994.6</v>
      </c>
      <c r="X98" s="149"/>
      <c r="Y98" s="126"/>
      <c r="Z98" s="122"/>
      <c r="AA98" s="125"/>
      <c r="AB98" s="348">
        <v>270</v>
      </c>
      <c r="AC98" s="28"/>
    </row>
    <row r="99" spans="1:29" ht="12.6" customHeight="1" x14ac:dyDescent="0.2">
      <c r="A99" s="17"/>
      <c r="B99" s="647" t="s">
        <v>140</v>
      </c>
      <c r="C99" s="648"/>
      <c r="D99" s="648"/>
      <c r="E99" s="648"/>
      <c r="F99" s="322">
        <f>13.1*X2</f>
        <v>20174</v>
      </c>
      <c r="G99" s="256">
        <f t="shared" ref="G99:G100" si="235">+F99*$X$1</f>
        <v>20174</v>
      </c>
      <c r="H99" s="528">
        <f>F99+800</f>
        <v>20974</v>
      </c>
      <c r="I99" s="256">
        <f t="shared" si="223"/>
        <v>20974</v>
      </c>
      <c r="J99" s="82">
        <f t="shared" si="224"/>
        <v>20474</v>
      </c>
      <c r="K99" s="256">
        <f t="shared" si="225"/>
        <v>20474</v>
      </c>
      <c r="L99" s="528">
        <f t="shared" si="211"/>
        <v>20404</v>
      </c>
      <c r="M99" s="256">
        <f t="shared" si="226"/>
        <v>20404</v>
      </c>
      <c r="N99" s="528">
        <f t="shared" si="227"/>
        <v>20354</v>
      </c>
      <c r="O99" s="256">
        <f t="shared" si="228"/>
        <v>20354</v>
      </c>
      <c r="P99" s="528">
        <f t="shared" si="215"/>
        <v>20324</v>
      </c>
      <c r="Q99" s="256">
        <f t="shared" si="229"/>
        <v>20324</v>
      </c>
      <c r="R99" s="528">
        <f t="shared" si="230"/>
        <v>20294</v>
      </c>
      <c r="S99" s="256">
        <f t="shared" si="231"/>
        <v>20294</v>
      </c>
      <c r="T99" s="528">
        <f t="shared" si="232"/>
        <v>20274</v>
      </c>
      <c r="U99" s="256">
        <f t="shared" si="233"/>
        <v>20274</v>
      </c>
      <c r="V99" s="528">
        <f t="shared" si="221"/>
        <v>20254</v>
      </c>
      <c r="W99" s="256">
        <f t="shared" si="234"/>
        <v>20254</v>
      </c>
      <c r="X99" s="148"/>
      <c r="Y99" s="122"/>
      <c r="Z99" s="122"/>
      <c r="AA99" s="125"/>
      <c r="AB99" s="348">
        <v>273</v>
      </c>
      <c r="AC99" s="28"/>
    </row>
    <row r="100" spans="1:29" ht="12.6" customHeight="1" x14ac:dyDescent="0.2">
      <c r="A100" s="17"/>
      <c r="B100" s="654" t="s">
        <v>141</v>
      </c>
      <c r="C100" s="655"/>
      <c r="D100" s="655"/>
      <c r="E100" s="655"/>
      <c r="F100" s="321">
        <f>8.7*X2</f>
        <v>13397.999999999998</v>
      </c>
      <c r="G100" s="255">
        <f t="shared" si="235"/>
        <v>13397.999999999998</v>
      </c>
      <c r="H100" s="520">
        <f>F100+800</f>
        <v>14197.999999999998</v>
      </c>
      <c r="I100" s="255">
        <f t="shared" si="223"/>
        <v>14197.999999999998</v>
      </c>
      <c r="J100" s="68">
        <f t="shared" si="224"/>
        <v>13697.999999999998</v>
      </c>
      <c r="K100" s="255">
        <f t="shared" si="225"/>
        <v>13697.999999999998</v>
      </c>
      <c r="L100" s="520">
        <f t="shared" si="211"/>
        <v>13627.999999999998</v>
      </c>
      <c r="M100" s="255">
        <f t="shared" si="226"/>
        <v>13627.999999999998</v>
      </c>
      <c r="N100" s="520">
        <f t="shared" si="227"/>
        <v>13577.999999999998</v>
      </c>
      <c r="O100" s="255">
        <f t="shared" si="228"/>
        <v>13577.999999999998</v>
      </c>
      <c r="P100" s="520">
        <f t="shared" si="215"/>
        <v>13547.999999999998</v>
      </c>
      <c r="Q100" s="255">
        <f t="shared" si="229"/>
        <v>13547.999999999998</v>
      </c>
      <c r="R100" s="520">
        <f t="shared" si="230"/>
        <v>13517.999999999998</v>
      </c>
      <c r="S100" s="255">
        <f t="shared" si="231"/>
        <v>13517.999999999998</v>
      </c>
      <c r="T100" s="520">
        <f t="shared" si="232"/>
        <v>13497.999999999998</v>
      </c>
      <c r="U100" s="255">
        <f t="shared" si="233"/>
        <v>13497.999999999998</v>
      </c>
      <c r="V100" s="520">
        <f t="shared" si="221"/>
        <v>13477.999999999998</v>
      </c>
      <c r="W100" s="255">
        <f t="shared" si="234"/>
        <v>13477.999999999998</v>
      </c>
      <c r="X100" s="149"/>
      <c r="Y100" s="126"/>
      <c r="Z100" s="122"/>
      <c r="AA100" s="125"/>
      <c r="AB100" s="348">
        <v>278</v>
      </c>
      <c r="AC100" s="28"/>
    </row>
    <row r="101" spans="1:29" ht="12.6" customHeight="1" x14ac:dyDescent="0.2">
      <c r="A101" s="17"/>
      <c r="B101" s="647" t="s">
        <v>825</v>
      </c>
      <c r="C101" s="648"/>
      <c r="D101" s="648"/>
      <c r="E101" s="648"/>
      <c r="F101" s="322">
        <f>1.55*X2</f>
        <v>2387</v>
      </c>
      <c r="G101" s="256">
        <f>+F101*$X$1</f>
        <v>2387</v>
      </c>
      <c r="H101" s="82"/>
      <c r="I101" s="256"/>
      <c r="J101" s="82">
        <f t="shared" si="224"/>
        <v>2687</v>
      </c>
      <c r="K101" s="256">
        <f t="shared" ref="K101:K102" si="236">+J101*$X$1</f>
        <v>2687</v>
      </c>
      <c r="L101" s="528">
        <f t="shared" si="211"/>
        <v>2617</v>
      </c>
      <c r="M101" s="256">
        <f t="shared" ref="M101:M102" si="237">+L101*$X$1</f>
        <v>2617</v>
      </c>
      <c r="N101" s="528">
        <f t="shared" ref="N101:N102" si="238">F101+180</f>
        <v>2567</v>
      </c>
      <c r="O101" s="256">
        <f t="shared" ref="O101:O102" si="239">+N101*$X$1</f>
        <v>2567</v>
      </c>
      <c r="P101" s="528">
        <f t="shared" si="215"/>
        <v>2537</v>
      </c>
      <c r="Q101" s="256">
        <f t="shared" ref="Q101:Q102" si="240">+P101*$X$1</f>
        <v>2537</v>
      </c>
      <c r="R101" s="528">
        <f t="shared" ref="R101:R102" si="241">F101+120</f>
        <v>2507</v>
      </c>
      <c r="S101" s="256">
        <f t="shared" ref="S101:S102" si="242">+R101*$X$1</f>
        <v>2507</v>
      </c>
      <c r="T101" s="528">
        <f t="shared" ref="T101:T102" si="243">F101+100</f>
        <v>2487</v>
      </c>
      <c r="U101" s="256">
        <f t="shared" ref="U101:U102" si="244">+T101*$X$1</f>
        <v>2487</v>
      </c>
      <c r="V101" s="528">
        <f t="shared" si="221"/>
        <v>2467</v>
      </c>
      <c r="W101" s="256">
        <f t="shared" ref="W101:W102" si="245">+V101*$X$1</f>
        <v>2467</v>
      </c>
      <c r="X101" s="146"/>
      <c r="Y101" s="126"/>
      <c r="Z101" s="122"/>
      <c r="AA101" s="125"/>
      <c r="AB101" s="348">
        <v>285</v>
      </c>
      <c r="AC101" s="28"/>
    </row>
    <row r="102" spans="1:29" ht="12.6" customHeight="1" x14ac:dyDescent="0.2">
      <c r="A102" s="17"/>
      <c r="B102" s="988" t="s">
        <v>142</v>
      </c>
      <c r="C102" s="989"/>
      <c r="D102" s="989"/>
      <c r="E102" s="989"/>
      <c r="F102" s="321">
        <f>2.03*X2</f>
        <v>3126.2</v>
      </c>
      <c r="G102" s="255">
        <f>+F102*$X$1</f>
        <v>3126.2</v>
      </c>
      <c r="H102" s="520">
        <f>F102+800</f>
        <v>3926.2</v>
      </c>
      <c r="I102" s="255">
        <f t="shared" ref="I102" si="246">+H102*$X$1</f>
        <v>3926.2</v>
      </c>
      <c r="J102" s="68">
        <f t="shared" si="224"/>
        <v>3426.2</v>
      </c>
      <c r="K102" s="255">
        <f t="shared" si="236"/>
        <v>3426.2</v>
      </c>
      <c r="L102" s="520">
        <f t="shared" si="211"/>
        <v>3356.2</v>
      </c>
      <c r="M102" s="255">
        <f t="shared" si="237"/>
        <v>3356.2</v>
      </c>
      <c r="N102" s="520">
        <f t="shared" si="238"/>
        <v>3306.2</v>
      </c>
      <c r="O102" s="255">
        <f t="shared" si="239"/>
        <v>3306.2</v>
      </c>
      <c r="P102" s="520">
        <f t="shared" si="215"/>
        <v>3276.2</v>
      </c>
      <c r="Q102" s="255">
        <f t="shared" si="240"/>
        <v>3276.2</v>
      </c>
      <c r="R102" s="520">
        <f t="shared" si="241"/>
        <v>3246.2</v>
      </c>
      <c r="S102" s="255">
        <f t="shared" si="242"/>
        <v>3246.2</v>
      </c>
      <c r="T102" s="520">
        <f t="shared" si="243"/>
        <v>3226.2</v>
      </c>
      <c r="U102" s="255">
        <f t="shared" si="244"/>
        <v>3226.2</v>
      </c>
      <c r="V102" s="520">
        <f t="shared" si="221"/>
        <v>3206.2</v>
      </c>
      <c r="W102" s="255">
        <f t="shared" si="245"/>
        <v>3206.2</v>
      </c>
      <c r="X102" s="146"/>
      <c r="Y102" s="126"/>
      <c r="Z102" s="122"/>
      <c r="AA102" s="125"/>
      <c r="AB102" s="348">
        <v>288</v>
      </c>
      <c r="AC102" s="28"/>
    </row>
    <row r="103" spans="1:29" ht="12.6" customHeight="1" x14ac:dyDescent="0.2">
      <c r="A103" s="17"/>
      <c r="B103" s="647" t="s">
        <v>143</v>
      </c>
      <c r="C103" s="648"/>
      <c r="D103" s="648"/>
      <c r="E103" s="648"/>
      <c r="F103" s="256">
        <v>525</v>
      </c>
      <c r="G103" s="256">
        <f>+F103*$X$1</f>
        <v>525</v>
      </c>
      <c r="H103" s="82"/>
      <c r="I103" s="256"/>
      <c r="J103" s="82">
        <f t="shared" si="224"/>
        <v>825</v>
      </c>
      <c r="K103" s="256">
        <f t="shared" si="209"/>
        <v>825</v>
      </c>
      <c r="L103" s="528">
        <f t="shared" si="211"/>
        <v>755</v>
      </c>
      <c r="M103" s="256">
        <f t="shared" ref="M103" si="247">+L103*$X$1</f>
        <v>755</v>
      </c>
      <c r="N103" s="528">
        <f t="shared" ref="N103" si="248">F103+180</f>
        <v>705</v>
      </c>
      <c r="O103" s="256">
        <f t="shared" ref="O103" si="249">+N103*$X$1</f>
        <v>705</v>
      </c>
      <c r="P103" s="528">
        <f t="shared" si="215"/>
        <v>675</v>
      </c>
      <c r="Q103" s="256">
        <f t="shared" ref="Q103" si="250">+P103*$X$1</f>
        <v>675</v>
      </c>
      <c r="R103" s="528">
        <f t="shared" ref="R103" si="251">F103+120</f>
        <v>645</v>
      </c>
      <c r="S103" s="256">
        <f t="shared" ref="S103" si="252">+R103*$X$1</f>
        <v>645</v>
      </c>
      <c r="T103" s="528">
        <f t="shared" ref="T103" si="253">F103+100</f>
        <v>625</v>
      </c>
      <c r="U103" s="256">
        <f t="shared" ref="U103" si="254">+T103*$X$1</f>
        <v>625</v>
      </c>
      <c r="V103" s="528">
        <f t="shared" si="221"/>
        <v>605</v>
      </c>
      <c r="W103" s="256">
        <f t="shared" ref="W103" si="255">+V103*$X$1</f>
        <v>605</v>
      </c>
      <c r="X103" s="146"/>
      <c r="Y103" s="126"/>
      <c r="Z103" s="122"/>
      <c r="AA103" s="125"/>
      <c r="AB103" s="348">
        <v>289</v>
      </c>
      <c r="AC103" s="28"/>
    </row>
    <row r="104" spans="1:29" ht="12.6" customHeight="1" x14ac:dyDescent="0.2">
      <c r="A104" s="17"/>
      <c r="B104" s="654" t="s">
        <v>144</v>
      </c>
      <c r="C104" s="655"/>
      <c r="D104" s="655"/>
      <c r="E104" s="655"/>
      <c r="F104" s="255"/>
      <c r="G104" s="953" t="s">
        <v>836</v>
      </c>
      <c r="H104" s="954"/>
      <c r="I104" s="954"/>
      <c r="J104" s="954"/>
      <c r="K104" s="954"/>
      <c r="L104" s="954"/>
      <c r="M104" s="954"/>
      <c r="N104" s="524">
        <v>750</v>
      </c>
      <c r="O104" s="255">
        <f t="shared" ref="O104:Q107" si="256">+N104*$X$1</f>
        <v>750</v>
      </c>
      <c r="P104" s="281">
        <v>724</v>
      </c>
      <c r="Q104" s="255">
        <f t="shared" si="256"/>
        <v>724</v>
      </c>
      <c r="R104" s="68">
        <v>664</v>
      </c>
      <c r="S104" s="255">
        <f t="shared" ref="S104:S107" si="257">+R104*$X$1</f>
        <v>664</v>
      </c>
      <c r="T104" s="520">
        <v>625</v>
      </c>
      <c r="U104" s="255">
        <f t="shared" ref="U104:U107" si="258">+T104*$X$1</f>
        <v>625</v>
      </c>
      <c r="V104" s="520">
        <v>534</v>
      </c>
      <c r="W104" s="255">
        <f t="shared" ref="W104:W107" si="259">+V104*$X$1</f>
        <v>534</v>
      </c>
      <c r="X104" s="1099"/>
      <c r="Y104" s="1100"/>
      <c r="Z104" s="1100"/>
      <c r="AA104" s="1101"/>
      <c r="AB104" s="348">
        <v>290</v>
      </c>
    </row>
    <row r="105" spans="1:29" ht="12.6" customHeight="1" x14ac:dyDescent="0.2">
      <c r="A105" s="17"/>
      <c r="B105" s="647" t="s">
        <v>359</v>
      </c>
      <c r="C105" s="648"/>
      <c r="D105" s="648"/>
      <c r="E105" s="648"/>
      <c r="F105" s="256"/>
      <c r="G105" s="953" t="s">
        <v>524</v>
      </c>
      <c r="H105" s="954"/>
      <c r="I105" s="954"/>
      <c r="J105" s="954"/>
      <c r="K105" s="954"/>
      <c r="L105" s="954"/>
      <c r="M105" s="955"/>
      <c r="N105" s="525">
        <v>910</v>
      </c>
      <c r="O105" s="256">
        <f t="shared" si="256"/>
        <v>910</v>
      </c>
      <c r="P105" s="252">
        <v>875</v>
      </c>
      <c r="Q105" s="256">
        <f t="shared" si="256"/>
        <v>875</v>
      </c>
      <c r="R105" s="82">
        <v>805</v>
      </c>
      <c r="S105" s="256">
        <f t="shared" si="257"/>
        <v>805</v>
      </c>
      <c r="T105" s="526">
        <v>757</v>
      </c>
      <c r="U105" s="256">
        <f t="shared" si="258"/>
        <v>757</v>
      </c>
      <c r="V105" s="526">
        <v>647</v>
      </c>
      <c r="W105" s="256">
        <f t="shared" si="259"/>
        <v>647</v>
      </c>
      <c r="X105" s="1099"/>
      <c r="Y105" s="1100"/>
      <c r="Z105" s="1100"/>
      <c r="AA105" s="1101"/>
      <c r="AB105" s="348" t="s">
        <v>145</v>
      </c>
    </row>
    <row r="106" spans="1:29" ht="12.6" customHeight="1" x14ac:dyDescent="0.2">
      <c r="A106" s="17"/>
      <c r="B106" s="654" t="s">
        <v>360</v>
      </c>
      <c r="C106" s="655"/>
      <c r="D106" s="655"/>
      <c r="E106" s="655"/>
      <c r="F106" s="255"/>
      <c r="G106" s="953" t="s">
        <v>523</v>
      </c>
      <c r="H106" s="954"/>
      <c r="I106" s="954"/>
      <c r="J106" s="954"/>
      <c r="K106" s="954"/>
      <c r="L106" s="954"/>
      <c r="M106" s="955"/>
      <c r="N106" s="281">
        <v>930</v>
      </c>
      <c r="O106" s="255">
        <f t="shared" ref="O106:O107" si="260">+N106*$X$1</f>
        <v>930</v>
      </c>
      <c r="P106" s="281">
        <v>903</v>
      </c>
      <c r="Q106" s="255">
        <f t="shared" si="256"/>
        <v>903</v>
      </c>
      <c r="R106" s="524">
        <v>831</v>
      </c>
      <c r="S106" s="255">
        <f t="shared" si="257"/>
        <v>831</v>
      </c>
      <c r="T106" s="520">
        <v>782</v>
      </c>
      <c r="U106" s="255">
        <f t="shared" si="258"/>
        <v>782</v>
      </c>
      <c r="V106" s="520">
        <v>667</v>
      </c>
      <c r="W106" s="255">
        <f t="shared" si="259"/>
        <v>667</v>
      </c>
      <c r="X106" s="1099"/>
      <c r="Y106" s="1100"/>
      <c r="Z106" s="1100"/>
      <c r="AA106" s="1101"/>
      <c r="AB106" s="348">
        <v>291</v>
      </c>
    </row>
    <row r="107" spans="1:29" ht="12.6" customHeight="1" x14ac:dyDescent="0.2">
      <c r="A107" s="17"/>
      <c r="B107" s="647" t="s">
        <v>361</v>
      </c>
      <c r="C107" s="648"/>
      <c r="D107" s="648"/>
      <c r="E107" s="648"/>
      <c r="F107" s="256"/>
      <c r="G107" s="953" t="s">
        <v>524</v>
      </c>
      <c r="H107" s="954"/>
      <c r="I107" s="954"/>
      <c r="J107" s="954"/>
      <c r="K107" s="954"/>
      <c r="L107" s="954"/>
      <c r="M107" s="955"/>
      <c r="N107" s="252">
        <v>1160</v>
      </c>
      <c r="O107" s="256">
        <f t="shared" si="260"/>
        <v>1160</v>
      </c>
      <c r="P107" s="252">
        <v>1130</v>
      </c>
      <c r="Q107" s="256">
        <f t="shared" si="256"/>
        <v>1130</v>
      </c>
      <c r="R107" s="82">
        <v>1042</v>
      </c>
      <c r="S107" s="256">
        <f t="shared" si="257"/>
        <v>1042</v>
      </c>
      <c r="T107" s="526">
        <v>981</v>
      </c>
      <c r="U107" s="256">
        <f t="shared" si="258"/>
        <v>981</v>
      </c>
      <c r="V107" s="526">
        <v>837</v>
      </c>
      <c r="W107" s="256">
        <f t="shared" si="259"/>
        <v>837</v>
      </c>
      <c r="X107" s="1099"/>
      <c r="Y107" s="1100"/>
      <c r="Z107" s="1100"/>
      <c r="AA107" s="1101"/>
      <c r="AB107" s="348" t="s">
        <v>146</v>
      </c>
    </row>
    <row r="108" spans="1:29" ht="12.6" customHeight="1" x14ac:dyDescent="0.2">
      <c r="A108" s="17"/>
      <c r="B108" s="654" t="s">
        <v>837</v>
      </c>
      <c r="C108" s="655"/>
      <c r="D108" s="655"/>
      <c r="E108" s="655"/>
      <c r="F108" s="255"/>
      <c r="G108" s="953" t="s">
        <v>523</v>
      </c>
      <c r="H108" s="954"/>
      <c r="I108" s="954"/>
      <c r="J108" s="954"/>
      <c r="K108" s="954"/>
      <c r="L108" s="954"/>
      <c r="M108" s="955"/>
      <c r="N108" s="281">
        <v>590</v>
      </c>
      <c r="O108" s="255">
        <f t="shared" ref="O108" si="261">+N108*$X$1</f>
        <v>590</v>
      </c>
      <c r="P108" s="281">
        <v>550</v>
      </c>
      <c r="Q108" s="255">
        <f t="shared" ref="Q108" si="262">+P108*$X$1</f>
        <v>550</v>
      </c>
      <c r="R108" s="524">
        <v>498</v>
      </c>
      <c r="S108" s="255">
        <f t="shared" ref="S108" si="263">+R108*$X$1</f>
        <v>498</v>
      </c>
      <c r="T108" s="520">
        <v>468</v>
      </c>
      <c r="U108" s="255">
        <f t="shared" ref="U108" si="264">+T108*$X$1</f>
        <v>468</v>
      </c>
      <c r="V108" s="520">
        <v>399</v>
      </c>
      <c r="W108" s="255">
        <f t="shared" ref="W108" si="265">+V108*$X$1</f>
        <v>399</v>
      </c>
      <c r="X108" s="1099"/>
      <c r="Y108" s="1100"/>
      <c r="Z108" s="1100"/>
      <c r="AA108" s="1101"/>
      <c r="AB108" s="348">
        <v>292</v>
      </c>
    </row>
    <row r="109" spans="1:29" ht="12.6" customHeight="1" x14ac:dyDescent="0.2">
      <c r="A109" s="17"/>
      <c r="B109" s="647" t="s">
        <v>879</v>
      </c>
      <c r="C109" s="648"/>
      <c r="D109" s="648"/>
      <c r="E109" s="648"/>
      <c r="F109" s="256"/>
      <c r="G109" s="953" t="s">
        <v>524</v>
      </c>
      <c r="H109" s="954"/>
      <c r="I109" s="954"/>
      <c r="J109" s="954"/>
      <c r="K109" s="954"/>
      <c r="L109" s="954"/>
      <c r="M109" s="955"/>
      <c r="N109" s="252">
        <v>670</v>
      </c>
      <c r="O109" s="256">
        <f t="shared" ref="O109:O110" si="266">+N109*$X$1</f>
        <v>670</v>
      </c>
      <c r="P109" s="252">
        <v>620</v>
      </c>
      <c r="Q109" s="256">
        <f t="shared" ref="Q109:Q110" si="267">+P109*$X$1</f>
        <v>620</v>
      </c>
      <c r="R109" s="525">
        <v>570</v>
      </c>
      <c r="S109" s="256">
        <f t="shared" ref="S109:S110" si="268">+R109*$X$1</f>
        <v>570</v>
      </c>
      <c r="T109" s="526">
        <v>535</v>
      </c>
      <c r="U109" s="256">
        <f t="shared" ref="U109:U110" si="269">+T109*$X$1</f>
        <v>535</v>
      </c>
      <c r="V109" s="526">
        <v>455</v>
      </c>
      <c r="W109" s="256">
        <f t="shared" ref="W109:W110" si="270">+V109*$X$1</f>
        <v>455</v>
      </c>
      <c r="X109" s="1099"/>
      <c r="Y109" s="1100"/>
      <c r="Z109" s="1100"/>
      <c r="AA109" s="1101"/>
      <c r="AB109" s="348" t="s">
        <v>877</v>
      </c>
    </row>
    <row r="110" spans="1:29" ht="12.6" customHeight="1" x14ac:dyDescent="0.2">
      <c r="A110" s="17"/>
      <c r="B110" s="654" t="s">
        <v>838</v>
      </c>
      <c r="C110" s="655"/>
      <c r="D110" s="655"/>
      <c r="E110" s="655"/>
      <c r="F110" s="255"/>
      <c r="G110" s="953" t="s">
        <v>523</v>
      </c>
      <c r="H110" s="954"/>
      <c r="I110" s="954"/>
      <c r="J110" s="954"/>
      <c r="K110" s="954"/>
      <c r="L110" s="954"/>
      <c r="M110" s="955"/>
      <c r="N110" s="281">
        <v>1150</v>
      </c>
      <c r="O110" s="255">
        <f t="shared" si="266"/>
        <v>1150</v>
      </c>
      <c r="P110" s="281">
        <v>1110</v>
      </c>
      <c r="Q110" s="255">
        <f t="shared" si="267"/>
        <v>1110</v>
      </c>
      <c r="R110" s="524">
        <v>1010</v>
      </c>
      <c r="S110" s="255">
        <f t="shared" si="268"/>
        <v>1010</v>
      </c>
      <c r="T110" s="520">
        <v>950</v>
      </c>
      <c r="U110" s="255">
        <f t="shared" si="269"/>
        <v>950</v>
      </c>
      <c r="V110" s="520">
        <v>810</v>
      </c>
      <c r="W110" s="255">
        <f t="shared" si="270"/>
        <v>810</v>
      </c>
      <c r="X110" s="1099"/>
      <c r="Y110" s="1100"/>
      <c r="Z110" s="1100"/>
      <c r="AA110" s="1101"/>
      <c r="AB110" s="348">
        <v>293</v>
      </c>
    </row>
    <row r="111" spans="1:29" ht="12.6" customHeight="1" x14ac:dyDescent="0.2">
      <c r="A111" s="17"/>
      <c r="B111" s="647" t="s">
        <v>880</v>
      </c>
      <c r="C111" s="648"/>
      <c r="D111" s="648"/>
      <c r="E111" s="648"/>
      <c r="F111" s="256"/>
      <c r="G111" s="953" t="s">
        <v>524</v>
      </c>
      <c r="H111" s="954"/>
      <c r="I111" s="1117"/>
      <c r="J111" s="1117"/>
      <c r="K111" s="1117"/>
      <c r="L111" s="1117"/>
      <c r="M111" s="1118"/>
      <c r="N111" s="252">
        <v>1260</v>
      </c>
      <c r="O111" s="256">
        <f t="shared" ref="O111:W115" si="271">+N111*$X$1</f>
        <v>1260</v>
      </c>
      <c r="P111" s="252">
        <v>1200</v>
      </c>
      <c r="Q111" s="256">
        <f t="shared" ref="Q111" si="272">+P111*$X$1</f>
        <v>1200</v>
      </c>
      <c r="R111" s="525">
        <v>1080</v>
      </c>
      <c r="S111" s="256">
        <f t="shared" ref="S111" si="273">+R111*$X$1</f>
        <v>1080</v>
      </c>
      <c r="T111" s="526">
        <v>1015</v>
      </c>
      <c r="U111" s="256">
        <f t="shared" ref="U111" si="274">+T111*$X$1</f>
        <v>1015</v>
      </c>
      <c r="V111" s="526">
        <v>866</v>
      </c>
      <c r="W111" s="256">
        <f t="shared" ref="W111" si="275">+V111*$X$1</f>
        <v>866</v>
      </c>
      <c r="X111" s="1099"/>
      <c r="Y111" s="1100"/>
      <c r="Z111" s="1100"/>
      <c r="AA111" s="1101"/>
      <c r="AB111" s="348" t="s">
        <v>878</v>
      </c>
    </row>
    <row r="112" spans="1:29" ht="12.6" customHeight="1" x14ac:dyDescent="0.2">
      <c r="A112" s="17"/>
      <c r="B112" s="654" t="s">
        <v>881</v>
      </c>
      <c r="C112" s="655"/>
      <c r="D112" s="655"/>
      <c r="E112" s="655"/>
      <c r="F112" s="255"/>
      <c r="G112" s="953" t="s">
        <v>523</v>
      </c>
      <c r="H112" s="954"/>
      <c r="I112" s="954"/>
      <c r="J112" s="954"/>
      <c r="K112" s="954"/>
      <c r="L112" s="954"/>
      <c r="M112" s="955"/>
      <c r="N112" s="281">
        <v>770</v>
      </c>
      <c r="O112" s="255">
        <f t="shared" si="271"/>
        <v>770</v>
      </c>
      <c r="P112" s="281">
        <v>690</v>
      </c>
      <c r="Q112" s="255">
        <f t="shared" si="271"/>
        <v>690</v>
      </c>
      <c r="R112" s="524">
        <v>639</v>
      </c>
      <c r="S112" s="255">
        <f t="shared" si="271"/>
        <v>639</v>
      </c>
      <c r="T112" s="520">
        <v>601</v>
      </c>
      <c r="U112" s="255">
        <f t="shared" si="271"/>
        <v>601</v>
      </c>
      <c r="V112" s="520">
        <v>512</v>
      </c>
      <c r="W112" s="255">
        <f t="shared" si="271"/>
        <v>512</v>
      </c>
      <c r="X112" s="1099"/>
      <c r="Y112" s="1100"/>
      <c r="Z112" s="1100"/>
      <c r="AA112" s="1101"/>
      <c r="AB112" s="348">
        <v>294</v>
      </c>
    </row>
    <row r="113" spans="1:28" ht="12.6" customHeight="1" x14ac:dyDescent="0.2">
      <c r="A113" s="17"/>
      <c r="B113" s="647" t="s">
        <v>882</v>
      </c>
      <c r="C113" s="648"/>
      <c r="D113" s="648"/>
      <c r="E113" s="648"/>
      <c r="F113" s="256"/>
      <c r="G113" s="953" t="s">
        <v>524</v>
      </c>
      <c r="H113" s="954"/>
      <c r="I113" s="1117"/>
      <c r="J113" s="1117"/>
      <c r="K113" s="1117"/>
      <c r="L113" s="1117"/>
      <c r="M113" s="1118"/>
      <c r="N113" s="252">
        <v>840</v>
      </c>
      <c r="O113" s="256">
        <f t="shared" si="271"/>
        <v>840</v>
      </c>
      <c r="P113" s="252">
        <v>770</v>
      </c>
      <c r="Q113" s="256">
        <f t="shared" si="271"/>
        <v>770</v>
      </c>
      <c r="R113" s="525">
        <v>709</v>
      </c>
      <c r="S113" s="256">
        <f t="shared" si="271"/>
        <v>709</v>
      </c>
      <c r="T113" s="526">
        <v>667</v>
      </c>
      <c r="U113" s="256">
        <f t="shared" si="271"/>
        <v>667</v>
      </c>
      <c r="V113" s="526">
        <v>570</v>
      </c>
      <c r="W113" s="256">
        <f t="shared" si="271"/>
        <v>570</v>
      </c>
      <c r="X113" s="1099"/>
      <c r="Y113" s="1100"/>
      <c r="Z113" s="1100"/>
      <c r="AA113" s="1101"/>
      <c r="AB113" s="348" t="s">
        <v>883</v>
      </c>
    </row>
    <row r="114" spans="1:28" ht="12.6" customHeight="1" x14ac:dyDescent="0.2">
      <c r="A114" s="17"/>
      <c r="B114" s="654" t="s">
        <v>885</v>
      </c>
      <c r="C114" s="655"/>
      <c r="D114" s="655"/>
      <c r="E114" s="655"/>
      <c r="F114" s="255"/>
      <c r="G114" s="953" t="s">
        <v>523</v>
      </c>
      <c r="H114" s="954"/>
      <c r="I114" s="954"/>
      <c r="J114" s="954"/>
      <c r="K114" s="954"/>
      <c r="L114" s="954"/>
      <c r="M114" s="955"/>
      <c r="N114" s="281">
        <v>1998</v>
      </c>
      <c r="O114" s="255">
        <f t="shared" si="271"/>
        <v>1998</v>
      </c>
      <c r="P114" s="281">
        <v>1911</v>
      </c>
      <c r="Q114" s="255">
        <f t="shared" si="271"/>
        <v>1911</v>
      </c>
      <c r="R114" s="524">
        <v>1764</v>
      </c>
      <c r="S114" s="255">
        <f t="shared" si="271"/>
        <v>1764</v>
      </c>
      <c r="T114" s="520">
        <v>1670</v>
      </c>
      <c r="U114" s="255">
        <f t="shared" si="271"/>
        <v>1670</v>
      </c>
      <c r="V114" s="520">
        <v>1415</v>
      </c>
      <c r="W114" s="255">
        <f t="shared" si="271"/>
        <v>1415</v>
      </c>
      <c r="X114" s="1099"/>
      <c r="Y114" s="1100"/>
      <c r="Z114" s="1100"/>
      <c r="AA114" s="1101"/>
      <c r="AB114" s="348">
        <v>295</v>
      </c>
    </row>
    <row r="115" spans="1:28" ht="12.6" customHeight="1" x14ac:dyDescent="0.2">
      <c r="A115" s="17"/>
      <c r="B115" s="647" t="s">
        <v>884</v>
      </c>
      <c r="C115" s="648"/>
      <c r="D115" s="648"/>
      <c r="E115" s="648"/>
      <c r="F115" s="256"/>
      <c r="G115" s="953" t="s">
        <v>524</v>
      </c>
      <c r="H115" s="954"/>
      <c r="I115" s="1117"/>
      <c r="J115" s="1117"/>
      <c r="K115" s="1117"/>
      <c r="L115" s="1117"/>
      <c r="M115" s="1118"/>
      <c r="N115" s="252">
        <v>2070</v>
      </c>
      <c r="O115" s="256">
        <f t="shared" si="271"/>
        <v>2070</v>
      </c>
      <c r="P115" s="252">
        <v>1991</v>
      </c>
      <c r="Q115" s="256">
        <f t="shared" si="271"/>
        <v>1991</v>
      </c>
      <c r="R115" s="525">
        <v>1833</v>
      </c>
      <c r="S115" s="256">
        <f t="shared" si="271"/>
        <v>1833</v>
      </c>
      <c r="T115" s="526">
        <v>1725</v>
      </c>
      <c r="U115" s="256">
        <f t="shared" si="271"/>
        <v>1725</v>
      </c>
      <c r="V115" s="526">
        <v>1471</v>
      </c>
      <c r="W115" s="256">
        <f t="shared" si="271"/>
        <v>1471</v>
      </c>
      <c r="X115" s="1099"/>
      <c r="Y115" s="1100"/>
      <c r="Z115" s="1100"/>
      <c r="AA115" s="1101"/>
      <c r="AB115" s="348" t="s">
        <v>957</v>
      </c>
    </row>
    <row r="116" spans="1:28" ht="12.6" customHeight="1" x14ac:dyDescent="0.2">
      <c r="A116" s="17"/>
      <c r="B116" s="654" t="s">
        <v>886</v>
      </c>
      <c r="C116" s="655"/>
      <c r="D116" s="655"/>
      <c r="E116" s="655"/>
      <c r="F116" s="255"/>
      <c r="G116" s="953" t="s">
        <v>523</v>
      </c>
      <c r="H116" s="954"/>
      <c r="I116" s="954"/>
      <c r="J116" s="954"/>
      <c r="K116" s="954"/>
      <c r="L116" s="954"/>
      <c r="M116" s="955"/>
      <c r="N116" s="281">
        <v>1998</v>
      </c>
      <c r="O116" s="255">
        <f t="shared" ref="O116:O117" si="276">+N116*$X$1</f>
        <v>1998</v>
      </c>
      <c r="P116" s="281">
        <v>1911</v>
      </c>
      <c r="Q116" s="255">
        <f t="shared" ref="Q116:Q117" si="277">+P116*$X$1</f>
        <v>1911</v>
      </c>
      <c r="R116" s="556">
        <v>1764</v>
      </c>
      <c r="S116" s="255">
        <f t="shared" ref="S116:S117" si="278">+R116*$X$1</f>
        <v>1764</v>
      </c>
      <c r="T116" s="520">
        <v>1670</v>
      </c>
      <c r="U116" s="255">
        <f t="shared" ref="U116:U117" si="279">+T116*$X$1</f>
        <v>1670</v>
      </c>
      <c r="V116" s="520">
        <v>1415</v>
      </c>
      <c r="W116" s="255">
        <f t="shared" ref="W116:W117" si="280">+V116*$X$1</f>
        <v>1415</v>
      </c>
      <c r="X116" s="1099"/>
      <c r="Y116" s="1100"/>
      <c r="Z116" s="1100"/>
      <c r="AA116" s="1101"/>
      <c r="AB116" s="348">
        <v>298</v>
      </c>
    </row>
    <row r="117" spans="1:28" ht="12.6" customHeight="1" x14ac:dyDescent="0.2">
      <c r="A117" s="17"/>
      <c r="B117" s="647" t="s">
        <v>888</v>
      </c>
      <c r="C117" s="648"/>
      <c r="D117" s="648"/>
      <c r="E117" s="648"/>
      <c r="F117" s="256"/>
      <c r="G117" s="953" t="s">
        <v>524</v>
      </c>
      <c r="H117" s="954"/>
      <c r="I117" s="1117"/>
      <c r="J117" s="1117"/>
      <c r="K117" s="1117"/>
      <c r="L117" s="1117"/>
      <c r="M117" s="1118"/>
      <c r="N117" s="252">
        <v>2070</v>
      </c>
      <c r="O117" s="256">
        <f t="shared" si="276"/>
        <v>2070</v>
      </c>
      <c r="P117" s="252">
        <v>1991</v>
      </c>
      <c r="Q117" s="256">
        <f t="shared" si="277"/>
        <v>1991</v>
      </c>
      <c r="R117" s="555">
        <v>1833</v>
      </c>
      <c r="S117" s="256">
        <f t="shared" si="278"/>
        <v>1833</v>
      </c>
      <c r="T117" s="528">
        <v>1725</v>
      </c>
      <c r="U117" s="256">
        <f t="shared" si="279"/>
        <v>1725</v>
      </c>
      <c r="V117" s="528">
        <v>1471</v>
      </c>
      <c r="W117" s="256">
        <f t="shared" si="280"/>
        <v>1471</v>
      </c>
      <c r="X117" s="1099"/>
      <c r="Y117" s="1100"/>
      <c r="Z117" s="1100"/>
      <c r="AA117" s="1101"/>
      <c r="AB117" s="348" t="s">
        <v>887</v>
      </c>
    </row>
    <row r="118" spans="1:28" ht="12.6" customHeight="1" x14ac:dyDescent="0.2">
      <c r="A118" s="17"/>
      <c r="B118" s="686" t="s">
        <v>868</v>
      </c>
      <c r="C118" s="687"/>
      <c r="D118" s="687"/>
      <c r="E118" s="687"/>
      <c r="F118" s="270">
        <v>460</v>
      </c>
      <c r="G118" s="255">
        <f>+F118*$X$1</f>
        <v>460</v>
      </c>
      <c r="H118" s="84"/>
      <c r="I118" s="1123" t="s">
        <v>867</v>
      </c>
      <c r="J118" s="1124"/>
      <c r="K118" s="1124"/>
      <c r="L118" s="1124"/>
      <c r="M118" s="1124"/>
      <c r="N118" s="1124"/>
      <c r="O118" s="1124"/>
      <c r="P118" s="1124"/>
      <c r="Q118" s="1124"/>
      <c r="R118" s="1124"/>
      <c r="S118" s="1124"/>
      <c r="T118" s="1124"/>
      <c r="U118" s="1124"/>
      <c r="V118" s="1124"/>
      <c r="W118" s="1125"/>
      <c r="X118" s="637"/>
      <c r="Y118" s="632"/>
      <c r="Z118" s="632"/>
      <c r="AA118" s="634"/>
      <c r="AB118" s="348" t="s">
        <v>874</v>
      </c>
    </row>
    <row r="119" spans="1:28" ht="12.6" customHeight="1" x14ac:dyDescent="0.2">
      <c r="A119" s="17"/>
      <c r="B119" s="652" t="s">
        <v>869</v>
      </c>
      <c r="C119" s="698"/>
      <c r="D119" s="698"/>
      <c r="E119" s="698"/>
      <c r="F119" s="280">
        <v>260</v>
      </c>
      <c r="G119" s="256">
        <f t="shared" ref="G119" si="281">+F119*$X$1</f>
        <v>260</v>
      </c>
      <c r="H119" s="107"/>
      <c r="I119" s="1126"/>
      <c r="J119" s="1127"/>
      <c r="K119" s="1127"/>
      <c r="L119" s="1127"/>
      <c r="M119" s="1127"/>
      <c r="N119" s="1127"/>
      <c r="O119" s="1127"/>
      <c r="P119" s="1127"/>
      <c r="Q119" s="1127"/>
      <c r="R119" s="1127"/>
      <c r="S119" s="1127"/>
      <c r="T119" s="1127"/>
      <c r="U119" s="1127"/>
      <c r="V119" s="1127"/>
      <c r="W119" s="1128"/>
      <c r="X119" s="637"/>
      <c r="Y119" s="632"/>
      <c r="Z119" s="632"/>
      <c r="AA119" s="634"/>
      <c r="AB119" s="348" t="s">
        <v>875</v>
      </c>
    </row>
    <row r="120" spans="1:28" ht="12.6" customHeight="1" x14ac:dyDescent="0.2">
      <c r="A120" s="17"/>
      <c r="B120" s="686" t="s">
        <v>866</v>
      </c>
      <c r="C120" s="687"/>
      <c r="D120" s="687"/>
      <c r="E120" s="687"/>
      <c r="F120" s="270">
        <v>345</v>
      </c>
      <c r="G120" s="255">
        <f>+F120*$X$1</f>
        <v>345</v>
      </c>
      <c r="H120" s="107"/>
      <c r="I120" s="1129"/>
      <c r="J120" s="1130"/>
      <c r="K120" s="1130"/>
      <c r="L120" s="1130"/>
      <c r="M120" s="1130"/>
      <c r="N120" s="1130"/>
      <c r="O120" s="1130"/>
      <c r="P120" s="1130"/>
      <c r="Q120" s="1130"/>
      <c r="R120" s="1130"/>
      <c r="S120" s="1130"/>
      <c r="T120" s="1130"/>
      <c r="U120" s="1130"/>
      <c r="V120" s="1130"/>
      <c r="W120" s="1131"/>
      <c r="X120" s="637"/>
      <c r="Y120" s="632"/>
      <c r="Z120" s="632"/>
      <c r="AA120" s="634"/>
      <c r="AB120" s="348" t="s">
        <v>876</v>
      </c>
    </row>
    <row r="121" spans="1:28" ht="12.6" customHeight="1" x14ac:dyDescent="0.2">
      <c r="A121" s="17"/>
      <c r="B121" s="647" t="s">
        <v>673</v>
      </c>
      <c r="C121" s="648"/>
      <c r="D121" s="648"/>
      <c r="E121" s="648"/>
      <c r="F121" s="307"/>
      <c r="G121" s="953" t="s">
        <v>358</v>
      </c>
      <c r="H121" s="954"/>
      <c r="I121" s="954"/>
      <c r="J121" s="954"/>
      <c r="K121" s="955"/>
      <c r="L121" s="503">
        <v>2140</v>
      </c>
      <c r="M121" s="256">
        <f t="shared" ref="M121:O134" si="282">+L121*$X$1</f>
        <v>2140</v>
      </c>
      <c r="N121" s="113">
        <v>1896</v>
      </c>
      <c r="O121" s="256">
        <f t="shared" si="282"/>
        <v>1896</v>
      </c>
      <c r="P121" s="327">
        <v>1891</v>
      </c>
      <c r="Q121" s="256">
        <f t="shared" ref="Q121:Q133" si="283">+P121*$X$1</f>
        <v>1891</v>
      </c>
      <c r="R121" s="389">
        <v>1741</v>
      </c>
      <c r="S121" s="256">
        <f t="shared" ref="S121:S134" si="284">+R121*$X$1</f>
        <v>1741</v>
      </c>
      <c r="T121" s="389">
        <v>1639</v>
      </c>
      <c r="U121" s="280">
        <f t="shared" ref="U121:U127" si="285">+T121*$X$1</f>
        <v>1639</v>
      </c>
      <c r="V121" s="389">
        <v>857</v>
      </c>
      <c r="W121" s="280">
        <f t="shared" ref="W121:W133" si="286">+V121*$X$1</f>
        <v>857</v>
      </c>
      <c r="X121" s="1099"/>
      <c r="Y121" s="1100"/>
      <c r="Z121" s="1100"/>
      <c r="AA121" s="1101"/>
      <c r="AB121" s="348">
        <v>301</v>
      </c>
    </row>
    <row r="122" spans="1:28" ht="12.6" customHeight="1" x14ac:dyDescent="0.2">
      <c r="A122" s="17"/>
      <c r="B122" s="654" t="s">
        <v>674</v>
      </c>
      <c r="C122" s="655"/>
      <c r="D122" s="655"/>
      <c r="E122" s="655"/>
      <c r="F122" s="308"/>
      <c r="G122" s="953" t="s">
        <v>358</v>
      </c>
      <c r="H122" s="954"/>
      <c r="I122" s="954"/>
      <c r="J122" s="954"/>
      <c r="K122" s="955"/>
      <c r="L122" s="267">
        <v>2350</v>
      </c>
      <c r="M122" s="485">
        <f t="shared" si="282"/>
        <v>2350</v>
      </c>
      <c r="N122" s="335">
        <v>2053</v>
      </c>
      <c r="O122" s="485">
        <f t="shared" si="282"/>
        <v>2053</v>
      </c>
      <c r="P122" s="268">
        <v>2045</v>
      </c>
      <c r="Q122" s="255">
        <f t="shared" si="283"/>
        <v>2045</v>
      </c>
      <c r="R122" s="107">
        <v>1882</v>
      </c>
      <c r="S122" s="485">
        <f t="shared" si="284"/>
        <v>1882</v>
      </c>
      <c r="T122" s="501">
        <v>1771</v>
      </c>
      <c r="U122" s="270">
        <f t="shared" si="285"/>
        <v>1771</v>
      </c>
      <c r="V122" s="501">
        <v>1004</v>
      </c>
      <c r="W122" s="270">
        <f t="shared" si="286"/>
        <v>1004</v>
      </c>
      <c r="X122" s="1099"/>
      <c r="Y122" s="1100"/>
      <c r="Z122" s="1100"/>
      <c r="AA122" s="1101"/>
      <c r="AB122" s="348" t="s">
        <v>147</v>
      </c>
    </row>
    <row r="123" spans="1:28" ht="12.6" customHeight="1" x14ac:dyDescent="0.2">
      <c r="A123" s="17"/>
      <c r="B123" s="647" t="s">
        <v>675</v>
      </c>
      <c r="C123" s="648"/>
      <c r="D123" s="648"/>
      <c r="E123" s="648"/>
      <c r="F123" s="307"/>
      <c r="G123" s="953" t="s">
        <v>358</v>
      </c>
      <c r="H123" s="954"/>
      <c r="I123" s="954"/>
      <c r="J123" s="954"/>
      <c r="K123" s="955"/>
      <c r="L123" s="503">
        <v>3720</v>
      </c>
      <c r="M123" s="256">
        <f t="shared" ref="M123" si="287">+L123*$X$1</f>
        <v>3720</v>
      </c>
      <c r="N123" s="113">
        <v>3271</v>
      </c>
      <c r="O123" s="256">
        <f t="shared" ref="O123" si="288">+N123*$X$1</f>
        <v>3271</v>
      </c>
      <c r="P123" s="327">
        <v>3265</v>
      </c>
      <c r="Q123" s="256">
        <f t="shared" ref="Q123" si="289">+P123*$X$1</f>
        <v>3265</v>
      </c>
      <c r="R123" s="389">
        <v>3005</v>
      </c>
      <c r="S123" s="256">
        <f t="shared" ref="S123" si="290">+R123*$X$1</f>
        <v>3005</v>
      </c>
      <c r="T123" s="389">
        <v>2829</v>
      </c>
      <c r="U123" s="280">
        <f t="shared" ref="U123" si="291">+T123*$X$1</f>
        <v>2829</v>
      </c>
      <c r="V123" s="389">
        <v>1927</v>
      </c>
      <c r="W123" s="280">
        <f t="shared" ref="W123" si="292">+V123*$X$1</f>
        <v>1927</v>
      </c>
      <c r="X123" s="1099"/>
      <c r="Y123" s="1100"/>
      <c r="Z123" s="1100"/>
      <c r="AA123" s="1101"/>
      <c r="AB123" s="348" t="s">
        <v>148</v>
      </c>
    </row>
    <row r="124" spans="1:28" ht="12.6" customHeight="1" x14ac:dyDescent="0.2">
      <c r="A124" s="17"/>
      <c r="B124" s="654" t="s">
        <v>690</v>
      </c>
      <c r="C124" s="775"/>
      <c r="D124" s="775"/>
      <c r="E124" s="775"/>
      <c r="F124" s="308"/>
      <c r="G124" s="953" t="s">
        <v>358</v>
      </c>
      <c r="H124" s="954"/>
      <c r="I124" s="954"/>
      <c r="J124" s="954"/>
      <c r="K124" s="955"/>
      <c r="L124" s="500">
        <v>3720</v>
      </c>
      <c r="M124" s="255">
        <f t="shared" ref="M124" si="293">+L124*$X$1</f>
        <v>3720</v>
      </c>
      <c r="N124" s="335">
        <v>3271</v>
      </c>
      <c r="O124" s="255">
        <f t="shared" ref="O124" si="294">+N124*$X$1</f>
        <v>3271</v>
      </c>
      <c r="P124" s="475">
        <v>3265</v>
      </c>
      <c r="Q124" s="255">
        <f t="shared" ref="Q124" si="295">+P124*$X$1</f>
        <v>3265</v>
      </c>
      <c r="R124" s="501">
        <v>3005</v>
      </c>
      <c r="S124" s="255">
        <f t="shared" ref="S124" si="296">+R124*$X$1</f>
        <v>3005</v>
      </c>
      <c r="T124" s="501">
        <v>2829</v>
      </c>
      <c r="U124" s="270">
        <f t="shared" ref="U124" si="297">+T124*$X$1</f>
        <v>2829</v>
      </c>
      <c r="V124" s="501">
        <v>1927</v>
      </c>
      <c r="W124" s="270">
        <f t="shared" ref="W124" si="298">+V124*$X$1</f>
        <v>1927</v>
      </c>
      <c r="X124" s="1099"/>
      <c r="Y124" s="1100"/>
      <c r="Z124" s="1100"/>
      <c r="AA124" s="1101"/>
      <c r="AB124" s="348" t="s">
        <v>693</v>
      </c>
    </row>
    <row r="125" spans="1:28" ht="12.6" customHeight="1" x14ac:dyDescent="0.2">
      <c r="A125" s="17"/>
      <c r="B125" s="647" t="s">
        <v>692</v>
      </c>
      <c r="C125" s="923"/>
      <c r="D125" s="923"/>
      <c r="E125" s="923"/>
      <c r="F125" s="307"/>
      <c r="G125" s="953" t="s">
        <v>358</v>
      </c>
      <c r="H125" s="954"/>
      <c r="I125" s="954"/>
      <c r="J125" s="954"/>
      <c r="K125" s="955"/>
      <c r="L125" s="503">
        <v>2795</v>
      </c>
      <c r="M125" s="256">
        <f t="shared" ref="M125" si="299">+L125*$X$1</f>
        <v>2795</v>
      </c>
      <c r="N125" s="82">
        <v>2453</v>
      </c>
      <c r="O125" s="256">
        <f t="shared" ref="O125" si="300">+N125*$X$1</f>
        <v>2453</v>
      </c>
      <c r="P125" s="252">
        <v>2447</v>
      </c>
      <c r="Q125" s="256">
        <f t="shared" ref="Q125" si="301">+P125*$X$1</f>
        <v>2447</v>
      </c>
      <c r="R125" s="389">
        <v>2252</v>
      </c>
      <c r="S125" s="256">
        <f t="shared" ref="S125" si="302">+R125*$X$1</f>
        <v>2252</v>
      </c>
      <c r="T125" s="389">
        <v>2119</v>
      </c>
      <c r="U125" s="256">
        <f t="shared" ref="U125" si="303">+T125*$X$1</f>
        <v>2119</v>
      </c>
      <c r="V125" s="389">
        <v>1307</v>
      </c>
      <c r="W125" s="256">
        <f t="shared" ref="W125" si="304">+V125*$X$1</f>
        <v>1307</v>
      </c>
      <c r="X125" s="1099"/>
      <c r="Y125" s="1100"/>
      <c r="Z125" s="1100"/>
      <c r="AA125" s="1101"/>
      <c r="AB125" s="348" t="s">
        <v>696</v>
      </c>
    </row>
    <row r="126" spans="1:28" ht="12.6" customHeight="1" x14ac:dyDescent="0.2">
      <c r="A126" s="17"/>
      <c r="B126" s="654" t="s">
        <v>362</v>
      </c>
      <c r="C126" s="655"/>
      <c r="D126" s="655"/>
      <c r="E126" s="655"/>
      <c r="F126" s="303"/>
      <c r="G126" s="953" t="s">
        <v>357</v>
      </c>
      <c r="H126" s="954"/>
      <c r="I126" s="954"/>
      <c r="J126" s="954"/>
      <c r="K126" s="955"/>
      <c r="L126" s="500">
        <v>1660</v>
      </c>
      <c r="M126" s="255">
        <f t="shared" si="282"/>
        <v>1660</v>
      </c>
      <c r="N126" s="68">
        <v>1441</v>
      </c>
      <c r="O126" s="255">
        <f t="shared" si="282"/>
        <v>1441</v>
      </c>
      <c r="P126" s="281">
        <v>1436</v>
      </c>
      <c r="Q126" s="255">
        <f t="shared" si="283"/>
        <v>1436</v>
      </c>
      <c r="R126" s="501">
        <v>1321</v>
      </c>
      <c r="S126" s="255">
        <f t="shared" si="284"/>
        <v>1321</v>
      </c>
      <c r="T126" s="501">
        <v>1245</v>
      </c>
      <c r="U126" s="255">
        <f t="shared" si="285"/>
        <v>1245</v>
      </c>
      <c r="V126" s="501">
        <v>685</v>
      </c>
      <c r="W126" s="255">
        <f t="shared" si="286"/>
        <v>685</v>
      </c>
      <c r="X126" s="1099"/>
      <c r="Y126" s="1100"/>
      <c r="Z126" s="1100"/>
      <c r="AA126" s="1101"/>
      <c r="AB126" s="348">
        <v>302</v>
      </c>
    </row>
    <row r="127" spans="1:28" ht="12.6" customHeight="1" x14ac:dyDescent="0.2">
      <c r="A127" s="17"/>
      <c r="B127" s="647" t="s">
        <v>363</v>
      </c>
      <c r="C127" s="648"/>
      <c r="D127" s="648"/>
      <c r="E127" s="648"/>
      <c r="F127" s="256"/>
      <c r="G127" s="953" t="s">
        <v>357</v>
      </c>
      <c r="H127" s="954"/>
      <c r="I127" s="954"/>
      <c r="J127" s="954"/>
      <c r="K127" s="955"/>
      <c r="L127" s="503">
        <v>1825</v>
      </c>
      <c r="M127" s="256">
        <f t="shared" si="282"/>
        <v>1825</v>
      </c>
      <c r="N127" s="82">
        <v>1595</v>
      </c>
      <c r="O127" s="256">
        <f t="shared" si="282"/>
        <v>1595</v>
      </c>
      <c r="P127" s="252">
        <v>1590</v>
      </c>
      <c r="Q127" s="256">
        <f t="shared" si="283"/>
        <v>1590</v>
      </c>
      <c r="R127" s="389">
        <v>1462</v>
      </c>
      <c r="S127" s="256">
        <f t="shared" si="284"/>
        <v>1462</v>
      </c>
      <c r="T127" s="389">
        <v>1376</v>
      </c>
      <c r="U127" s="256">
        <f t="shared" si="285"/>
        <v>1376</v>
      </c>
      <c r="V127" s="389">
        <v>801</v>
      </c>
      <c r="W127" s="256">
        <f t="shared" si="286"/>
        <v>801</v>
      </c>
      <c r="X127" s="1099"/>
      <c r="Y127" s="1100"/>
      <c r="Z127" s="1100"/>
      <c r="AA127" s="1101"/>
      <c r="AB127" s="348" t="s">
        <v>149</v>
      </c>
    </row>
    <row r="128" spans="1:28" ht="12.6" customHeight="1" x14ac:dyDescent="0.2">
      <c r="A128" s="17"/>
      <c r="B128" s="654" t="s">
        <v>334</v>
      </c>
      <c r="C128" s="655"/>
      <c r="D128" s="655"/>
      <c r="E128" s="655"/>
      <c r="F128" s="303"/>
      <c r="G128" s="953" t="s">
        <v>357</v>
      </c>
      <c r="H128" s="954"/>
      <c r="I128" s="954"/>
      <c r="J128" s="954"/>
      <c r="K128" s="955"/>
      <c r="L128" s="500">
        <v>3200</v>
      </c>
      <c r="M128" s="255">
        <f t="shared" ref="M128" si="305">+L128*$X$1</f>
        <v>3200</v>
      </c>
      <c r="N128" s="68">
        <v>2816</v>
      </c>
      <c r="O128" s="255">
        <f t="shared" ref="O128" si="306">+N128*$X$1</f>
        <v>2816</v>
      </c>
      <c r="P128" s="281">
        <v>2810</v>
      </c>
      <c r="Q128" s="255">
        <f t="shared" ref="Q128" si="307">+P128*$X$1</f>
        <v>2810</v>
      </c>
      <c r="R128" s="501">
        <v>2586</v>
      </c>
      <c r="S128" s="255">
        <f t="shared" ref="S128" si="308">+R128*$X$1</f>
        <v>2586</v>
      </c>
      <c r="T128" s="501">
        <v>2434</v>
      </c>
      <c r="U128" s="255">
        <f t="shared" ref="U128" si="309">+T128*$X$1</f>
        <v>2434</v>
      </c>
      <c r="V128" s="501">
        <v>1724</v>
      </c>
      <c r="W128" s="255">
        <f t="shared" ref="W128" si="310">+V128*$X$1</f>
        <v>1724</v>
      </c>
      <c r="X128" s="1099"/>
      <c r="Y128" s="1100"/>
      <c r="Z128" s="1100"/>
      <c r="AA128" s="1101"/>
      <c r="AB128" s="348" t="s">
        <v>150</v>
      </c>
    </row>
    <row r="129" spans="1:32" ht="12.6" customHeight="1" x14ac:dyDescent="0.2">
      <c r="A129" s="17"/>
      <c r="B129" s="647" t="s">
        <v>691</v>
      </c>
      <c r="C129" s="923"/>
      <c r="D129" s="923"/>
      <c r="E129" s="923"/>
      <c r="F129" s="302"/>
      <c r="G129" s="953" t="s">
        <v>357</v>
      </c>
      <c r="H129" s="954"/>
      <c r="I129" s="954"/>
      <c r="J129" s="954"/>
      <c r="K129" s="955"/>
      <c r="L129" s="503">
        <v>3200</v>
      </c>
      <c r="M129" s="256">
        <f t="shared" ref="M129" si="311">+L129*$X$1</f>
        <v>3200</v>
      </c>
      <c r="N129" s="82">
        <v>2816</v>
      </c>
      <c r="O129" s="256">
        <f t="shared" ref="O129" si="312">+N129*$X$1</f>
        <v>2816</v>
      </c>
      <c r="P129" s="252">
        <v>2810</v>
      </c>
      <c r="Q129" s="256">
        <f t="shared" ref="Q129" si="313">+P129*$X$1</f>
        <v>2810</v>
      </c>
      <c r="R129" s="389">
        <v>2586</v>
      </c>
      <c r="S129" s="256">
        <f t="shared" ref="S129" si="314">+R129*$X$1</f>
        <v>2586</v>
      </c>
      <c r="T129" s="389">
        <v>2434</v>
      </c>
      <c r="U129" s="256">
        <f t="shared" ref="U129" si="315">+T129*$X$1</f>
        <v>2434</v>
      </c>
      <c r="V129" s="389">
        <v>1724</v>
      </c>
      <c r="W129" s="256">
        <f t="shared" ref="W129" si="316">+V129*$X$1</f>
        <v>1724</v>
      </c>
      <c r="X129" s="1099"/>
      <c r="Y129" s="1100"/>
      <c r="Z129" s="1100"/>
      <c r="AA129" s="1101"/>
      <c r="AB129" s="348" t="s">
        <v>694</v>
      </c>
    </row>
    <row r="130" spans="1:32" ht="12.6" customHeight="1" x14ac:dyDescent="0.2">
      <c r="A130" s="17"/>
      <c r="B130" s="654" t="s">
        <v>695</v>
      </c>
      <c r="C130" s="775"/>
      <c r="D130" s="775"/>
      <c r="E130" s="775"/>
      <c r="F130" s="303"/>
      <c r="G130" s="953" t="s">
        <v>357</v>
      </c>
      <c r="H130" s="954"/>
      <c r="I130" s="954"/>
      <c r="J130" s="954"/>
      <c r="K130" s="955"/>
      <c r="L130" s="500">
        <v>2280</v>
      </c>
      <c r="M130" s="255">
        <f t="shared" ref="M130" si="317">+L130*$X$1</f>
        <v>2280</v>
      </c>
      <c r="N130" s="68">
        <v>1998</v>
      </c>
      <c r="O130" s="255">
        <f t="shared" ref="O130" si="318">+N130*$X$1</f>
        <v>1998</v>
      </c>
      <c r="P130" s="281">
        <v>1990</v>
      </c>
      <c r="Q130" s="255">
        <f t="shared" ref="Q130" si="319">+P130*$X$1</f>
        <v>1990</v>
      </c>
      <c r="R130" s="501">
        <v>1832</v>
      </c>
      <c r="S130" s="255">
        <f t="shared" ref="S130" si="320">+R130*$X$1</f>
        <v>1832</v>
      </c>
      <c r="T130" s="501">
        <v>1724</v>
      </c>
      <c r="U130" s="255">
        <f t="shared" ref="U130" si="321">+T130*$X$1</f>
        <v>1724</v>
      </c>
      <c r="V130" s="501">
        <v>1103</v>
      </c>
      <c r="W130" s="255">
        <v>1105</v>
      </c>
      <c r="X130" s="1099"/>
      <c r="Y130" s="1100"/>
      <c r="Z130" s="1100"/>
      <c r="AA130" s="1101"/>
      <c r="AB130" s="348" t="s">
        <v>697</v>
      </c>
    </row>
    <row r="131" spans="1:32" ht="12.6" customHeight="1" x14ac:dyDescent="0.2">
      <c r="A131" s="17"/>
      <c r="B131" s="652" t="s">
        <v>560</v>
      </c>
      <c r="C131" s="698"/>
      <c r="D131" s="698"/>
      <c r="E131" s="698"/>
      <c r="F131" s="280"/>
      <c r="G131" s="953" t="s">
        <v>358</v>
      </c>
      <c r="H131" s="954"/>
      <c r="I131" s="954"/>
      <c r="J131" s="954"/>
      <c r="K131" s="955"/>
      <c r="L131" s="503">
        <v>2370</v>
      </c>
      <c r="M131" s="256">
        <f t="shared" si="282"/>
        <v>2370</v>
      </c>
      <c r="N131" s="486">
        <v>2053</v>
      </c>
      <c r="O131" s="256">
        <f t="shared" si="282"/>
        <v>2053</v>
      </c>
      <c r="P131" s="327">
        <v>2046</v>
      </c>
      <c r="Q131" s="256">
        <f t="shared" si="283"/>
        <v>2046</v>
      </c>
      <c r="R131" s="389">
        <v>1882</v>
      </c>
      <c r="S131" s="256">
        <f t="shared" si="284"/>
        <v>1882</v>
      </c>
      <c r="T131" s="389">
        <v>1614</v>
      </c>
      <c r="U131" s="256">
        <v>1771</v>
      </c>
      <c r="V131" s="389">
        <v>1512</v>
      </c>
      <c r="W131" s="256">
        <f t="shared" si="286"/>
        <v>1512</v>
      </c>
      <c r="X131" s="1099"/>
      <c r="Y131" s="1100"/>
      <c r="Z131" s="1100"/>
      <c r="AA131" s="1101"/>
      <c r="AB131" s="348">
        <v>303</v>
      </c>
    </row>
    <row r="132" spans="1:32" ht="12.6" customHeight="1" x14ac:dyDescent="0.2">
      <c r="A132" s="17"/>
      <c r="B132" s="654" t="s">
        <v>732</v>
      </c>
      <c r="C132" s="655"/>
      <c r="D132" s="655"/>
      <c r="E132" s="655"/>
      <c r="F132" s="255">
        <v>2360</v>
      </c>
      <c r="G132" s="255">
        <f>+F132*$X$1</f>
        <v>2360</v>
      </c>
      <c r="H132" s="520"/>
      <c r="I132" s="255"/>
      <c r="J132" s="68">
        <f t="shared" ref="J132" si="322">F132+300</f>
        <v>2660</v>
      </c>
      <c r="K132" s="255">
        <f t="shared" ref="K132" si="323">+J132*$X$1</f>
        <v>2660</v>
      </c>
      <c r="L132" s="520">
        <f>F132+230</f>
        <v>2590</v>
      </c>
      <c r="M132" s="255">
        <f t="shared" si="282"/>
        <v>2590</v>
      </c>
      <c r="N132" s="520">
        <f t="shared" ref="N132" si="324">F132+180</f>
        <v>2540</v>
      </c>
      <c r="O132" s="255">
        <f t="shared" si="282"/>
        <v>2540</v>
      </c>
      <c r="P132" s="520">
        <f>F132+150</f>
        <v>2510</v>
      </c>
      <c r="Q132" s="255">
        <f t="shared" si="283"/>
        <v>2510</v>
      </c>
      <c r="R132" s="520">
        <f t="shared" ref="R132" si="325">F132+120</f>
        <v>2480</v>
      </c>
      <c r="S132" s="255">
        <f t="shared" si="284"/>
        <v>2480</v>
      </c>
      <c r="T132" s="520">
        <f t="shared" ref="T132" si="326">F132+100</f>
        <v>2460</v>
      </c>
      <c r="U132" s="255">
        <f t="shared" ref="U132:U133" si="327">+T132*$X$1</f>
        <v>2460</v>
      </c>
      <c r="V132" s="520">
        <f>F132+80</f>
        <v>2440</v>
      </c>
      <c r="W132" s="255">
        <f t="shared" si="286"/>
        <v>2440</v>
      </c>
      <c r="X132" s="637"/>
      <c r="Y132" s="632"/>
      <c r="Z132" s="632"/>
      <c r="AA132" s="634"/>
      <c r="AB132" s="348">
        <v>304</v>
      </c>
    </row>
    <row r="133" spans="1:32" ht="12.6" customHeight="1" x14ac:dyDescent="0.2">
      <c r="A133" s="17"/>
      <c r="B133" s="647" t="s">
        <v>672</v>
      </c>
      <c r="C133" s="648"/>
      <c r="D133" s="648"/>
      <c r="E133" s="648"/>
      <c r="F133" s="288">
        <v>2350</v>
      </c>
      <c r="G133" s="256">
        <f t="shared" ref="G133" si="328">+F133*$X$1</f>
        <v>2350</v>
      </c>
      <c r="H133" s="528"/>
      <c r="I133" s="256"/>
      <c r="J133" s="528"/>
      <c r="K133" s="256"/>
      <c r="L133" s="528">
        <f>F133+180</f>
        <v>2530</v>
      </c>
      <c r="M133" s="256">
        <f t="shared" si="282"/>
        <v>2530</v>
      </c>
      <c r="N133" s="528">
        <f>F133+140</f>
        <v>2490</v>
      </c>
      <c r="O133" s="256">
        <f t="shared" si="282"/>
        <v>2490</v>
      </c>
      <c r="P133" s="528">
        <f>F133+110</f>
        <v>2460</v>
      </c>
      <c r="Q133" s="256">
        <f t="shared" si="283"/>
        <v>2460</v>
      </c>
      <c r="R133" s="528">
        <f>F133+90</f>
        <v>2440</v>
      </c>
      <c r="S133" s="256">
        <f t="shared" si="284"/>
        <v>2440</v>
      </c>
      <c r="T133" s="528">
        <f>F133+75</f>
        <v>2425</v>
      </c>
      <c r="U133" s="256">
        <f t="shared" si="327"/>
        <v>2425</v>
      </c>
      <c r="V133" s="528">
        <f>F133+60</f>
        <v>2410</v>
      </c>
      <c r="W133" s="256">
        <f t="shared" si="286"/>
        <v>2410</v>
      </c>
      <c r="X133" s="637"/>
      <c r="Y133" s="632"/>
      <c r="Z133" s="632"/>
      <c r="AA133" s="634"/>
      <c r="AB133" s="348">
        <v>307</v>
      </c>
    </row>
    <row r="134" spans="1:32" ht="12.6" customHeight="1" x14ac:dyDescent="0.2">
      <c r="A134" s="17"/>
      <c r="B134" s="654" t="s">
        <v>489</v>
      </c>
      <c r="C134" s="655"/>
      <c r="D134" s="655"/>
      <c r="E134" s="655"/>
      <c r="F134" s="270">
        <v>1921</v>
      </c>
      <c r="G134" s="255">
        <f>+F134*$X$1</f>
        <v>1921</v>
      </c>
      <c r="H134" s="251"/>
      <c r="I134" s="300"/>
      <c r="J134" s="520"/>
      <c r="K134" s="255"/>
      <c r="L134" s="520">
        <v>3750</v>
      </c>
      <c r="M134" s="255">
        <f>+L134*$X$1</f>
        <v>3750</v>
      </c>
      <c r="N134" s="520">
        <v>3105</v>
      </c>
      <c r="O134" s="255">
        <f t="shared" si="282"/>
        <v>3105</v>
      </c>
      <c r="P134" s="281">
        <v>2873</v>
      </c>
      <c r="Q134" s="255">
        <f t="shared" ref="Q134" si="329">+P134*$X$1</f>
        <v>2873</v>
      </c>
      <c r="R134" s="520">
        <v>2647</v>
      </c>
      <c r="S134" s="255">
        <f t="shared" si="284"/>
        <v>2647</v>
      </c>
      <c r="T134" s="520">
        <v>2480</v>
      </c>
      <c r="U134" s="255">
        <f t="shared" ref="U134" si="330">+T134*$X$1</f>
        <v>2480</v>
      </c>
      <c r="V134" s="520">
        <v>2362</v>
      </c>
      <c r="W134" s="255">
        <f t="shared" ref="W134" si="331">+V134*$X$1</f>
        <v>2362</v>
      </c>
      <c r="X134" s="637"/>
      <c r="Y134" s="632"/>
      <c r="Z134" s="632"/>
      <c r="AA134" s="634"/>
      <c r="AB134" s="348">
        <v>308</v>
      </c>
    </row>
    <row r="135" spans="1:32" ht="12.6" customHeight="1" x14ac:dyDescent="0.2">
      <c r="A135" s="17"/>
      <c r="B135" s="647" t="s">
        <v>488</v>
      </c>
      <c r="C135" s="648"/>
      <c r="D135" s="648"/>
      <c r="E135" s="648"/>
      <c r="F135" s="280">
        <v>1921</v>
      </c>
      <c r="G135" s="256">
        <f>+F135*$X$1</f>
        <v>1921</v>
      </c>
      <c r="H135" s="250"/>
      <c r="I135" s="301"/>
      <c r="J135" s="528"/>
      <c r="K135" s="256"/>
      <c r="L135" s="528">
        <v>3750</v>
      </c>
      <c r="M135" s="256">
        <f>+L135*$X$1</f>
        <v>3750</v>
      </c>
      <c r="N135" s="528">
        <v>3105</v>
      </c>
      <c r="O135" s="256">
        <f t="shared" ref="O135:O137" si="332">+N135*$X$1</f>
        <v>3105</v>
      </c>
      <c r="P135" s="252">
        <v>2873</v>
      </c>
      <c r="Q135" s="256">
        <f t="shared" ref="Q135:Q137" si="333">+P135*$X$1</f>
        <v>2873</v>
      </c>
      <c r="R135" s="528">
        <v>2647</v>
      </c>
      <c r="S135" s="256">
        <f t="shared" ref="S135:S137" si="334">+R135*$X$1</f>
        <v>2647</v>
      </c>
      <c r="T135" s="528">
        <v>2480</v>
      </c>
      <c r="U135" s="256">
        <f t="shared" ref="U135:U137" si="335">+T135*$X$1</f>
        <v>2480</v>
      </c>
      <c r="V135" s="528">
        <v>2362</v>
      </c>
      <c r="W135" s="256">
        <f t="shared" ref="W135:W137" si="336">+V135*$X$1</f>
        <v>2362</v>
      </c>
      <c r="X135" s="637"/>
      <c r="Y135" s="632"/>
      <c r="Z135" s="632"/>
      <c r="AA135" s="634"/>
      <c r="AB135" s="348">
        <v>309</v>
      </c>
    </row>
    <row r="136" spans="1:32" ht="12.6" customHeight="1" x14ac:dyDescent="0.2">
      <c r="A136" s="17"/>
      <c r="B136" s="654" t="s">
        <v>744</v>
      </c>
      <c r="C136" s="655"/>
      <c r="D136" s="655"/>
      <c r="E136" s="655"/>
      <c r="F136" s="321">
        <f>0.73*X2</f>
        <v>1124.2</v>
      </c>
      <c r="G136" s="255">
        <f>+F136*$X$1</f>
        <v>1124.2</v>
      </c>
      <c r="H136" s="520"/>
      <c r="I136" s="255"/>
      <c r="J136" s="520">
        <f>F136+270</f>
        <v>1394.2</v>
      </c>
      <c r="K136" s="255">
        <f t="shared" ref="K136" si="337">+J136*$X$1</f>
        <v>1394.2</v>
      </c>
      <c r="L136" s="520">
        <f>F136+180</f>
        <v>1304.2</v>
      </c>
      <c r="M136" s="255">
        <f t="shared" ref="M136" si="338">+L136*$X$1</f>
        <v>1304.2</v>
      </c>
      <c r="N136" s="520">
        <f>F136+140</f>
        <v>1264.2</v>
      </c>
      <c r="O136" s="255">
        <f t="shared" si="332"/>
        <v>1264.2</v>
      </c>
      <c r="P136" s="520">
        <f>F136+110</f>
        <v>1234.2</v>
      </c>
      <c r="Q136" s="255">
        <f t="shared" si="333"/>
        <v>1234.2</v>
      </c>
      <c r="R136" s="520">
        <f>F136+90</f>
        <v>1214.2</v>
      </c>
      <c r="S136" s="255">
        <f t="shared" si="334"/>
        <v>1214.2</v>
      </c>
      <c r="T136" s="520">
        <f>F136+75</f>
        <v>1199.2</v>
      </c>
      <c r="U136" s="255">
        <f t="shared" si="335"/>
        <v>1199.2</v>
      </c>
      <c r="V136" s="520">
        <f>F136+60</f>
        <v>1184.2</v>
      </c>
      <c r="W136" s="255">
        <f t="shared" si="336"/>
        <v>1184.2</v>
      </c>
      <c r="X136" s="637"/>
      <c r="Y136" s="632"/>
      <c r="Z136" s="632"/>
      <c r="AA136" s="634"/>
      <c r="AB136" s="348">
        <v>310</v>
      </c>
    </row>
    <row r="137" spans="1:32" ht="12.6" customHeight="1" x14ac:dyDescent="0.2">
      <c r="A137" s="17"/>
      <c r="B137" s="647" t="s">
        <v>704</v>
      </c>
      <c r="C137" s="648"/>
      <c r="D137" s="648"/>
      <c r="E137" s="648"/>
      <c r="F137" s="322">
        <f>0.64*X2</f>
        <v>985.6</v>
      </c>
      <c r="G137" s="256">
        <f>+F137*$X$1</f>
        <v>985.6</v>
      </c>
      <c r="H137" s="528"/>
      <c r="I137" s="256"/>
      <c r="J137" s="528">
        <f>F137+270</f>
        <v>1255.5999999999999</v>
      </c>
      <c r="K137" s="256">
        <f t="shared" ref="K137" si="339">+J137*$X$1</f>
        <v>1255.5999999999999</v>
      </c>
      <c r="L137" s="528">
        <f>F137+180</f>
        <v>1165.5999999999999</v>
      </c>
      <c r="M137" s="256">
        <f t="shared" ref="M137" si="340">+L137*$X$1</f>
        <v>1165.5999999999999</v>
      </c>
      <c r="N137" s="528">
        <f>F137+140</f>
        <v>1125.5999999999999</v>
      </c>
      <c r="O137" s="256">
        <f t="shared" si="332"/>
        <v>1125.5999999999999</v>
      </c>
      <c r="P137" s="528">
        <f>F137+110</f>
        <v>1095.5999999999999</v>
      </c>
      <c r="Q137" s="256">
        <f t="shared" si="333"/>
        <v>1095.5999999999999</v>
      </c>
      <c r="R137" s="528">
        <f>F137+90</f>
        <v>1075.5999999999999</v>
      </c>
      <c r="S137" s="256">
        <f t="shared" si="334"/>
        <v>1075.5999999999999</v>
      </c>
      <c r="T137" s="528">
        <f>F137+75</f>
        <v>1060.5999999999999</v>
      </c>
      <c r="U137" s="256">
        <f t="shared" si="335"/>
        <v>1060.5999999999999</v>
      </c>
      <c r="V137" s="528">
        <f>F137+60</f>
        <v>1045.5999999999999</v>
      </c>
      <c r="W137" s="256">
        <f t="shared" si="336"/>
        <v>1045.5999999999999</v>
      </c>
      <c r="X137" s="637"/>
      <c r="Y137" s="632"/>
      <c r="Z137" s="632"/>
      <c r="AA137" s="634"/>
      <c r="AB137" s="348">
        <v>311</v>
      </c>
    </row>
    <row r="138" spans="1:32" ht="12.6" customHeight="1" x14ac:dyDescent="0.2">
      <c r="A138" s="17"/>
      <c r="B138" s="654" t="s">
        <v>431</v>
      </c>
      <c r="C138" s="655"/>
      <c r="D138" s="655"/>
      <c r="E138" s="655"/>
      <c r="F138" s="321">
        <f>0.78*X2</f>
        <v>1201.2</v>
      </c>
      <c r="G138" s="255">
        <f t="shared" ref="G138" si="341">+F138*$X$1</f>
        <v>1201.2</v>
      </c>
      <c r="H138" s="520">
        <f>F138+800</f>
        <v>2001.2</v>
      </c>
      <c r="I138" s="255">
        <f t="shared" ref="I138" si="342">+H138*$X$1</f>
        <v>2001.2</v>
      </c>
      <c r="J138" s="520">
        <f>F138+270</f>
        <v>1471.2</v>
      </c>
      <c r="K138" s="255">
        <f t="shared" ref="K138" si="343">+J138*$X$1</f>
        <v>1471.2</v>
      </c>
      <c r="L138" s="520">
        <f>F138+180</f>
        <v>1381.2</v>
      </c>
      <c r="M138" s="255">
        <f t="shared" ref="M138" si="344">+L138*$X$1</f>
        <v>1381.2</v>
      </c>
      <c r="N138" s="520">
        <f>F138+140</f>
        <v>1341.2</v>
      </c>
      <c r="O138" s="255">
        <f t="shared" ref="O138" si="345">+N138*$X$1</f>
        <v>1341.2</v>
      </c>
      <c r="P138" s="520">
        <f>F138+110</f>
        <v>1311.2</v>
      </c>
      <c r="Q138" s="255">
        <f t="shared" ref="Q138" si="346">+P138*$X$1</f>
        <v>1311.2</v>
      </c>
      <c r="R138" s="520">
        <f>F138+90</f>
        <v>1291.2</v>
      </c>
      <c r="S138" s="255">
        <f t="shared" ref="S138" si="347">+R138*$X$1</f>
        <v>1291.2</v>
      </c>
      <c r="T138" s="520">
        <f>F138+75</f>
        <v>1276.2</v>
      </c>
      <c r="U138" s="255">
        <f t="shared" ref="U138" si="348">+T138*$X$1</f>
        <v>1276.2</v>
      </c>
      <c r="V138" s="520">
        <f>F138+60</f>
        <v>1261.2</v>
      </c>
      <c r="W138" s="255">
        <f t="shared" ref="W138" si="349">+V138*$X$1</f>
        <v>1261.2</v>
      </c>
      <c r="X138" s="637"/>
      <c r="Y138" s="632"/>
      <c r="Z138" s="632"/>
      <c r="AA138" s="634"/>
      <c r="AB138" s="348">
        <v>312</v>
      </c>
    </row>
    <row r="139" spans="1:32" ht="12.6" customHeight="1" x14ac:dyDescent="0.2">
      <c r="A139" s="17"/>
      <c r="B139" s="640" t="s">
        <v>151</v>
      </c>
      <c r="C139" s="641"/>
      <c r="D139" s="641"/>
      <c r="E139" s="642"/>
      <c r="F139" s="256"/>
      <c r="G139" s="256"/>
      <c r="H139" s="528"/>
      <c r="I139" s="256"/>
      <c r="J139" s="82"/>
      <c r="K139" s="256"/>
      <c r="L139" s="528"/>
      <c r="M139" s="256"/>
      <c r="N139" s="528"/>
      <c r="O139" s="256"/>
      <c r="P139" s="528"/>
      <c r="Q139" s="256"/>
      <c r="R139" s="528"/>
      <c r="S139" s="256"/>
      <c r="T139" s="528"/>
      <c r="U139" s="256"/>
      <c r="V139" s="528"/>
      <c r="W139" s="256"/>
      <c r="X139" s="637"/>
      <c r="Y139" s="632"/>
      <c r="Z139" s="632"/>
      <c r="AA139" s="634"/>
      <c r="AB139" s="348" t="s">
        <v>152</v>
      </c>
    </row>
    <row r="140" spans="1:32" ht="12.6" customHeight="1" x14ac:dyDescent="0.2">
      <c r="A140" s="17"/>
      <c r="B140" s="985" t="s">
        <v>153</v>
      </c>
      <c r="C140" s="986"/>
      <c r="D140" s="986"/>
      <c r="E140" s="987"/>
      <c r="F140" s="270"/>
      <c r="G140" s="255"/>
      <c r="H140" s="434"/>
      <c r="I140" s="255"/>
      <c r="J140" s="68"/>
      <c r="K140" s="255"/>
      <c r="L140" s="434"/>
      <c r="M140" s="255"/>
      <c r="N140" s="434"/>
      <c r="O140" s="255"/>
      <c r="P140" s="434"/>
      <c r="Q140" s="255"/>
      <c r="R140" s="434"/>
      <c r="S140" s="255"/>
      <c r="T140" s="434"/>
      <c r="U140" s="255"/>
      <c r="V140" s="434"/>
      <c r="W140" s="255"/>
      <c r="X140" s="629"/>
      <c r="Y140" s="661"/>
      <c r="Z140" s="661"/>
      <c r="AA140" s="662"/>
      <c r="AB140" s="381" t="s">
        <v>154</v>
      </c>
    </row>
    <row r="141" spans="1:32" ht="12.6" customHeight="1" x14ac:dyDescent="0.2">
      <c r="A141" s="17"/>
      <c r="B141" s="640" t="s">
        <v>155</v>
      </c>
      <c r="C141" s="641"/>
      <c r="D141" s="641"/>
      <c r="E141" s="642"/>
      <c r="F141" s="256"/>
      <c r="G141" s="256"/>
      <c r="H141" s="389"/>
      <c r="I141" s="256"/>
      <c r="J141" s="82"/>
      <c r="K141" s="256"/>
      <c r="L141" s="389"/>
      <c r="M141" s="256"/>
      <c r="N141" s="389"/>
      <c r="O141" s="256"/>
      <c r="P141" s="389"/>
      <c r="Q141" s="256"/>
      <c r="R141" s="389"/>
      <c r="S141" s="256"/>
      <c r="T141" s="389"/>
      <c r="U141" s="256"/>
      <c r="V141" s="389"/>
      <c r="W141" s="256"/>
      <c r="X141" s="661"/>
      <c r="Y141" s="661"/>
      <c r="Z141" s="661"/>
      <c r="AA141" s="661"/>
      <c r="AB141" s="178" t="s">
        <v>156</v>
      </c>
    </row>
    <row r="142" spans="1:32" ht="12.6" customHeight="1" x14ac:dyDescent="0.2">
      <c r="A142" s="17"/>
      <c r="B142" s="657" t="s">
        <v>157</v>
      </c>
      <c r="C142" s="677"/>
      <c r="D142" s="677"/>
      <c r="E142" s="678"/>
      <c r="F142" s="255"/>
      <c r="G142" s="255"/>
      <c r="H142" s="434"/>
      <c r="I142" s="255"/>
      <c r="J142" s="68"/>
      <c r="K142" s="255"/>
      <c r="L142" s="434"/>
      <c r="M142" s="255"/>
      <c r="N142" s="434"/>
      <c r="O142" s="255"/>
      <c r="P142" s="434"/>
      <c r="Q142" s="255"/>
      <c r="R142" s="434"/>
      <c r="S142" s="255"/>
      <c r="T142" s="434"/>
      <c r="U142" s="255"/>
      <c r="V142" s="434"/>
      <c r="W142" s="255"/>
      <c r="X142" s="661"/>
      <c r="Y142" s="661"/>
      <c r="Z142" s="661"/>
      <c r="AA142" s="661"/>
      <c r="AB142" s="178" t="s">
        <v>158</v>
      </c>
    </row>
    <row r="143" spans="1:32" ht="12.6" customHeight="1" x14ac:dyDescent="0.2">
      <c r="A143" s="88"/>
      <c r="B143" s="640" t="s">
        <v>324</v>
      </c>
      <c r="C143" s="645"/>
      <c r="D143" s="645"/>
      <c r="E143" s="646"/>
      <c r="F143" s="256"/>
      <c r="G143" s="256"/>
      <c r="H143" s="82"/>
      <c r="I143" s="389"/>
      <c r="J143" s="389"/>
      <c r="K143" s="389"/>
      <c r="L143" s="389"/>
      <c r="M143" s="256"/>
      <c r="N143" s="389"/>
      <c r="O143" s="256"/>
      <c r="P143" s="389"/>
      <c r="Q143" s="256"/>
      <c r="R143" s="389"/>
      <c r="S143" s="256"/>
      <c r="T143" s="389"/>
      <c r="U143" s="256"/>
      <c r="V143" s="389"/>
      <c r="W143" s="256"/>
      <c r="X143" s="649"/>
      <c r="Y143" s="1121"/>
      <c r="Z143" s="1121"/>
      <c r="AA143" s="1122"/>
      <c r="AB143" s="178"/>
    </row>
    <row r="144" spans="1:32" ht="12.6" customHeight="1" x14ac:dyDescent="0.2">
      <c r="A144" s="88"/>
      <c r="B144" s="654" t="s">
        <v>159</v>
      </c>
      <c r="C144" s="655"/>
      <c r="D144" s="655"/>
      <c r="E144" s="655"/>
      <c r="F144" s="255"/>
      <c r="G144" s="255"/>
      <c r="H144" s="68"/>
      <c r="I144" s="434"/>
      <c r="J144" s="434"/>
      <c r="K144" s="434"/>
      <c r="L144" s="434"/>
      <c r="M144" s="255"/>
      <c r="N144" s="434"/>
      <c r="O144" s="255"/>
      <c r="P144" s="434"/>
      <c r="Q144" s="255"/>
      <c r="R144" s="434"/>
      <c r="S144" s="255"/>
      <c r="T144" s="434"/>
      <c r="U144" s="255"/>
      <c r="V144" s="434"/>
      <c r="W144" s="255"/>
      <c r="X144" s="649"/>
      <c r="Y144" s="650"/>
      <c r="Z144" s="650"/>
      <c r="AA144" s="651"/>
      <c r="AB144" s="178">
        <v>316</v>
      </c>
      <c r="AC144" s="57"/>
      <c r="AD144" s="57"/>
      <c r="AE144" s="57"/>
      <c r="AF144" s="57"/>
    </row>
    <row r="145" spans="1:34" ht="12.6" customHeight="1" x14ac:dyDescent="0.2">
      <c r="A145" s="88"/>
      <c r="B145" s="647" t="s">
        <v>160</v>
      </c>
      <c r="C145" s="648"/>
      <c r="D145" s="648"/>
      <c r="E145" s="648"/>
      <c r="F145" s="256"/>
      <c r="G145" s="438"/>
      <c r="H145" s="82"/>
      <c r="I145" s="439"/>
      <c r="J145" s="389"/>
      <c r="K145" s="439"/>
      <c r="L145" s="389"/>
      <c r="M145" s="440"/>
      <c r="N145" s="389"/>
      <c r="O145" s="440"/>
      <c r="P145" s="389"/>
      <c r="Q145" s="440"/>
      <c r="R145" s="389"/>
      <c r="S145" s="440"/>
      <c r="T145" s="389"/>
      <c r="U145" s="256"/>
      <c r="V145" s="389"/>
      <c r="W145" s="256"/>
      <c r="X145" s="649"/>
      <c r="Y145" s="650"/>
      <c r="Z145" s="650"/>
      <c r="AA145" s="651"/>
      <c r="AB145" s="178">
        <v>318</v>
      </c>
      <c r="AC145" s="57"/>
      <c r="AD145" s="57"/>
      <c r="AE145" s="57"/>
      <c r="AF145" s="57"/>
    </row>
    <row r="146" spans="1:34" ht="12.6" customHeight="1" x14ac:dyDescent="0.2">
      <c r="A146" s="17"/>
      <c r="B146" s="643" t="s">
        <v>296</v>
      </c>
      <c r="C146" s="644"/>
      <c r="D146" s="644"/>
      <c r="E146" s="644"/>
      <c r="F146" s="255">
        <v>1162</v>
      </c>
      <c r="G146" s="276">
        <f>+F146*$X$1</f>
        <v>1162</v>
      </c>
      <c r="H146" s="179" t="s">
        <v>161</v>
      </c>
      <c r="I146" s="181"/>
      <c r="J146" s="78"/>
      <c r="K146" s="78"/>
      <c r="L146" s="153"/>
      <c r="M146" s="78"/>
      <c r="N146" s="78"/>
      <c r="O146" s="78"/>
      <c r="P146" s="76">
        <v>90</v>
      </c>
      <c r="Q146" s="180">
        <f>+P146*$X$1</f>
        <v>90</v>
      </c>
      <c r="R146" s="435"/>
      <c r="S146" s="436"/>
      <c r="T146" s="68"/>
      <c r="U146" s="255"/>
      <c r="V146" s="434"/>
      <c r="W146" s="255"/>
      <c r="X146" s="649"/>
      <c r="Y146" s="650"/>
      <c r="Z146" s="650"/>
      <c r="AA146" s="651"/>
      <c r="AB146" s="351"/>
      <c r="AC146" s="1133"/>
      <c r="AD146" s="1134"/>
      <c r="AE146" s="1134"/>
      <c r="AF146" s="1134"/>
      <c r="AG146" s="4"/>
    </row>
    <row r="147" spans="1:34" ht="12.6" customHeight="1" x14ac:dyDescent="0.2">
      <c r="A147" s="17"/>
      <c r="B147" s="713" t="s">
        <v>297</v>
      </c>
      <c r="C147" s="714"/>
      <c r="D147" s="714"/>
      <c r="E147" s="714"/>
      <c r="F147" s="256">
        <v>1462</v>
      </c>
      <c r="G147" s="306">
        <f>+F147*$X$1</f>
        <v>1462</v>
      </c>
      <c r="H147" s="240" t="s">
        <v>161</v>
      </c>
      <c r="I147" s="241"/>
      <c r="J147" s="242"/>
      <c r="K147" s="242"/>
      <c r="L147" s="243"/>
      <c r="M147" s="242"/>
      <c r="N147" s="242"/>
      <c r="O147" s="242"/>
      <c r="P147" s="244">
        <v>90</v>
      </c>
      <c r="Q147" s="245">
        <f>+P147*$X$1</f>
        <v>90</v>
      </c>
      <c r="R147" s="443"/>
      <c r="S147" s="441"/>
      <c r="T147" s="442"/>
      <c r="U147" s="258"/>
      <c r="V147" s="86"/>
      <c r="W147" s="258"/>
      <c r="X147" s="649"/>
      <c r="Y147" s="650"/>
      <c r="Z147" s="650"/>
      <c r="AA147" s="651"/>
      <c r="AB147" s="351"/>
    </row>
    <row r="148" spans="1:34" ht="12.6" customHeight="1" x14ac:dyDescent="0.2">
      <c r="A148" s="17"/>
      <c r="B148" s="643" t="s">
        <v>722</v>
      </c>
      <c r="C148" s="644"/>
      <c r="D148" s="644"/>
      <c r="E148" s="644"/>
      <c r="F148" s="255"/>
      <c r="G148" s="255"/>
      <c r="H148" s="247"/>
      <c r="I148" s="255"/>
      <c r="J148" s="520">
        <f>F147+440</f>
        <v>1902</v>
      </c>
      <c r="K148" s="255">
        <f t="shared" ref="K148:K149" si="350">+J148*$X$1</f>
        <v>1902</v>
      </c>
      <c r="L148" s="520">
        <f>F147+390</f>
        <v>1852</v>
      </c>
      <c r="M148" s="255">
        <f>+L148*$X$1</f>
        <v>1852</v>
      </c>
      <c r="N148" s="520">
        <f>F147+350</f>
        <v>1812</v>
      </c>
      <c r="O148" s="255">
        <f>+N148*$X$1</f>
        <v>1812</v>
      </c>
      <c r="P148" s="520">
        <f>F147+320</f>
        <v>1782</v>
      </c>
      <c r="Q148" s="255">
        <f t="shared" ref="Q148:Q149" si="351">+P148*$X$1</f>
        <v>1782</v>
      </c>
      <c r="R148" s="520">
        <f>F147+290</f>
        <v>1752</v>
      </c>
      <c r="S148" s="255">
        <f>+R148*$X$1</f>
        <v>1752</v>
      </c>
      <c r="T148" s="520">
        <f>F147+260</f>
        <v>1722</v>
      </c>
      <c r="U148" s="255">
        <f t="shared" ref="U148:U149" si="352">+T148*$X$1</f>
        <v>1722</v>
      </c>
      <c r="V148" s="520">
        <f>F147+220</f>
        <v>1682</v>
      </c>
      <c r="W148" s="255">
        <f>+V148*$X$1</f>
        <v>1682</v>
      </c>
      <c r="X148" s="649"/>
      <c r="Y148" s="650"/>
      <c r="Z148" s="650"/>
      <c r="AA148" s="651"/>
      <c r="AB148" s="348">
        <v>321</v>
      </c>
    </row>
    <row r="149" spans="1:34" ht="12.6" customHeight="1" x14ac:dyDescent="0.2">
      <c r="A149" s="17"/>
      <c r="B149" s="713" t="s">
        <v>484</v>
      </c>
      <c r="C149" s="714"/>
      <c r="D149" s="714"/>
      <c r="E149" s="714"/>
      <c r="F149" s="256"/>
      <c r="G149" s="256"/>
      <c r="H149" s="264"/>
      <c r="I149" s="256"/>
      <c r="J149" s="528">
        <f>F147+530</f>
        <v>1992</v>
      </c>
      <c r="K149" s="256">
        <f t="shared" si="350"/>
        <v>1992</v>
      </c>
      <c r="L149" s="528">
        <f>F147+470</f>
        <v>1932</v>
      </c>
      <c r="M149" s="256">
        <f>+L149*$X$1</f>
        <v>1932</v>
      </c>
      <c r="N149" s="528">
        <f>F147+420</f>
        <v>1882</v>
      </c>
      <c r="O149" s="256">
        <f>+N149*$X$1</f>
        <v>1882</v>
      </c>
      <c r="P149" s="528">
        <f>F147+380</f>
        <v>1842</v>
      </c>
      <c r="Q149" s="256">
        <f t="shared" si="351"/>
        <v>1842</v>
      </c>
      <c r="R149" s="528">
        <f>F147+350</f>
        <v>1812</v>
      </c>
      <c r="S149" s="256">
        <f>+R149*$X$1</f>
        <v>1812</v>
      </c>
      <c r="T149" s="528">
        <f>F147+310</f>
        <v>1772</v>
      </c>
      <c r="U149" s="256">
        <f t="shared" si="352"/>
        <v>1772</v>
      </c>
      <c r="V149" s="528">
        <f>F147+280</f>
        <v>1742</v>
      </c>
      <c r="W149" s="256">
        <f>+V149*$X$1</f>
        <v>1742</v>
      </c>
      <c r="X149" s="649"/>
      <c r="Y149" s="650"/>
      <c r="Z149" s="650"/>
      <c r="AA149" s="651"/>
      <c r="AB149" s="348">
        <v>322</v>
      </c>
    </row>
    <row r="150" spans="1:34" ht="12.6" customHeight="1" x14ac:dyDescent="0.2">
      <c r="A150" s="17"/>
      <c r="B150" s="643" t="s">
        <v>298</v>
      </c>
      <c r="C150" s="644"/>
      <c r="D150" s="644"/>
      <c r="E150" s="644"/>
      <c r="F150" s="255">
        <v>1456</v>
      </c>
      <c r="G150" s="276">
        <f>+F150*$X$1</f>
        <v>1456</v>
      </c>
      <c r="H150" s="388" t="s">
        <v>161</v>
      </c>
      <c r="I150" s="507"/>
      <c r="J150" s="508"/>
      <c r="K150" s="508"/>
      <c r="L150" s="508"/>
      <c r="M150" s="508"/>
      <c r="N150" s="508"/>
      <c r="O150" s="508"/>
      <c r="P150" s="77">
        <v>130</v>
      </c>
      <c r="Q150" s="246">
        <f>+P150*$X$1</f>
        <v>130</v>
      </c>
      <c r="R150" s="279"/>
      <c r="S150" s="300"/>
      <c r="T150" s="509"/>
      <c r="U150" s="510"/>
      <c r="V150" s="79"/>
      <c r="W150" s="437"/>
      <c r="X150" s="649"/>
      <c r="Y150" s="650"/>
      <c r="Z150" s="650"/>
      <c r="AA150" s="651"/>
      <c r="AB150" s="351"/>
    </row>
    <row r="151" spans="1:34" ht="12.6" customHeight="1" x14ac:dyDescent="0.2">
      <c r="A151" s="17"/>
      <c r="B151" s="647" t="s">
        <v>162</v>
      </c>
      <c r="C151" s="648"/>
      <c r="D151" s="648"/>
      <c r="E151" s="648"/>
      <c r="F151" s="258">
        <v>1776</v>
      </c>
      <c r="G151" s="306">
        <f>+F151*$X$1</f>
        <v>1776</v>
      </c>
      <c r="H151" s="240" t="s">
        <v>161</v>
      </c>
      <c r="I151" s="511"/>
      <c r="J151" s="508"/>
      <c r="K151" s="508"/>
      <c r="L151" s="508"/>
      <c r="M151" s="508"/>
      <c r="N151" s="508"/>
      <c r="O151" s="508"/>
      <c r="P151" s="77">
        <v>130</v>
      </c>
      <c r="Q151" s="180">
        <f>+P151*$X$1</f>
        <v>130</v>
      </c>
      <c r="R151" s="254"/>
      <c r="S151" s="301"/>
      <c r="T151" s="512"/>
      <c r="U151" s="513"/>
      <c r="V151" s="82"/>
      <c r="W151" s="280"/>
      <c r="X151" s="649"/>
      <c r="Y151" s="650"/>
      <c r="Z151" s="650"/>
      <c r="AA151" s="651"/>
      <c r="AB151" s="351"/>
    </row>
    <row r="152" spans="1:34" ht="12.6" customHeight="1" x14ac:dyDescent="0.2">
      <c r="A152" s="17"/>
      <c r="B152" s="654" t="s">
        <v>721</v>
      </c>
      <c r="C152" s="655"/>
      <c r="D152" s="655"/>
      <c r="E152" s="655"/>
      <c r="F152" s="303"/>
      <c r="G152" s="303"/>
      <c r="H152" s="251"/>
      <c r="I152" s="300"/>
      <c r="J152" s="520">
        <f>F151+440</f>
        <v>2216</v>
      </c>
      <c r="K152" s="255">
        <f t="shared" ref="K152:K154" si="353">+J152*$X$1</f>
        <v>2216</v>
      </c>
      <c r="L152" s="520">
        <f>F151+390</f>
        <v>2166</v>
      </c>
      <c r="M152" s="255">
        <f>+L152*$X$1</f>
        <v>2166</v>
      </c>
      <c r="N152" s="520">
        <f>F151+350</f>
        <v>2126</v>
      </c>
      <c r="O152" s="255">
        <f>+N152*$X$1</f>
        <v>2126</v>
      </c>
      <c r="P152" s="520">
        <f>F151+320</f>
        <v>2096</v>
      </c>
      <c r="Q152" s="255">
        <f t="shared" ref="Q152:Q154" si="354">+P152*$X$1</f>
        <v>2096</v>
      </c>
      <c r="R152" s="520">
        <f>F151+290</f>
        <v>2066</v>
      </c>
      <c r="S152" s="255">
        <f>+R152*$X$1</f>
        <v>2066</v>
      </c>
      <c r="T152" s="520">
        <f>F151+260</f>
        <v>2036</v>
      </c>
      <c r="U152" s="255">
        <f t="shared" ref="U152:U154" si="355">+T152*$X$1</f>
        <v>2036</v>
      </c>
      <c r="V152" s="520">
        <f>F151+220</f>
        <v>1996</v>
      </c>
      <c r="W152" s="255">
        <f>+V152*$X$1</f>
        <v>1996</v>
      </c>
      <c r="X152" s="649"/>
      <c r="Y152" s="650"/>
      <c r="Z152" s="650"/>
      <c r="AA152" s="651"/>
      <c r="AB152" s="348">
        <v>325</v>
      </c>
    </row>
    <row r="153" spans="1:34" ht="12.6" customHeight="1" x14ac:dyDescent="0.2">
      <c r="A153" s="17"/>
      <c r="B153" s="647" t="s">
        <v>483</v>
      </c>
      <c r="C153" s="648"/>
      <c r="D153" s="648"/>
      <c r="E153" s="648"/>
      <c r="F153" s="302"/>
      <c r="G153" s="302"/>
      <c r="H153" s="250"/>
      <c r="I153" s="301"/>
      <c r="J153" s="528">
        <f>F151+530</f>
        <v>2306</v>
      </c>
      <c r="K153" s="256">
        <f t="shared" si="353"/>
        <v>2306</v>
      </c>
      <c r="L153" s="528">
        <f>F151+470</f>
        <v>2246</v>
      </c>
      <c r="M153" s="256">
        <f>+L153*$X$1</f>
        <v>2246</v>
      </c>
      <c r="N153" s="528">
        <f>F151+420</f>
        <v>2196</v>
      </c>
      <c r="O153" s="256">
        <f>+N153*$X$1</f>
        <v>2196</v>
      </c>
      <c r="P153" s="528">
        <f>F151+380</f>
        <v>2156</v>
      </c>
      <c r="Q153" s="256">
        <f t="shared" si="354"/>
        <v>2156</v>
      </c>
      <c r="R153" s="528">
        <f>F151+350</f>
        <v>2126</v>
      </c>
      <c r="S153" s="256">
        <f>+R153*$X$1</f>
        <v>2126</v>
      </c>
      <c r="T153" s="528">
        <f>F151+310</f>
        <v>2086</v>
      </c>
      <c r="U153" s="256">
        <f t="shared" si="355"/>
        <v>2086</v>
      </c>
      <c r="V153" s="528">
        <f>F151+280</f>
        <v>2056</v>
      </c>
      <c r="W153" s="256">
        <f>+V153*$X$1</f>
        <v>2056</v>
      </c>
      <c r="X153" s="649"/>
      <c r="Y153" s="650"/>
      <c r="Z153" s="650"/>
      <c r="AA153" s="651"/>
      <c r="AB153" s="348">
        <v>326</v>
      </c>
    </row>
    <row r="154" spans="1:34" ht="12.6" customHeight="1" x14ac:dyDescent="0.2">
      <c r="A154" s="17"/>
      <c r="B154" s="654" t="s">
        <v>314</v>
      </c>
      <c r="C154" s="655"/>
      <c r="D154" s="655"/>
      <c r="E154" s="655"/>
      <c r="F154" s="321">
        <f>8.34*X2</f>
        <v>12843.6</v>
      </c>
      <c r="G154" s="255">
        <f>+F154*$X$1</f>
        <v>12843.6</v>
      </c>
      <c r="H154" s="520">
        <f>F154+800</f>
        <v>13643.6</v>
      </c>
      <c r="I154" s="255">
        <f t="shared" ref="I154" si="356">+H154*$X$1</f>
        <v>13643.6</v>
      </c>
      <c r="J154" s="520">
        <f>F154+270</f>
        <v>13113.6</v>
      </c>
      <c r="K154" s="255">
        <f t="shared" si="353"/>
        <v>13113.6</v>
      </c>
      <c r="L154" s="520">
        <f>F154+180</f>
        <v>13023.6</v>
      </c>
      <c r="M154" s="255">
        <f t="shared" ref="M154" si="357">+L154*$X$1</f>
        <v>13023.6</v>
      </c>
      <c r="N154" s="520">
        <f>F154+140</f>
        <v>12983.6</v>
      </c>
      <c r="O154" s="255">
        <f t="shared" ref="O154" si="358">+N154*$X$1</f>
        <v>12983.6</v>
      </c>
      <c r="P154" s="520">
        <f>F154+110</f>
        <v>12953.6</v>
      </c>
      <c r="Q154" s="255">
        <f t="shared" si="354"/>
        <v>12953.6</v>
      </c>
      <c r="R154" s="520">
        <f>F154+90</f>
        <v>12933.6</v>
      </c>
      <c r="S154" s="255">
        <f t="shared" ref="S154" si="359">+R154*$X$1</f>
        <v>12933.6</v>
      </c>
      <c r="T154" s="520">
        <f>F154+75</f>
        <v>12918.6</v>
      </c>
      <c r="U154" s="255">
        <f t="shared" si="355"/>
        <v>12918.6</v>
      </c>
      <c r="V154" s="520">
        <f>F154+60</f>
        <v>12903.6</v>
      </c>
      <c r="W154" s="255">
        <f t="shared" ref="W154" si="360">+V154*$X$1</f>
        <v>12903.6</v>
      </c>
      <c r="X154" s="660"/>
      <c r="Y154" s="621"/>
      <c r="Z154" s="621"/>
      <c r="AA154" s="622"/>
      <c r="AB154" s="178">
        <v>332</v>
      </c>
    </row>
    <row r="155" spans="1:34" ht="12.75" customHeight="1" x14ac:dyDescent="0.2">
      <c r="A155" s="17"/>
      <c r="B155" s="3"/>
      <c r="C155" s="3"/>
      <c r="D155" s="3"/>
      <c r="E155" s="3"/>
      <c r="F155" s="116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7"/>
      <c r="B156" s="3"/>
      <c r="C156" s="3"/>
      <c r="D156" s="3"/>
      <c r="E156" s="62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3"/>
      <c r="F157" s="8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7"/>
      <c r="B158" s="679" t="s">
        <v>11</v>
      </c>
      <c r="C158" s="708" t="s">
        <v>12</v>
      </c>
      <c r="D158" s="709"/>
      <c r="E158" s="709"/>
      <c r="F158" s="674" t="s">
        <v>13</v>
      </c>
      <c r="G158" s="674" t="s">
        <v>13</v>
      </c>
      <c r="H158" s="670" t="s">
        <v>701</v>
      </c>
      <c r="I158" s="670"/>
      <c r="J158" s="671"/>
      <c r="K158" s="671"/>
      <c r="L158" s="671"/>
      <c r="M158" s="671"/>
      <c r="N158" s="671"/>
      <c r="O158" s="671"/>
      <c r="P158" s="671"/>
      <c r="Q158" s="671"/>
      <c r="R158" s="671"/>
      <c r="S158" s="671"/>
      <c r="T158" s="671"/>
      <c r="U158" s="671"/>
      <c r="V158" s="671"/>
      <c r="W158" s="671"/>
      <c r="X158" s="779" t="s">
        <v>14</v>
      </c>
      <c r="Y158" s="793"/>
      <c r="Z158" s="793"/>
      <c r="AA158" s="966"/>
      <c r="AB158" s="777" t="s">
        <v>15</v>
      </c>
      <c r="AF158" s="759" t="s">
        <v>3</v>
      </c>
      <c r="AG158" s="760"/>
      <c r="AH158" s="760"/>
    </row>
    <row r="159" spans="1:34" ht="12.6" customHeight="1" x14ac:dyDescent="0.2">
      <c r="A159" s="17"/>
      <c r="B159" s="679"/>
      <c r="C159" s="709"/>
      <c r="D159" s="709"/>
      <c r="E159" s="709"/>
      <c r="F159" s="675"/>
      <c r="G159" s="675"/>
      <c r="H159" s="398"/>
      <c r="I159" s="396" t="s">
        <v>260</v>
      </c>
      <c r="J159" s="398"/>
      <c r="K159" s="396" t="s">
        <v>17</v>
      </c>
      <c r="L159" s="399"/>
      <c r="M159" s="399" t="s">
        <v>18</v>
      </c>
      <c r="N159" s="399"/>
      <c r="O159" s="396" t="s">
        <v>19</v>
      </c>
      <c r="P159" s="399"/>
      <c r="Q159" s="399" t="s">
        <v>261</v>
      </c>
      <c r="R159" s="399"/>
      <c r="S159" s="399" t="s">
        <v>20</v>
      </c>
      <c r="T159" s="399"/>
      <c r="U159" s="399" t="s">
        <v>21</v>
      </c>
      <c r="V159" s="399"/>
      <c r="W159" s="399" t="s">
        <v>22</v>
      </c>
      <c r="X159" s="794"/>
      <c r="Y159" s="795"/>
      <c r="Z159" s="795"/>
      <c r="AA159" s="967"/>
      <c r="AB159" s="778"/>
      <c r="AG159" s="31"/>
    </row>
    <row r="160" spans="1:34" ht="12.6" customHeight="1" x14ac:dyDescent="0.2">
      <c r="A160" s="17"/>
      <c r="B160" s="635" t="s">
        <v>1006</v>
      </c>
      <c r="C160" s="676"/>
      <c r="D160" s="676"/>
      <c r="E160" s="676"/>
      <c r="F160" s="322">
        <v>11845</v>
      </c>
      <c r="G160" s="256">
        <f>+F160*$X$1</f>
        <v>11845</v>
      </c>
      <c r="H160" s="528">
        <f>F160+800</f>
        <v>12645</v>
      </c>
      <c r="I160" s="256">
        <f t="shared" ref="I160" si="361">+H160*$X$1</f>
        <v>12645</v>
      </c>
      <c r="J160" s="528">
        <f>F160+270</f>
        <v>12115</v>
      </c>
      <c r="K160" s="256">
        <f t="shared" ref="K160" si="362">+J160*$X$1</f>
        <v>12115</v>
      </c>
      <c r="L160" s="528">
        <f>F160+180</f>
        <v>12025</v>
      </c>
      <c r="M160" s="256">
        <f t="shared" ref="M160" si="363">+L160*$X$1</f>
        <v>12025</v>
      </c>
      <c r="N160" s="528">
        <f>F160+140</f>
        <v>11985</v>
      </c>
      <c r="O160" s="256">
        <f t="shared" ref="O160" si="364">+N160*$X$1</f>
        <v>11985</v>
      </c>
      <c r="P160" s="528">
        <f>F160+110</f>
        <v>11955</v>
      </c>
      <c r="Q160" s="256">
        <f t="shared" ref="Q160" si="365">+P160*$X$1</f>
        <v>11955</v>
      </c>
      <c r="R160" s="528">
        <f>F160+90</f>
        <v>11935</v>
      </c>
      <c r="S160" s="256">
        <f t="shared" ref="S160" si="366">+R160*$X$1</f>
        <v>11935</v>
      </c>
      <c r="T160" s="528">
        <f>F160+75</f>
        <v>11920</v>
      </c>
      <c r="U160" s="256">
        <f t="shared" ref="U160" si="367">+T160*$X$1</f>
        <v>11920</v>
      </c>
      <c r="V160" s="528">
        <f>F160+60</f>
        <v>11905</v>
      </c>
      <c r="W160" s="256">
        <f t="shared" ref="W160" si="368">+V160*$X$1</f>
        <v>11905</v>
      </c>
      <c r="X160" s="660"/>
      <c r="Y160" s="621"/>
      <c r="Z160" s="621"/>
      <c r="AA160" s="622"/>
      <c r="AB160" s="178">
        <v>334</v>
      </c>
    </row>
    <row r="161" spans="1:28" ht="12.6" customHeight="1" x14ac:dyDescent="0.2">
      <c r="A161" s="19"/>
      <c r="B161" s="715" t="s">
        <v>163</v>
      </c>
      <c r="C161" s="716"/>
      <c r="D161" s="716"/>
      <c r="E161" s="716"/>
      <c r="F161" s="255">
        <v>650</v>
      </c>
      <c r="G161" s="255">
        <f t="shared" ref="G161" si="369">+F161*$X$1</f>
        <v>650</v>
      </c>
      <c r="H161" s="618"/>
      <c r="I161" s="618"/>
      <c r="J161" s="520">
        <f>F161+600</f>
        <v>1250</v>
      </c>
      <c r="K161" s="255">
        <f t="shared" ref="K161" si="370">+J161*$X$1</f>
        <v>1250</v>
      </c>
      <c r="L161" s="520">
        <f>F161+560</f>
        <v>1210</v>
      </c>
      <c r="M161" s="255">
        <f>+L161*$X$1</f>
        <v>1210</v>
      </c>
      <c r="N161" s="520">
        <f>F161+500</f>
        <v>1150</v>
      </c>
      <c r="O161" s="255">
        <f>+N161*$X$1</f>
        <v>1150</v>
      </c>
      <c r="P161" s="520">
        <f>F161+460</f>
        <v>1110</v>
      </c>
      <c r="Q161" s="255">
        <f t="shared" ref="Q161" si="371">+P161*$X$1</f>
        <v>1110</v>
      </c>
      <c r="R161" s="520">
        <f>F161+420</f>
        <v>1070</v>
      </c>
      <c r="S161" s="255">
        <f>+R161*$X$1</f>
        <v>1070</v>
      </c>
      <c r="T161" s="520"/>
      <c r="U161" s="255"/>
      <c r="V161" s="520"/>
      <c r="W161" s="255"/>
      <c r="X161" s="135"/>
      <c r="Y161" s="135"/>
      <c r="Z161" s="135"/>
      <c r="AA161" s="135"/>
      <c r="AB161" s="178">
        <v>347</v>
      </c>
    </row>
    <row r="162" spans="1:28" ht="12.6" customHeight="1" x14ac:dyDescent="0.25">
      <c r="A162" s="19"/>
      <c r="B162" s="647" t="s">
        <v>557</v>
      </c>
      <c r="C162" s="648"/>
      <c r="D162" s="648"/>
      <c r="E162" s="648"/>
      <c r="F162" s="262"/>
      <c r="G162" s="607"/>
      <c r="H162" s="528">
        <v>6200</v>
      </c>
      <c r="I162" s="256">
        <f t="shared" ref="I162:W166" si="372">+H162*$X$1</f>
        <v>6200</v>
      </c>
      <c r="J162" s="528">
        <v>5870</v>
      </c>
      <c r="K162" s="256">
        <f t="shared" si="372"/>
        <v>5870</v>
      </c>
      <c r="L162" s="260">
        <v>5811</v>
      </c>
      <c r="M162" s="256">
        <f t="shared" si="372"/>
        <v>5811</v>
      </c>
      <c r="N162" s="566">
        <v>5780</v>
      </c>
      <c r="O162" s="256">
        <f t="shared" si="372"/>
        <v>5780</v>
      </c>
      <c r="P162" s="260">
        <v>5684</v>
      </c>
      <c r="Q162" s="256">
        <f t="shared" si="372"/>
        <v>5684</v>
      </c>
      <c r="R162" s="528">
        <v>5460</v>
      </c>
      <c r="S162" s="256">
        <f t="shared" si="372"/>
        <v>5460</v>
      </c>
      <c r="T162" s="528">
        <v>5238</v>
      </c>
      <c r="U162" s="256">
        <f t="shared" si="372"/>
        <v>5238</v>
      </c>
      <c r="V162" s="528">
        <v>4825</v>
      </c>
      <c r="W162" s="256">
        <f t="shared" si="372"/>
        <v>4825</v>
      </c>
      <c r="X162" s="135"/>
      <c r="Y162" s="135"/>
      <c r="Z162" s="135"/>
      <c r="AA162" s="135"/>
      <c r="AB162" s="178">
        <v>348</v>
      </c>
    </row>
    <row r="163" spans="1:28" ht="12.6" customHeight="1" x14ac:dyDescent="0.25">
      <c r="A163" s="19"/>
      <c r="B163" s="654" t="s">
        <v>164</v>
      </c>
      <c r="C163" s="655"/>
      <c r="D163" s="655"/>
      <c r="E163" s="655"/>
      <c r="F163" s="263"/>
      <c r="G163" s="619"/>
      <c r="H163" s="520">
        <v>6200</v>
      </c>
      <c r="I163" s="255">
        <f t="shared" ref="I163" si="373">+H163*$X$1</f>
        <v>6200</v>
      </c>
      <c r="J163" s="520">
        <v>5870</v>
      </c>
      <c r="K163" s="255">
        <f t="shared" ref="K163" si="374">+J163*$X$1</f>
        <v>5870</v>
      </c>
      <c r="L163" s="261">
        <v>5811</v>
      </c>
      <c r="M163" s="255">
        <f t="shared" ref="M163" si="375">+L163*$X$1</f>
        <v>5811</v>
      </c>
      <c r="N163" s="565">
        <v>5780</v>
      </c>
      <c r="O163" s="255">
        <f t="shared" ref="O163" si="376">+N163*$X$1</f>
        <v>5780</v>
      </c>
      <c r="P163" s="261">
        <v>5684</v>
      </c>
      <c r="Q163" s="255">
        <f t="shared" ref="Q163" si="377">+P163*$X$1</f>
        <v>5684</v>
      </c>
      <c r="R163" s="520">
        <v>5460</v>
      </c>
      <c r="S163" s="255">
        <f t="shared" ref="S163" si="378">+R163*$X$1</f>
        <v>5460</v>
      </c>
      <c r="T163" s="520">
        <v>5238</v>
      </c>
      <c r="U163" s="255">
        <f t="shared" ref="U163" si="379">+T163*$X$1</f>
        <v>5238</v>
      </c>
      <c r="V163" s="520">
        <v>4825</v>
      </c>
      <c r="W163" s="255">
        <f t="shared" ref="W163" si="380">+V163*$X$1</f>
        <v>4825</v>
      </c>
      <c r="X163" s="135"/>
      <c r="Y163" s="135"/>
      <c r="Z163" s="135"/>
      <c r="AA163" s="135"/>
      <c r="AB163" s="178">
        <v>349</v>
      </c>
    </row>
    <row r="164" spans="1:28" ht="12.6" customHeight="1" x14ac:dyDescent="0.25">
      <c r="A164" s="19"/>
      <c r="B164" s="647" t="s">
        <v>165</v>
      </c>
      <c r="C164" s="648"/>
      <c r="D164" s="648"/>
      <c r="E164" s="648"/>
      <c r="F164" s="262"/>
      <c r="G164" s="607"/>
      <c r="H164" s="528">
        <v>5600</v>
      </c>
      <c r="I164" s="256">
        <f t="shared" si="372"/>
        <v>5600</v>
      </c>
      <c r="J164" s="528">
        <v>5250</v>
      </c>
      <c r="K164" s="256">
        <f t="shared" si="372"/>
        <v>5250</v>
      </c>
      <c r="L164" s="260">
        <v>5220</v>
      </c>
      <c r="M164" s="256">
        <f t="shared" si="372"/>
        <v>5220</v>
      </c>
      <c r="N164" s="566">
        <v>5140</v>
      </c>
      <c r="O164" s="256">
        <f t="shared" si="372"/>
        <v>5140</v>
      </c>
      <c r="P164" s="260">
        <v>4900</v>
      </c>
      <c r="Q164" s="256">
        <f t="shared" si="372"/>
        <v>4900</v>
      </c>
      <c r="R164" s="528">
        <v>4680</v>
      </c>
      <c r="S164" s="256">
        <f t="shared" si="372"/>
        <v>4680</v>
      </c>
      <c r="T164" s="528">
        <v>4560</v>
      </c>
      <c r="U164" s="256">
        <f t="shared" si="372"/>
        <v>4560</v>
      </c>
      <c r="V164" s="528">
        <v>4439</v>
      </c>
      <c r="W164" s="256">
        <f t="shared" si="372"/>
        <v>4439</v>
      </c>
      <c r="X164" s="135"/>
      <c r="Y164" s="135"/>
      <c r="Z164" s="135"/>
      <c r="AA164" s="135"/>
      <c r="AB164" s="178">
        <v>350</v>
      </c>
    </row>
    <row r="165" spans="1:28" ht="12.6" customHeight="1" x14ac:dyDescent="0.25">
      <c r="A165" s="19"/>
      <c r="B165" s="654" t="s">
        <v>166</v>
      </c>
      <c r="C165" s="655"/>
      <c r="D165" s="655"/>
      <c r="E165" s="655"/>
      <c r="F165" s="263"/>
      <c r="G165" s="619"/>
      <c r="H165" s="520">
        <v>6200</v>
      </c>
      <c r="I165" s="255">
        <f t="shared" ref="I165" si="381">+H165*$X$1</f>
        <v>6200</v>
      </c>
      <c r="J165" s="520">
        <v>5870</v>
      </c>
      <c r="K165" s="255">
        <f t="shared" ref="K165" si="382">+J165*$X$1</f>
        <v>5870</v>
      </c>
      <c r="L165" s="261">
        <v>5811</v>
      </c>
      <c r="M165" s="255">
        <f t="shared" ref="M165" si="383">+L165*$X$1</f>
        <v>5811</v>
      </c>
      <c r="N165" s="565">
        <v>5780</v>
      </c>
      <c r="O165" s="255">
        <f t="shared" ref="O165" si="384">+N165*$X$1</f>
        <v>5780</v>
      </c>
      <c r="P165" s="261">
        <v>5684</v>
      </c>
      <c r="Q165" s="255">
        <f t="shared" ref="Q165" si="385">+P165*$X$1</f>
        <v>5684</v>
      </c>
      <c r="R165" s="520">
        <v>5460</v>
      </c>
      <c r="S165" s="255">
        <f t="shared" ref="S165" si="386">+R165*$X$1</f>
        <v>5460</v>
      </c>
      <c r="T165" s="520">
        <v>5238</v>
      </c>
      <c r="U165" s="255">
        <f t="shared" ref="U165" si="387">+T165*$X$1</f>
        <v>5238</v>
      </c>
      <c r="V165" s="520">
        <v>4825</v>
      </c>
      <c r="W165" s="255">
        <f t="shared" ref="W165" si="388">+V165*$X$1</f>
        <v>4825</v>
      </c>
      <c r="X165" s="135"/>
      <c r="Y165" s="135"/>
      <c r="Z165" s="135"/>
      <c r="AA165" s="135"/>
      <c r="AB165" s="178">
        <v>351</v>
      </c>
    </row>
    <row r="166" spans="1:28" ht="12.6" customHeight="1" x14ac:dyDescent="0.25">
      <c r="A166" s="19"/>
      <c r="B166" s="647" t="s">
        <v>167</v>
      </c>
      <c r="C166" s="648"/>
      <c r="D166" s="648"/>
      <c r="E166" s="648"/>
      <c r="F166" s="262"/>
      <c r="G166" s="607"/>
      <c r="H166" s="528">
        <v>10200</v>
      </c>
      <c r="I166" s="256">
        <f t="shared" ref="I166" si="389">+H166*$X$1</f>
        <v>10200</v>
      </c>
      <c r="J166" s="528">
        <v>9600</v>
      </c>
      <c r="K166" s="256">
        <f t="shared" ref="K166" si="390">+J166*$X$1</f>
        <v>9600</v>
      </c>
      <c r="L166" s="95">
        <v>9500</v>
      </c>
      <c r="M166" s="256">
        <f t="shared" ref="M166" si="391">+L166*$X$1</f>
        <v>9500</v>
      </c>
      <c r="N166" s="92">
        <v>9300</v>
      </c>
      <c r="O166" s="256">
        <f t="shared" si="372"/>
        <v>9300</v>
      </c>
      <c r="P166" s="260">
        <v>8970</v>
      </c>
      <c r="Q166" s="256">
        <f t="shared" ref="Q166" si="392">+P166*$X$1</f>
        <v>8970</v>
      </c>
      <c r="R166" s="528">
        <v>8670</v>
      </c>
      <c r="S166" s="256">
        <f t="shared" ref="S166" si="393">+R166*$X$1</f>
        <v>8670</v>
      </c>
      <c r="T166" s="92">
        <v>8350</v>
      </c>
      <c r="U166" s="256">
        <f t="shared" ref="U166" si="394">+T166*$X$1</f>
        <v>8350</v>
      </c>
      <c r="V166" s="92">
        <v>7954</v>
      </c>
      <c r="W166" s="256">
        <f t="shared" ref="W166" si="395">+V166*$X$1</f>
        <v>7954</v>
      </c>
      <c r="X166" s="135"/>
      <c r="Y166" s="135"/>
      <c r="Z166" s="135"/>
      <c r="AA166" s="135"/>
      <c r="AB166" s="178">
        <v>352</v>
      </c>
    </row>
    <row r="167" spans="1:28" ht="12.6" customHeight="1" x14ac:dyDescent="0.25">
      <c r="A167" s="19"/>
      <c r="B167" s="635" t="s">
        <v>976</v>
      </c>
      <c r="C167" s="676"/>
      <c r="D167" s="676"/>
      <c r="E167" s="676"/>
      <c r="F167" s="263"/>
      <c r="G167" s="619"/>
      <c r="H167" s="520">
        <v>14900</v>
      </c>
      <c r="I167" s="255">
        <f t="shared" ref="I167" si="396">+H167*$X$1</f>
        <v>14900</v>
      </c>
      <c r="J167" s="520">
        <v>14130</v>
      </c>
      <c r="K167" s="255">
        <f t="shared" ref="K167:K168" si="397">+J167*$X$1</f>
        <v>14130</v>
      </c>
      <c r="L167" s="261">
        <v>13987</v>
      </c>
      <c r="M167" s="255">
        <f t="shared" ref="M167:M168" si="398">+L167*$X$1</f>
        <v>13987</v>
      </c>
      <c r="N167" s="93">
        <v>13916</v>
      </c>
      <c r="O167" s="255">
        <f t="shared" ref="O167:O168" si="399">+N167*$X$1</f>
        <v>13916</v>
      </c>
      <c r="P167" s="261">
        <v>13720</v>
      </c>
      <c r="Q167" s="255">
        <f t="shared" ref="Q167:Q168" si="400">+P167*$X$1</f>
        <v>13720</v>
      </c>
      <c r="R167" s="520">
        <v>13650</v>
      </c>
      <c r="S167" s="255">
        <f t="shared" ref="S167:S168" si="401">+R167*$X$1</f>
        <v>13650</v>
      </c>
      <c r="T167" s="93">
        <v>13580</v>
      </c>
      <c r="U167" s="255">
        <f t="shared" ref="U167:U168" si="402">+T167*$X$1</f>
        <v>13580</v>
      </c>
      <c r="V167" s="93">
        <v>13124</v>
      </c>
      <c r="W167" s="255">
        <f t="shared" ref="W167:W168" si="403">+V167*$X$1</f>
        <v>13124</v>
      </c>
      <c r="X167" s="135"/>
      <c r="Y167" s="135"/>
      <c r="Z167" s="135"/>
      <c r="AA167" s="135"/>
      <c r="AB167" s="178">
        <v>352</v>
      </c>
    </row>
    <row r="168" spans="1:28" ht="12.6" customHeight="1" x14ac:dyDescent="0.2">
      <c r="A168" s="19"/>
      <c r="B168" s="626" t="s">
        <v>1012</v>
      </c>
      <c r="C168" s="627"/>
      <c r="D168" s="627"/>
      <c r="E168" s="628"/>
      <c r="F168" s="322">
        <f>4.5*X2</f>
        <v>6930</v>
      </c>
      <c r="G168" s="269">
        <f>+F168*$X$1</f>
        <v>6930</v>
      </c>
      <c r="H168" s="528"/>
      <c r="I168" s="256"/>
      <c r="J168" s="82">
        <f t="shared" ref="J168" si="404">F168+300</f>
        <v>7230</v>
      </c>
      <c r="K168" s="256">
        <f t="shared" si="397"/>
        <v>7230</v>
      </c>
      <c r="L168" s="528">
        <f t="shared" ref="L168:L175" si="405">F168+230</f>
        <v>7160</v>
      </c>
      <c r="M168" s="256">
        <f t="shared" si="398"/>
        <v>7160</v>
      </c>
      <c r="N168" s="528">
        <f t="shared" ref="N168" si="406">F168+180</f>
        <v>7110</v>
      </c>
      <c r="O168" s="256">
        <f t="shared" si="399"/>
        <v>7110</v>
      </c>
      <c r="P168" s="528">
        <f t="shared" ref="P168:P175" si="407">F168+150</f>
        <v>7080</v>
      </c>
      <c r="Q168" s="256">
        <f t="shared" si="400"/>
        <v>7080</v>
      </c>
      <c r="R168" s="528">
        <f t="shared" ref="R168" si="408">F168+120</f>
        <v>7050</v>
      </c>
      <c r="S168" s="256">
        <f t="shared" si="401"/>
        <v>7050</v>
      </c>
      <c r="T168" s="528">
        <f t="shared" ref="T168" si="409">F168+100</f>
        <v>7030</v>
      </c>
      <c r="U168" s="256">
        <f t="shared" si="402"/>
        <v>7030</v>
      </c>
      <c r="V168" s="528">
        <f t="shared" ref="V168:V175" si="410">F168+80</f>
        <v>7010</v>
      </c>
      <c r="W168" s="256">
        <f t="shared" si="403"/>
        <v>7010</v>
      </c>
      <c r="X168" s="660"/>
      <c r="Y168" s="621"/>
      <c r="Z168" s="621"/>
      <c r="AA168" s="622"/>
      <c r="AB168" s="178">
        <v>360</v>
      </c>
    </row>
    <row r="169" spans="1:28" ht="12.6" customHeight="1" x14ac:dyDescent="0.2">
      <c r="A169" s="19"/>
      <c r="B169" s="626" t="s">
        <v>1014</v>
      </c>
      <c r="C169" s="627"/>
      <c r="D169" s="627"/>
      <c r="E169" s="628"/>
      <c r="F169" s="321">
        <f>14.7*X2</f>
        <v>22638</v>
      </c>
      <c r="G169" s="234">
        <f>+F169*$X$1</f>
        <v>22638</v>
      </c>
      <c r="H169" s="520"/>
      <c r="I169" s="255"/>
      <c r="J169" s="68">
        <f t="shared" ref="J169:J175" si="411">F169+300</f>
        <v>22938</v>
      </c>
      <c r="K169" s="255">
        <f t="shared" ref="K169:K176" si="412">+J169*$X$1</f>
        <v>22938</v>
      </c>
      <c r="L169" s="520">
        <f t="shared" si="405"/>
        <v>22868</v>
      </c>
      <c r="M169" s="255">
        <f t="shared" ref="M169:M176" si="413">+L169*$X$1</f>
        <v>22868</v>
      </c>
      <c r="N169" s="520">
        <f t="shared" ref="N169:N175" si="414">F169+180</f>
        <v>22818</v>
      </c>
      <c r="O169" s="255">
        <f t="shared" ref="O169:O176" si="415">+N169*$X$1</f>
        <v>22818</v>
      </c>
      <c r="P169" s="520">
        <f t="shared" si="407"/>
        <v>22788</v>
      </c>
      <c r="Q169" s="255">
        <f t="shared" ref="Q169:Q176" si="416">+P169*$X$1</f>
        <v>22788</v>
      </c>
      <c r="R169" s="520">
        <f t="shared" ref="R169:R175" si="417">F169+120</f>
        <v>22758</v>
      </c>
      <c r="S169" s="255">
        <f t="shared" ref="S169:S176" si="418">+R169*$X$1</f>
        <v>22758</v>
      </c>
      <c r="T169" s="520">
        <f t="shared" ref="T169:T175" si="419">F169+100</f>
        <v>22738</v>
      </c>
      <c r="U169" s="255">
        <f t="shared" ref="U169:U176" si="420">+T169*$X$1</f>
        <v>22738</v>
      </c>
      <c r="V169" s="520">
        <f t="shared" si="410"/>
        <v>22718</v>
      </c>
      <c r="W169" s="255">
        <f t="shared" ref="W169:W176" si="421">+V169*$X$1</f>
        <v>22718</v>
      </c>
      <c r="X169" s="660"/>
      <c r="Y169" s="621"/>
      <c r="Z169" s="621"/>
      <c r="AA169" s="622"/>
      <c r="AB169" s="178">
        <v>363</v>
      </c>
    </row>
    <row r="170" spans="1:28" ht="12.6" customHeight="1" x14ac:dyDescent="0.2">
      <c r="A170" s="19"/>
      <c r="B170" s="626" t="s">
        <v>1013</v>
      </c>
      <c r="C170" s="627"/>
      <c r="D170" s="627"/>
      <c r="E170" s="628"/>
      <c r="F170" s="322">
        <f>9.61*X2</f>
        <v>14799.4</v>
      </c>
      <c r="G170" s="269">
        <f>+F170*$X$1</f>
        <v>14799.4</v>
      </c>
      <c r="H170" s="528"/>
      <c r="I170" s="256"/>
      <c r="J170" s="82">
        <f t="shared" si="411"/>
        <v>15099.4</v>
      </c>
      <c r="K170" s="256">
        <f t="shared" si="412"/>
        <v>15099.4</v>
      </c>
      <c r="L170" s="528">
        <f t="shared" si="405"/>
        <v>15029.4</v>
      </c>
      <c r="M170" s="256">
        <f t="shared" si="413"/>
        <v>15029.4</v>
      </c>
      <c r="N170" s="528">
        <f t="shared" si="414"/>
        <v>14979.4</v>
      </c>
      <c r="O170" s="256">
        <f t="shared" si="415"/>
        <v>14979.4</v>
      </c>
      <c r="P170" s="528">
        <f t="shared" si="407"/>
        <v>14949.4</v>
      </c>
      <c r="Q170" s="256">
        <f t="shared" si="416"/>
        <v>14949.4</v>
      </c>
      <c r="R170" s="528">
        <f t="shared" si="417"/>
        <v>14919.4</v>
      </c>
      <c r="S170" s="256">
        <f t="shared" si="418"/>
        <v>14919.4</v>
      </c>
      <c r="T170" s="528">
        <f t="shared" si="419"/>
        <v>14899.4</v>
      </c>
      <c r="U170" s="256">
        <f t="shared" si="420"/>
        <v>14899.4</v>
      </c>
      <c r="V170" s="528">
        <f t="shared" si="410"/>
        <v>14879.4</v>
      </c>
      <c r="W170" s="256">
        <f t="shared" si="421"/>
        <v>14879.4</v>
      </c>
      <c r="X170" s="660"/>
      <c r="Y170" s="621"/>
      <c r="Z170" s="621"/>
      <c r="AA170" s="622"/>
      <c r="AB170" s="178">
        <v>364</v>
      </c>
    </row>
    <row r="171" spans="1:28" ht="12.6" customHeight="1" x14ac:dyDescent="0.2">
      <c r="A171" s="19"/>
      <c r="B171" s="626" t="s">
        <v>1015</v>
      </c>
      <c r="C171" s="627"/>
      <c r="D171" s="627"/>
      <c r="E171" s="628"/>
      <c r="F171" s="321">
        <f>1.77*X2</f>
        <v>2725.8</v>
      </c>
      <c r="G171" s="234">
        <f>+F171*$X$1</f>
        <v>2725.8</v>
      </c>
      <c r="H171" s="520"/>
      <c r="I171" s="255"/>
      <c r="J171" s="68">
        <f t="shared" si="411"/>
        <v>3025.8</v>
      </c>
      <c r="K171" s="255">
        <f t="shared" si="412"/>
        <v>3025.8</v>
      </c>
      <c r="L171" s="520">
        <f t="shared" si="405"/>
        <v>2955.8</v>
      </c>
      <c r="M171" s="255">
        <f t="shared" si="413"/>
        <v>2955.8</v>
      </c>
      <c r="N171" s="520">
        <f t="shared" si="414"/>
        <v>2905.8</v>
      </c>
      <c r="O171" s="255">
        <f t="shared" si="415"/>
        <v>2905.8</v>
      </c>
      <c r="P171" s="520">
        <f t="shared" si="407"/>
        <v>2875.8</v>
      </c>
      <c r="Q171" s="255">
        <f t="shared" si="416"/>
        <v>2875.8</v>
      </c>
      <c r="R171" s="520">
        <f t="shared" si="417"/>
        <v>2845.8</v>
      </c>
      <c r="S171" s="255">
        <f t="shared" si="418"/>
        <v>2845.8</v>
      </c>
      <c r="T171" s="520">
        <f t="shared" si="419"/>
        <v>2825.8</v>
      </c>
      <c r="U171" s="255">
        <f t="shared" si="420"/>
        <v>2825.8</v>
      </c>
      <c r="V171" s="520">
        <f t="shared" si="410"/>
        <v>2805.8</v>
      </c>
      <c r="W171" s="255">
        <f t="shared" si="421"/>
        <v>2805.8</v>
      </c>
      <c r="X171" s="660"/>
      <c r="Y171" s="621"/>
      <c r="Z171" s="621"/>
      <c r="AA171" s="622"/>
      <c r="AB171" s="178">
        <v>365</v>
      </c>
    </row>
    <row r="172" spans="1:28" ht="12.6" customHeight="1" x14ac:dyDescent="0.2">
      <c r="A172" s="19"/>
      <c r="B172" s="626" t="s">
        <v>1016</v>
      </c>
      <c r="C172" s="627"/>
      <c r="D172" s="627"/>
      <c r="E172" s="628"/>
      <c r="F172" s="322">
        <f>6.83*X2</f>
        <v>10518.2</v>
      </c>
      <c r="G172" s="269">
        <f>+F172*$X$1</f>
        <v>10518.2</v>
      </c>
      <c r="H172" s="528"/>
      <c r="I172" s="256"/>
      <c r="J172" s="82">
        <f t="shared" si="411"/>
        <v>10818.2</v>
      </c>
      <c r="K172" s="256">
        <f t="shared" si="412"/>
        <v>10818.2</v>
      </c>
      <c r="L172" s="528">
        <f t="shared" si="405"/>
        <v>10748.2</v>
      </c>
      <c r="M172" s="256">
        <f t="shared" si="413"/>
        <v>10748.2</v>
      </c>
      <c r="N172" s="528">
        <f t="shared" si="414"/>
        <v>10698.2</v>
      </c>
      <c r="O172" s="256">
        <f t="shared" si="415"/>
        <v>10698.2</v>
      </c>
      <c r="P172" s="528">
        <f t="shared" si="407"/>
        <v>10668.2</v>
      </c>
      <c r="Q172" s="256">
        <f t="shared" si="416"/>
        <v>10668.2</v>
      </c>
      <c r="R172" s="528">
        <f t="shared" si="417"/>
        <v>10638.2</v>
      </c>
      <c r="S172" s="256">
        <f t="shared" si="418"/>
        <v>10638.2</v>
      </c>
      <c r="T172" s="528">
        <f t="shared" si="419"/>
        <v>10618.2</v>
      </c>
      <c r="U172" s="256">
        <f t="shared" si="420"/>
        <v>10618.2</v>
      </c>
      <c r="V172" s="528">
        <f t="shared" si="410"/>
        <v>10598.2</v>
      </c>
      <c r="W172" s="256">
        <f t="shared" si="421"/>
        <v>10598.2</v>
      </c>
      <c r="X172" s="660"/>
      <c r="Y172" s="621"/>
      <c r="Z172" s="621"/>
      <c r="AA172" s="622"/>
      <c r="AB172" s="178">
        <v>366</v>
      </c>
    </row>
    <row r="173" spans="1:28" ht="12.6" customHeight="1" x14ac:dyDescent="0.2">
      <c r="A173" s="19"/>
      <c r="B173" s="657" t="s">
        <v>331</v>
      </c>
      <c r="C173" s="677"/>
      <c r="D173" s="677"/>
      <c r="E173" s="678"/>
      <c r="F173" s="324">
        <f>0.41*X2</f>
        <v>631.4</v>
      </c>
      <c r="G173" s="234">
        <f t="shared" ref="G173" si="422">+F173*$X$1</f>
        <v>631.4</v>
      </c>
      <c r="H173" s="520"/>
      <c r="I173" s="255"/>
      <c r="J173" s="68"/>
      <c r="K173" s="255"/>
      <c r="L173" s="520">
        <f t="shared" si="405"/>
        <v>861.4</v>
      </c>
      <c r="M173" s="255">
        <f t="shared" si="413"/>
        <v>861.4</v>
      </c>
      <c r="N173" s="520">
        <f t="shared" si="414"/>
        <v>811.4</v>
      </c>
      <c r="O173" s="255">
        <f t="shared" si="415"/>
        <v>811.4</v>
      </c>
      <c r="P173" s="520">
        <f t="shared" si="407"/>
        <v>781.4</v>
      </c>
      <c r="Q173" s="255">
        <f t="shared" si="416"/>
        <v>781.4</v>
      </c>
      <c r="R173" s="520">
        <f t="shared" si="417"/>
        <v>751.4</v>
      </c>
      <c r="S173" s="255">
        <f t="shared" si="418"/>
        <v>751.4</v>
      </c>
      <c r="T173" s="520">
        <f t="shared" si="419"/>
        <v>731.4</v>
      </c>
      <c r="U173" s="255">
        <f t="shared" si="420"/>
        <v>731.4</v>
      </c>
      <c r="V173" s="520">
        <f t="shared" si="410"/>
        <v>711.4</v>
      </c>
      <c r="W173" s="255">
        <f t="shared" si="421"/>
        <v>711.4</v>
      </c>
      <c r="X173" s="629"/>
      <c r="Y173" s="630"/>
      <c r="Z173" s="630"/>
      <c r="AA173" s="631"/>
      <c r="AB173" s="178">
        <v>370</v>
      </c>
    </row>
    <row r="174" spans="1:28" ht="12.6" customHeight="1" x14ac:dyDescent="0.2">
      <c r="A174" s="19"/>
      <c r="B174" s="710" t="s">
        <v>487</v>
      </c>
      <c r="C174" s="711"/>
      <c r="D174" s="711"/>
      <c r="E174" s="712"/>
      <c r="F174" s="559">
        <v>890</v>
      </c>
      <c r="G174" s="269">
        <f t="shared" ref="G174" si="423">+F174*$X$1</f>
        <v>890</v>
      </c>
      <c r="H174" s="528"/>
      <c r="I174" s="256"/>
      <c r="J174" s="82">
        <f t="shared" si="411"/>
        <v>1190</v>
      </c>
      <c r="K174" s="256">
        <f t="shared" si="412"/>
        <v>1190</v>
      </c>
      <c r="L174" s="528">
        <f t="shared" si="405"/>
        <v>1120</v>
      </c>
      <c r="M174" s="256">
        <f t="shared" si="413"/>
        <v>1120</v>
      </c>
      <c r="N174" s="528">
        <f t="shared" si="414"/>
        <v>1070</v>
      </c>
      <c r="O174" s="256">
        <f t="shared" si="415"/>
        <v>1070</v>
      </c>
      <c r="P174" s="528">
        <f t="shared" si="407"/>
        <v>1040</v>
      </c>
      <c r="Q174" s="256">
        <f t="shared" si="416"/>
        <v>1040</v>
      </c>
      <c r="R174" s="528">
        <f t="shared" si="417"/>
        <v>1010</v>
      </c>
      <c r="S174" s="256">
        <f t="shared" si="418"/>
        <v>1010</v>
      </c>
      <c r="T174" s="528">
        <f t="shared" si="419"/>
        <v>990</v>
      </c>
      <c r="U174" s="256">
        <f t="shared" si="420"/>
        <v>990</v>
      </c>
      <c r="V174" s="528">
        <f t="shared" si="410"/>
        <v>970</v>
      </c>
      <c r="W174" s="256">
        <f t="shared" si="421"/>
        <v>970</v>
      </c>
      <c r="X174" s="629"/>
      <c r="Y174" s="630"/>
      <c r="Z174" s="630"/>
      <c r="AA174" s="631"/>
      <c r="AB174" s="337">
        <v>373</v>
      </c>
    </row>
    <row r="175" spans="1:28" ht="12.6" customHeight="1" x14ac:dyDescent="0.2">
      <c r="A175" s="19"/>
      <c r="B175" s="657" t="s">
        <v>168</v>
      </c>
      <c r="C175" s="677"/>
      <c r="D175" s="677"/>
      <c r="E175" s="678"/>
      <c r="F175" s="321">
        <f>1.36*X2</f>
        <v>2094.4</v>
      </c>
      <c r="G175" s="234">
        <f>+F175*$X$1</f>
        <v>2094.4</v>
      </c>
      <c r="H175" s="520"/>
      <c r="I175" s="255"/>
      <c r="J175" s="68">
        <f t="shared" si="411"/>
        <v>2394.4</v>
      </c>
      <c r="K175" s="255">
        <f t="shared" si="412"/>
        <v>2394.4</v>
      </c>
      <c r="L175" s="520">
        <f t="shared" si="405"/>
        <v>2324.4</v>
      </c>
      <c r="M175" s="255">
        <f t="shared" si="413"/>
        <v>2324.4</v>
      </c>
      <c r="N175" s="520">
        <f t="shared" si="414"/>
        <v>2274.4</v>
      </c>
      <c r="O175" s="255">
        <f t="shared" si="415"/>
        <v>2274.4</v>
      </c>
      <c r="P175" s="520">
        <f t="shared" si="407"/>
        <v>2244.4</v>
      </c>
      <c r="Q175" s="255">
        <f t="shared" si="416"/>
        <v>2244.4</v>
      </c>
      <c r="R175" s="520">
        <f t="shared" si="417"/>
        <v>2214.4</v>
      </c>
      <c r="S175" s="255">
        <f t="shared" si="418"/>
        <v>2214.4</v>
      </c>
      <c r="T175" s="520">
        <f t="shared" si="419"/>
        <v>2194.4</v>
      </c>
      <c r="U175" s="255">
        <f t="shared" si="420"/>
        <v>2194.4</v>
      </c>
      <c r="V175" s="520">
        <f t="shared" si="410"/>
        <v>2174.4</v>
      </c>
      <c r="W175" s="255">
        <f t="shared" si="421"/>
        <v>2174.4</v>
      </c>
      <c r="X175" s="629"/>
      <c r="Y175" s="630"/>
      <c r="Z175" s="630"/>
      <c r="AA175" s="631"/>
      <c r="AB175" s="178">
        <v>375</v>
      </c>
    </row>
    <row r="176" spans="1:28" ht="12.6" customHeight="1" x14ac:dyDescent="0.2">
      <c r="A176" s="19"/>
      <c r="B176" s="640" t="s">
        <v>169</v>
      </c>
      <c r="C176" s="641"/>
      <c r="D176" s="641"/>
      <c r="E176" s="642"/>
      <c r="F176" s="322">
        <f>4.67*X2</f>
        <v>7191.8</v>
      </c>
      <c r="G176" s="269">
        <f>+F176*$X$1</f>
        <v>7191.8</v>
      </c>
      <c r="H176" s="528">
        <f>F176+800</f>
        <v>7991.8</v>
      </c>
      <c r="I176" s="256">
        <f t="shared" ref="I176" si="424">+H176*$X$1</f>
        <v>7991.8</v>
      </c>
      <c r="J176" s="528">
        <f>F176+270</f>
        <v>7461.8</v>
      </c>
      <c r="K176" s="256">
        <f t="shared" si="412"/>
        <v>7461.8</v>
      </c>
      <c r="L176" s="528">
        <f>F176+180</f>
        <v>7371.8</v>
      </c>
      <c r="M176" s="256">
        <f t="shared" si="413"/>
        <v>7371.8</v>
      </c>
      <c r="N176" s="528">
        <f>F176+140</f>
        <v>7331.8</v>
      </c>
      <c r="O176" s="256">
        <f t="shared" si="415"/>
        <v>7331.8</v>
      </c>
      <c r="P176" s="528">
        <f>F176+110</f>
        <v>7301.8</v>
      </c>
      <c r="Q176" s="256">
        <f t="shared" si="416"/>
        <v>7301.8</v>
      </c>
      <c r="R176" s="528">
        <f>F176+90</f>
        <v>7281.8</v>
      </c>
      <c r="S176" s="256">
        <f t="shared" si="418"/>
        <v>7281.8</v>
      </c>
      <c r="T176" s="528">
        <f>F176+75</f>
        <v>7266.8</v>
      </c>
      <c r="U176" s="256">
        <f t="shared" si="420"/>
        <v>7266.8</v>
      </c>
      <c r="V176" s="528">
        <f>F176+60</f>
        <v>7251.8</v>
      </c>
      <c r="W176" s="256">
        <f t="shared" si="421"/>
        <v>7251.8</v>
      </c>
      <c r="X176" s="660"/>
      <c r="Y176" s="621"/>
      <c r="Z176" s="621"/>
      <c r="AA176" s="622"/>
      <c r="AB176" s="178">
        <v>376</v>
      </c>
    </row>
    <row r="177" spans="1:38" ht="12.6" customHeight="1" x14ac:dyDescent="0.2">
      <c r="A177" s="19"/>
      <c r="B177" s="626" t="s">
        <v>1011</v>
      </c>
      <c r="C177" s="627"/>
      <c r="D177" s="627"/>
      <c r="E177" s="628"/>
      <c r="F177" s="321">
        <f>2.36*X2</f>
        <v>3634.3999999999996</v>
      </c>
      <c r="G177" s="234">
        <f>+F177*$X$1</f>
        <v>3634.3999999999996</v>
      </c>
      <c r="H177" s="520"/>
      <c r="I177" s="255"/>
      <c r="J177" s="68"/>
      <c r="K177" s="255"/>
      <c r="L177" s="520">
        <f>F177+230</f>
        <v>3864.3999999999996</v>
      </c>
      <c r="M177" s="255">
        <f t="shared" ref="M177:M179" si="425">+L177*$X$1</f>
        <v>3864.3999999999996</v>
      </c>
      <c r="N177" s="520">
        <f t="shared" ref="N177:N178" si="426">F177+180</f>
        <v>3814.3999999999996</v>
      </c>
      <c r="O177" s="255">
        <f t="shared" ref="O177:O179" si="427">+N177*$X$1</f>
        <v>3814.3999999999996</v>
      </c>
      <c r="P177" s="520">
        <f>F177+150</f>
        <v>3784.3999999999996</v>
      </c>
      <c r="Q177" s="255">
        <f t="shared" ref="Q177:Q179" si="428">+P177*$X$1</f>
        <v>3784.3999999999996</v>
      </c>
      <c r="R177" s="520">
        <f t="shared" ref="R177:R178" si="429">F177+120</f>
        <v>3754.3999999999996</v>
      </c>
      <c r="S177" s="255">
        <f t="shared" ref="S177:S179" si="430">+R177*$X$1</f>
        <v>3754.3999999999996</v>
      </c>
      <c r="T177" s="520">
        <f t="shared" ref="T177:T178" si="431">F177+100</f>
        <v>3734.3999999999996</v>
      </c>
      <c r="U177" s="255">
        <f t="shared" ref="U177:U179" si="432">+T177*$X$1</f>
        <v>3734.3999999999996</v>
      </c>
      <c r="V177" s="520">
        <f t="shared" ref="V177:V183" si="433">F177+80</f>
        <v>3714.3999999999996</v>
      </c>
      <c r="W177" s="255">
        <f t="shared" ref="W177:W179" si="434">+V177*$X$1</f>
        <v>3714.3999999999996</v>
      </c>
      <c r="X177" s="660"/>
      <c r="Y177" s="621"/>
      <c r="Z177" s="621"/>
      <c r="AA177" s="622"/>
      <c r="AB177" s="178">
        <v>377</v>
      </c>
    </row>
    <row r="178" spans="1:38" ht="12.6" customHeight="1" x14ac:dyDescent="0.2">
      <c r="A178" s="94"/>
      <c r="B178" s="626" t="s">
        <v>982</v>
      </c>
      <c r="C178" s="627"/>
      <c r="D178" s="627"/>
      <c r="E178" s="628"/>
      <c r="F178" s="322">
        <f>7.49*X2</f>
        <v>11534.6</v>
      </c>
      <c r="G178" s="269">
        <f t="shared" ref="G178" si="435">+F178*$X$1</f>
        <v>11534.6</v>
      </c>
      <c r="H178" s="528">
        <f t="shared" ref="H178:H194" si="436">F178+800</f>
        <v>12334.6</v>
      </c>
      <c r="I178" s="256">
        <f t="shared" ref="I178:I179" si="437">+H178*$X$1</f>
        <v>12334.6</v>
      </c>
      <c r="J178" s="82">
        <f t="shared" ref="J178" si="438">F178+300</f>
        <v>11834.6</v>
      </c>
      <c r="K178" s="256">
        <f t="shared" ref="K178:K179" si="439">+J178*$X$1</f>
        <v>11834.6</v>
      </c>
      <c r="L178" s="528">
        <f>F178+230</f>
        <v>11764.6</v>
      </c>
      <c r="M178" s="256">
        <f t="shared" si="425"/>
        <v>11764.6</v>
      </c>
      <c r="N178" s="528">
        <f t="shared" si="426"/>
        <v>11714.6</v>
      </c>
      <c r="O178" s="256">
        <f t="shared" si="427"/>
        <v>11714.6</v>
      </c>
      <c r="P178" s="528">
        <f>F178+150</f>
        <v>11684.6</v>
      </c>
      <c r="Q178" s="256">
        <f t="shared" si="428"/>
        <v>11684.6</v>
      </c>
      <c r="R178" s="528">
        <f t="shared" si="429"/>
        <v>11654.6</v>
      </c>
      <c r="S178" s="256">
        <f t="shared" si="430"/>
        <v>11654.6</v>
      </c>
      <c r="T178" s="528">
        <f t="shared" si="431"/>
        <v>11634.6</v>
      </c>
      <c r="U178" s="256">
        <f t="shared" si="432"/>
        <v>11634.6</v>
      </c>
      <c r="V178" s="528">
        <f t="shared" si="433"/>
        <v>11614.6</v>
      </c>
      <c r="W178" s="256">
        <f t="shared" si="434"/>
        <v>11614.6</v>
      </c>
      <c r="X178" s="629"/>
      <c r="Y178" s="630"/>
      <c r="Z178" s="630"/>
      <c r="AA178" s="631"/>
      <c r="AB178" s="178">
        <v>382</v>
      </c>
    </row>
    <row r="179" spans="1:38" s="1" customFormat="1" ht="12.6" customHeight="1" x14ac:dyDescent="0.2">
      <c r="A179" s="18"/>
      <c r="B179" s="657" t="s">
        <v>924</v>
      </c>
      <c r="C179" s="677"/>
      <c r="D179" s="677"/>
      <c r="E179" s="678"/>
      <c r="F179" s="444">
        <f>3.8*X2</f>
        <v>5852</v>
      </c>
      <c r="G179" s="255">
        <f t="shared" ref="G179" si="440">+F179*$X$1</f>
        <v>5852</v>
      </c>
      <c r="H179" s="520">
        <f t="shared" si="436"/>
        <v>6652</v>
      </c>
      <c r="I179" s="255">
        <f t="shared" si="437"/>
        <v>6652</v>
      </c>
      <c r="J179" s="520">
        <f>F179+240</f>
        <v>6092</v>
      </c>
      <c r="K179" s="255">
        <f t="shared" si="439"/>
        <v>6092</v>
      </c>
      <c r="L179" s="520">
        <f>F179+190</f>
        <v>6042</v>
      </c>
      <c r="M179" s="255">
        <f t="shared" si="425"/>
        <v>6042</v>
      </c>
      <c r="N179" s="520">
        <f>F179+150</f>
        <v>6002</v>
      </c>
      <c r="O179" s="255">
        <f t="shared" si="427"/>
        <v>6002</v>
      </c>
      <c r="P179" s="520">
        <f>F179+120</f>
        <v>5972</v>
      </c>
      <c r="Q179" s="255">
        <f t="shared" si="428"/>
        <v>5972</v>
      </c>
      <c r="R179" s="520">
        <f>F179+100</f>
        <v>5952</v>
      </c>
      <c r="S179" s="255">
        <f t="shared" si="430"/>
        <v>5952</v>
      </c>
      <c r="T179" s="520">
        <f>F179+85</f>
        <v>5937</v>
      </c>
      <c r="U179" s="255">
        <f t="shared" si="432"/>
        <v>5937</v>
      </c>
      <c r="V179" s="520">
        <f t="shared" si="433"/>
        <v>5932</v>
      </c>
      <c r="W179" s="255">
        <f t="shared" si="434"/>
        <v>5932</v>
      </c>
      <c r="X179" s="539"/>
      <c r="Y179" s="540"/>
      <c r="Z179" s="540"/>
      <c r="AA179" s="541"/>
      <c r="AB179" s="178">
        <v>380</v>
      </c>
      <c r="AC179" s="4"/>
      <c r="AD179" s="4"/>
      <c r="AE179" s="4"/>
      <c r="AF179" s="4"/>
      <c r="AG179" s="4"/>
      <c r="AH179" s="414"/>
      <c r="AI179" s="4"/>
      <c r="AJ179" s="4"/>
      <c r="AK179" s="4"/>
      <c r="AL179" s="4"/>
    </row>
    <row r="180" spans="1:38" ht="12.6" customHeight="1" x14ac:dyDescent="0.2">
      <c r="A180" s="94"/>
      <c r="B180" s="640" t="s">
        <v>803</v>
      </c>
      <c r="C180" s="641"/>
      <c r="D180" s="641"/>
      <c r="E180" s="642"/>
      <c r="F180" s="322">
        <f>2.58*X2</f>
        <v>3973.2000000000003</v>
      </c>
      <c r="G180" s="256">
        <f t="shared" ref="G180" si="441">+F180*$X$1</f>
        <v>3973.2000000000003</v>
      </c>
      <c r="H180" s="528">
        <f t="shared" si="436"/>
        <v>4773.2000000000007</v>
      </c>
      <c r="I180" s="256">
        <f t="shared" ref="I180:I191" si="442">+H180*$X$1</f>
        <v>4773.2000000000007</v>
      </c>
      <c r="J180" s="82">
        <f t="shared" ref="J180:J183" si="443">F180+300</f>
        <v>4273.2000000000007</v>
      </c>
      <c r="K180" s="256">
        <f t="shared" ref="K180:K184" si="444">+J180*$X$1</f>
        <v>4273.2000000000007</v>
      </c>
      <c r="L180" s="528">
        <f>F180+230</f>
        <v>4203.2000000000007</v>
      </c>
      <c r="M180" s="256">
        <f t="shared" ref="M180:M184" si="445">+L180*$X$1</f>
        <v>4203.2000000000007</v>
      </c>
      <c r="N180" s="528">
        <f t="shared" ref="N180:N183" si="446">F180+180</f>
        <v>4153.2000000000007</v>
      </c>
      <c r="O180" s="256">
        <f t="shared" ref="O180:O184" si="447">+N180*$X$1</f>
        <v>4153.2000000000007</v>
      </c>
      <c r="P180" s="528">
        <f>F180+150</f>
        <v>4123.2000000000007</v>
      </c>
      <c r="Q180" s="256">
        <f t="shared" ref="Q180:Q184" si="448">+P180*$X$1</f>
        <v>4123.2000000000007</v>
      </c>
      <c r="R180" s="528">
        <f t="shared" ref="R180:R183" si="449">F180+120</f>
        <v>4093.2000000000003</v>
      </c>
      <c r="S180" s="256">
        <f t="shared" ref="S180:S184" si="450">+R180*$X$1</f>
        <v>4093.2000000000003</v>
      </c>
      <c r="T180" s="528">
        <f t="shared" ref="T180:T183" si="451">F180+100</f>
        <v>4073.2000000000003</v>
      </c>
      <c r="U180" s="256">
        <f t="shared" ref="U180:U184" si="452">+T180*$X$1</f>
        <v>4073.2000000000003</v>
      </c>
      <c r="V180" s="528">
        <f t="shared" si="433"/>
        <v>4053.2000000000003</v>
      </c>
      <c r="W180" s="256">
        <f t="shared" ref="W180:W184" si="453">+V180*$X$1</f>
        <v>4053.2000000000003</v>
      </c>
      <c r="X180" s="629"/>
      <c r="Y180" s="630"/>
      <c r="Z180" s="630"/>
      <c r="AA180" s="631"/>
      <c r="AB180" s="178">
        <v>381</v>
      </c>
    </row>
    <row r="181" spans="1:38" ht="12.6" customHeight="1" x14ac:dyDescent="0.2">
      <c r="A181" s="94"/>
      <c r="B181" s="657" t="s">
        <v>349</v>
      </c>
      <c r="C181" s="677"/>
      <c r="D181" s="677"/>
      <c r="E181" s="678"/>
      <c r="F181" s="321">
        <f>1.71*X2</f>
        <v>2633.4</v>
      </c>
      <c r="G181" s="234">
        <f t="shared" ref="G181:G182" si="454">+F181*$X$1</f>
        <v>2633.4</v>
      </c>
      <c r="H181" s="520">
        <f t="shared" si="436"/>
        <v>3433.4</v>
      </c>
      <c r="I181" s="255">
        <f t="shared" si="442"/>
        <v>3433.4</v>
      </c>
      <c r="J181" s="68">
        <f t="shared" si="443"/>
        <v>2933.4</v>
      </c>
      <c r="K181" s="255">
        <f t="shared" si="444"/>
        <v>2933.4</v>
      </c>
      <c r="L181" s="520">
        <f>F181+230</f>
        <v>2863.4</v>
      </c>
      <c r="M181" s="255">
        <f t="shared" si="445"/>
        <v>2863.4</v>
      </c>
      <c r="N181" s="520">
        <f t="shared" si="446"/>
        <v>2813.4</v>
      </c>
      <c r="O181" s="255">
        <f t="shared" si="447"/>
        <v>2813.4</v>
      </c>
      <c r="P181" s="520">
        <f>F181+150</f>
        <v>2783.4</v>
      </c>
      <c r="Q181" s="255">
        <f t="shared" si="448"/>
        <v>2783.4</v>
      </c>
      <c r="R181" s="520">
        <f t="shared" si="449"/>
        <v>2753.4</v>
      </c>
      <c r="S181" s="255">
        <f t="shared" si="450"/>
        <v>2753.4</v>
      </c>
      <c r="T181" s="520">
        <f t="shared" si="451"/>
        <v>2733.4</v>
      </c>
      <c r="U181" s="255">
        <f t="shared" si="452"/>
        <v>2733.4</v>
      </c>
      <c r="V181" s="520">
        <f t="shared" si="433"/>
        <v>2713.4</v>
      </c>
      <c r="W181" s="255">
        <f t="shared" si="453"/>
        <v>2713.4</v>
      </c>
      <c r="X181" s="629"/>
      <c r="Y181" s="630"/>
      <c r="Z181" s="630"/>
      <c r="AA181" s="631"/>
      <c r="AB181" s="178">
        <v>382</v>
      </c>
    </row>
    <row r="182" spans="1:38" ht="12.6" customHeight="1" x14ac:dyDescent="0.2">
      <c r="A182" s="94"/>
      <c r="B182" s="640" t="s">
        <v>811</v>
      </c>
      <c r="C182" s="641"/>
      <c r="D182" s="641"/>
      <c r="E182" s="642"/>
      <c r="F182" s="322">
        <f>23.6*X2</f>
        <v>36344</v>
      </c>
      <c r="G182" s="256">
        <f t="shared" si="454"/>
        <v>36344</v>
      </c>
      <c r="H182" s="528">
        <f t="shared" si="436"/>
        <v>37144</v>
      </c>
      <c r="I182" s="256">
        <f t="shared" si="442"/>
        <v>37144</v>
      </c>
      <c r="J182" s="82">
        <f t="shared" si="443"/>
        <v>36644</v>
      </c>
      <c r="K182" s="256">
        <f t="shared" si="444"/>
        <v>36644</v>
      </c>
      <c r="L182" s="528">
        <f>F182+230</f>
        <v>36574</v>
      </c>
      <c r="M182" s="256">
        <f t="shared" si="445"/>
        <v>36574</v>
      </c>
      <c r="N182" s="528">
        <f t="shared" si="446"/>
        <v>36524</v>
      </c>
      <c r="O182" s="256">
        <f t="shared" si="447"/>
        <v>36524</v>
      </c>
      <c r="P182" s="528">
        <f>F182+150</f>
        <v>36494</v>
      </c>
      <c r="Q182" s="256">
        <f t="shared" si="448"/>
        <v>36494</v>
      </c>
      <c r="R182" s="528">
        <f t="shared" si="449"/>
        <v>36464</v>
      </c>
      <c r="S182" s="256">
        <f t="shared" si="450"/>
        <v>36464</v>
      </c>
      <c r="T182" s="528">
        <f t="shared" si="451"/>
        <v>36444</v>
      </c>
      <c r="U182" s="256">
        <f t="shared" si="452"/>
        <v>36444</v>
      </c>
      <c r="V182" s="528">
        <f t="shared" si="433"/>
        <v>36424</v>
      </c>
      <c r="W182" s="256">
        <f t="shared" si="453"/>
        <v>36424</v>
      </c>
      <c r="X182" s="629"/>
      <c r="Y182" s="630"/>
      <c r="Z182" s="630"/>
      <c r="AA182" s="631"/>
      <c r="AB182" s="178">
        <v>384</v>
      </c>
    </row>
    <row r="183" spans="1:38" ht="12.6" customHeight="1" x14ac:dyDescent="0.2">
      <c r="A183" s="94"/>
      <c r="B183" s="657" t="s">
        <v>958</v>
      </c>
      <c r="C183" s="677"/>
      <c r="D183" s="677"/>
      <c r="E183" s="678"/>
      <c r="F183" s="289">
        <v>31840</v>
      </c>
      <c r="G183" s="255">
        <f t="shared" ref="G183:G184" si="455">+F183*$X$1</f>
        <v>31840</v>
      </c>
      <c r="H183" s="520">
        <f t="shared" si="436"/>
        <v>32640</v>
      </c>
      <c r="I183" s="255">
        <f t="shared" si="442"/>
        <v>32640</v>
      </c>
      <c r="J183" s="68">
        <f t="shared" si="443"/>
        <v>32140</v>
      </c>
      <c r="K183" s="255">
        <f t="shared" si="444"/>
        <v>32140</v>
      </c>
      <c r="L183" s="520">
        <f>F183+230</f>
        <v>32070</v>
      </c>
      <c r="M183" s="255">
        <f t="shared" si="445"/>
        <v>32070</v>
      </c>
      <c r="N183" s="520">
        <f t="shared" si="446"/>
        <v>32020</v>
      </c>
      <c r="O183" s="255">
        <f t="shared" si="447"/>
        <v>32020</v>
      </c>
      <c r="P183" s="520">
        <f>F183+150</f>
        <v>31990</v>
      </c>
      <c r="Q183" s="255">
        <f t="shared" si="448"/>
        <v>31990</v>
      </c>
      <c r="R183" s="520">
        <f t="shared" si="449"/>
        <v>31960</v>
      </c>
      <c r="S183" s="255">
        <f t="shared" si="450"/>
        <v>31960</v>
      </c>
      <c r="T183" s="520">
        <f t="shared" si="451"/>
        <v>31940</v>
      </c>
      <c r="U183" s="255">
        <f t="shared" si="452"/>
        <v>31940</v>
      </c>
      <c r="V183" s="520">
        <f t="shared" si="433"/>
        <v>31920</v>
      </c>
      <c r="W183" s="255">
        <f t="shared" si="453"/>
        <v>31920</v>
      </c>
      <c r="X183" s="629"/>
      <c r="Y183" s="630"/>
      <c r="Z183" s="630"/>
      <c r="AA183" s="631"/>
      <c r="AB183" s="178">
        <v>387</v>
      </c>
    </row>
    <row r="184" spans="1:38" ht="12.6" customHeight="1" x14ac:dyDescent="0.2">
      <c r="A184" s="19"/>
      <c r="B184" s="626" t="s">
        <v>983</v>
      </c>
      <c r="C184" s="627"/>
      <c r="D184" s="627"/>
      <c r="E184" s="628"/>
      <c r="F184" s="322">
        <f>23.05*X2</f>
        <v>35497</v>
      </c>
      <c r="G184" s="269">
        <f t="shared" si="455"/>
        <v>35497</v>
      </c>
      <c r="H184" s="528">
        <f t="shared" si="436"/>
        <v>36297</v>
      </c>
      <c r="I184" s="256">
        <f t="shared" si="442"/>
        <v>36297</v>
      </c>
      <c r="J184" s="528">
        <f>F184+270</f>
        <v>35767</v>
      </c>
      <c r="K184" s="256">
        <f t="shared" si="444"/>
        <v>35767</v>
      </c>
      <c r="L184" s="528">
        <f>F184+180</f>
        <v>35677</v>
      </c>
      <c r="M184" s="256">
        <f t="shared" si="445"/>
        <v>35677</v>
      </c>
      <c r="N184" s="528">
        <f>F184+140</f>
        <v>35637</v>
      </c>
      <c r="O184" s="256">
        <f t="shared" si="447"/>
        <v>35637</v>
      </c>
      <c r="P184" s="528">
        <f>F184+110</f>
        <v>35607</v>
      </c>
      <c r="Q184" s="256">
        <f t="shared" si="448"/>
        <v>35607</v>
      </c>
      <c r="R184" s="528">
        <f>F184+90</f>
        <v>35587</v>
      </c>
      <c r="S184" s="256">
        <f t="shared" si="450"/>
        <v>35587</v>
      </c>
      <c r="T184" s="528">
        <f>F184+75</f>
        <v>35572</v>
      </c>
      <c r="U184" s="256">
        <f t="shared" si="452"/>
        <v>35572</v>
      </c>
      <c r="V184" s="528">
        <f>F184+60</f>
        <v>35557</v>
      </c>
      <c r="W184" s="256">
        <f t="shared" si="453"/>
        <v>35557</v>
      </c>
      <c r="X184" s="629"/>
      <c r="Y184" s="630"/>
      <c r="Z184" s="630"/>
      <c r="AA184" s="631"/>
      <c r="AB184" s="178">
        <v>393</v>
      </c>
    </row>
    <row r="185" spans="1:38" ht="12.6" customHeight="1" x14ac:dyDescent="0.2">
      <c r="A185" s="19"/>
      <c r="B185" s="657" t="s">
        <v>822</v>
      </c>
      <c r="C185" s="677"/>
      <c r="D185" s="677"/>
      <c r="E185" s="678"/>
      <c r="F185" s="321">
        <f>37.8*X2</f>
        <v>58211.999999999993</v>
      </c>
      <c r="G185" s="234">
        <f t="shared" ref="G185" si="456">+F185*$X$1</f>
        <v>58211.999999999993</v>
      </c>
      <c r="H185" s="520">
        <f t="shared" si="436"/>
        <v>59011.999999999993</v>
      </c>
      <c r="I185" s="255">
        <f t="shared" si="442"/>
        <v>59011.999999999993</v>
      </c>
      <c r="J185" s="68">
        <f t="shared" ref="J185:J187" si="457">F185+300</f>
        <v>58511.999999999993</v>
      </c>
      <c r="K185" s="255">
        <f t="shared" ref="K185:K191" si="458">+J185*$X$1</f>
        <v>58511.999999999993</v>
      </c>
      <c r="L185" s="520">
        <f>F185+230</f>
        <v>58441.999999999993</v>
      </c>
      <c r="M185" s="255">
        <f t="shared" ref="M185:M191" si="459">+L185*$X$1</f>
        <v>58441.999999999993</v>
      </c>
      <c r="N185" s="520">
        <f t="shared" ref="N185:N187" si="460">F185+180</f>
        <v>58391.999999999993</v>
      </c>
      <c r="O185" s="255">
        <f t="shared" ref="O185:O191" si="461">+N185*$X$1</f>
        <v>58391.999999999993</v>
      </c>
      <c r="P185" s="520">
        <f>F185+150</f>
        <v>58361.999999999993</v>
      </c>
      <c r="Q185" s="255">
        <f t="shared" ref="Q185:Q191" si="462">+P185*$X$1</f>
        <v>58361.999999999993</v>
      </c>
      <c r="R185" s="520">
        <f t="shared" ref="R185:R187" si="463">F185+120</f>
        <v>58331.999999999993</v>
      </c>
      <c r="S185" s="255">
        <f t="shared" ref="S185:S191" si="464">+R185*$X$1</f>
        <v>58331.999999999993</v>
      </c>
      <c r="T185" s="520">
        <f t="shared" ref="T185:T187" si="465">F185+100</f>
        <v>58311.999999999993</v>
      </c>
      <c r="U185" s="255">
        <f t="shared" ref="U185:U191" si="466">+T185*$X$1</f>
        <v>58311.999999999993</v>
      </c>
      <c r="V185" s="520">
        <f>F185+80</f>
        <v>58291.999999999993</v>
      </c>
      <c r="W185" s="255">
        <f t="shared" ref="W185:W191" si="467">+V185*$X$1</f>
        <v>58291.999999999993</v>
      </c>
      <c r="X185" s="629"/>
      <c r="Y185" s="630"/>
      <c r="Z185" s="630"/>
      <c r="AA185" s="631"/>
      <c r="AB185" s="178">
        <v>394</v>
      </c>
    </row>
    <row r="186" spans="1:38" ht="12.6" customHeight="1" x14ac:dyDescent="0.2">
      <c r="A186" s="19"/>
      <c r="B186" s="640" t="s">
        <v>801</v>
      </c>
      <c r="C186" s="641"/>
      <c r="D186" s="641"/>
      <c r="E186" s="642"/>
      <c r="F186" s="322">
        <f>17.2*X2</f>
        <v>26488</v>
      </c>
      <c r="G186" s="269">
        <f t="shared" ref="G186:G188" si="468">+F186*$X$1</f>
        <v>26488</v>
      </c>
      <c r="H186" s="528">
        <f t="shared" si="436"/>
        <v>27288</v>
      </c>
      <c r="I186" s="256">
        <f t="shared" si="442"/>
        <v>27288</v>
      </c>
      <c r="J186" s="82">
        <f t="shared" si="457"/>
        <v>26788</v>
      </c>
      <c r="K186" s="256">
        <f t="shared" si="458"/>
        <v>26788</v>
      </c>
      <c r="L186" s="528">
        <f>F186+230</f>
        <v>26718</v>
      </c>
      <c r="M186" s="256">
        <f t="shared" si="459"/>
        <v>26718</v>
      </c>
      <c r="N186" s="528">
        <f t="shared" si="460"/>
        <v>26668</v>
      </c>
      <c r="O186" s="256">
        <f t="shared" si="461"/>
        <v>26668</v>
      </c>
      <c r="P186" s="528">
        <f>F186+150</f>
        <v>26638</v>
      </c>
      <c r="Q186" s="256">
        <f t="shared" si="462"/>
        <v>26638</v>
      </c>
      <c r="R186" s="528">
        <f t="shared" si="463"/>
        <v>26608</v>
      </c>
      <c r="S186" s="256">
        <f t="shared" si="464"/>
        <v>26608</v>
      </c>
      <c r="T186" s="528">
        <f t="shared" si="465"/>
        <v>26588</v>
      </c>
      <c r="U186" s="256">
        <f t="shared" si="466"/>
        <v>26588</v>
      </c>
      <c r="V186" s="528">
        <f>F186+80</f>
        <v>26568</v>
      </c>
      <c r="W186" s="256">
        <f t="shared" si="467"/>
        <v>26568</v>
      </c>
      <c r="X186" s="629"/>
      <c r="Y186" s="630"/>
      <c r="Z186" s="630"/>
      <c r="AA186" s="631"/>
      <c r="AB186" s="178">
        <v>395</v>
      </c>
    </row>
    <row r="187" spans="1:38" ht="12.6" customHeight="1" x14ac:dyDescent="0.2">
      <c r="A187" s="19"/>
      <c r="B187" s="657" t="s">
        <v>832</v>
      </c>
      <c r="C187" s="677"/>
      <c r="D187" s="677"/>
      <c r="E187" s="678"/>
      <c r="F187" s="321">
        <f>14.5*X2</f>
        <v>22330</v>
      </c>
      <c r="G187" s="234">
        <f t="shared" ref="G187" si="469">+F187*$X$1</f>
        <v>22330</v>
      </c>
      <c r="H187" s="520">
        <f t="shared" si="436"/>
        <v>23130</v>
      </c>
      <c r="I187" s="255">
        <f t="shared" si="442"/>
        <v>23130</v>
      </c>
      <c r="J187" s="68">
        <f t="shared" si="457"/>
        <v>22630</v>
      </c>
      <c r="K187" s="255">
        <f t="shared" si="458"/>
        <v>22630</v>
      </c>
      <c r="L187" s="520">
        <f>F187+230</f>
        <v>22560</v>
      </c>
      <c r="M187" s="255">
        <f t="shared" si="459"/>
        <v>22560</v>
      </c>
      <c r="N187" s="520">
        <f t="shared" si="460"/>
        <v>22510</v>
      </c>
      <c r="O187" s="255">
        <f t="shared" si="461"/>
        <v>22510</v>
      </c>
      <c r="P187" s="520">
        <f>F187+150</f>
        <v>22480</v>
      </c>
      <c r="Q187" s="255">
        <f t="shared" si="462"/>
        <v>22480</v>
      </c>
      <c r="R187" s="520">
        <f t="shared" si="463"/>
        <v>22450</v>
      </c>
      <c r="S187" s="255">
        <f t="shared" si="464"/>
        <v>22450</v>
      </c>
      <c r="T187" s="520">
        <f t="shared" si="465"/>
        <v>22430</v>
      </c>
      <c r="U187" s="255">
        <f t="shared" si="466"/>
        <v>22430</v>
      </c>
      <c r="V187" s="520">
        <f>F187+80</f>
        <v>22410</v>
      </c>
      <c r="W187" s="255">
        <f t="shared" si="467"/>
        <v>22410</v>
      </c>
      <c r="X187" s="629"/>
      <c r="Y187" s="630"/>
      <c r="Z187" s="630"/>
      <c r="AA187" s="631"/>
      <c r="AB187" s="178">
        <v>396</v>
      </c>
    </row>
    <row r="188" spans="1:38" ht="12.6" customHeight="1" x14ac:dyDescent="0.2">
      <c r="A188" s="19"/>
      <c r="B188" s="640" t="s">
        <v>799</v>
      </c>
      <c r="C188" s="641"/>
      <c r="D188" s="641"/>
      <c r="E188" s="642"/>
      <c r="F188" s="322">
        <f>19.3*X2</f>
        <v>29722</v>
      </c>
      <c r="G188" s="269">
        <f t="shared" si="468"/>
        <v>29722</v>
      </c>
      <c r="H188" s="528">
        <f t="shared" si="436"/>
        <v>30522</v>
      </c>
      <c r="I188" s="256">
        <f t="shared" si="442"/>
        <v>30522</v>
      </c>
      <c r="J188" s="528">
        <f>F188+270</f>
        <v>29992</v>
      </c>
      <c r="K188" s="256">
        <f t="shared" si="458"/>
        <v>29992</v>
      </c>
      <c r="L188" s="528">
        <f>F188+180</f>
        <v>29902</v>
      </c>
      <c r="M188" s="256">
        <f t="shared" si="459"/>
        <v>29902</v>
      </c>
      <c r="N188" s="528">
        <f>F188+140</f>
        <v>29862</v>
      </c>
      <c r="O188" s="256">
        <f t="shared" si="461"/>
        <v>29862</v>
      </c>
      <c r="P188" s="528">
        <f>F188+110</f>
        <v>29832</v>
      </c>
      <c r="Q188" s="256">
        <f t="shared" si="462"/>
        <v>29832</v>
      </c>
      <c r="R188" s="528">
        <f>F188+90</f>
        <v>29812</v>
      </c>
      <c r="S188" s="256">
        <f t="shared" si="464"/>
        <v>29812</v>
      </c>
      <c r="T188" s="528">
        <f>F188+75</f>
        <v>29797</v>
      </c>
      <c r="U188" s="256">
        <f t="shared" si="466"/>
        <v>29797</v>
      </c>
      <c r="V188" s="528">
        <f>F188+60</f>
        <v>29782</v>
      </c>
      <c r="W188" s="256">
        <f t="shared" si="467"/>
        <v>29782</v>
      </c>
      <c r="X188" s="629"/>
      <c r="Y188" s="630"/>
      <c r="Z188" s="630"/>
      <c r="AA188" s="631"/>
      <c r="AB188" s="178">
        <v>397</v>
      </c>
    </row>
    <row r="189" spans="1:38" ht="12.6" customHeight="1" x14ac:dyDescent="0.2">
      <c r="A189" s="19"/>
      <c r="B189" s="657" t="s">
        <v>800</v>
      </c>
      <c r="C189" s="677"/>
      <c r="D189" s="677"/>
      <c r="E189" s="678"/>
      <c r="F189" s="321">
        <f>15.4*X2</f>
        <v>23716</v>
      </c>
      <c r="G189" s="613">
        <f t="shared" ref="G189:G193" si="470">+F189*$X$1</f>
        <v>23716</v>
      </c>
      <c r="H189" s="612">
        <f t="shared" si="436"/>
        <v>24516</v>
      </c>
      <c r="I189" s="1186">
        <f t="shared" si="442"/>
        <v>24516</v>
      </c>
      <c r="J189" s="612">
        <f>F189+270</f>
        <v>23986</v>
      </c>
      <c r="K189" s="1186">
        <f t="shared" si="458"/>
        <v>23986</v>
      </c>
      <c r="L189" s="612">
        <f>F189+180</f>
        <v>23896</v>
      </c>
      <c r="M189" s="1186">
        <f t="shared" si="459"/>
        <v>23896</v>
      </c>
      <c r="N189" s="612">
        <f>F189+140</f>
        <v>23856</v>
      </c>
      <c r="O189" s="1186">
        <f t="shared" si="461"/>
        <v>23856</v>
      </c>
      <c r="P189" s="612">
        <f>F189+110</f>
        <v>23826</v>
      </c>
      <c r="Q189" s="1186">
        <f t="shared" si="462"/>
        <v>23826</v>
      </c>
      <c r="R189" s="612">
        <f>F189+90</f>
        <v>23806</v>
      </c>
      <c r="S189" s="1186">
        <f t="shared" si="464"/>
        <v>23806</v>
      </c>
      <c r="T189" s="612">
        <f>F189+75</f>
        <v>23791</v>
      </c>
      <c r="U189" s="1186">
        <f t="shared" si="466"/>
        <v>23791</v>
      </c>
      <c r="V189" s="612">
        <f>F189+60</f>
        <v>23776</v>
      </c>
      <c r="W189" s="1186">
        <f t="shared" si="467"/>
        <v>23776</v>
      </c>
      <c r="X189" s="629"/>
      <c r="Y189" s="630"/>
      <c r="Z189" s="630"/>
      <c r="AA189" s="631"/>
      <c r="AB189" s="178">
        <v>398</v>
      </c>
    </row>
    <row r="190" spans="1:38" s="1" customFormat="1" ht="12.6" customHeight="1" x14ac:dyDescent="0.2">
      <c r="A190" s="18"/>
      <c r="B190" s="640" t="s">
        <v>824</v>
      </c>
      <c r="C190" s="641"/>
      <c r="D190" s="641"/>
      <c r="E190" s="642"/>
      <c r="F190" s="478">
        <f>25.63*X2</f>
        <v>39470.199999999997</v>
      </c>
      <c r="G190" s="256">
        <f t="shared" si="470"/>
        <v>39470.199999999997</v>
      </c>
      <c r="H190" s="528">
        <f t="shared" si="436"/>
        <v>40270.199999999997</v>
      </c>
      <c r="I190" s="256">
        <f t="shared" si="442"/>
        <v>40270.199999999997</v>
      </c>
      <c r="J190" s="528">
        <f>F190+240</f>
        <v>39710.199999999997</v>
      </c>
      <c r="K190" s="256">
        <f t="shared" si="458"/>
        <v>39710.199999999997</v>
      </c>
      <c r="L190" s="528">
        <f>F190+190</f>
        <v>39660.199999999997</v>
      </c>
      <c r="M190" s="256">
        <f t="shared" si="459"/>
        <v>39660.199999999997</v>
      </c>
      <c r="N190" s="528">
        <f>F190+150</f>
        <v>39620.199999999997</v>
      </c>
      <c r="O190" s="256">
        <f t="shared" si="461"/>
        <v>39620.199999999997</v>
      </c>
      <c r="P190" s="528">
        <f>F190+120</f>
        <v>39590.199999999997</v>
      </c>
      <c r="Q190" s="256">
        <f t="shared" si="462"/>
        <v>39590.199999999997</v>
      </c>
      <c r="R190" s="528">
        <f>F190+100</f>
        <v>39570.199999999997</v>
      </c>
      <c r="S190" s="256">
        <f t="shared" si="464"/>
        <v>39570.199999999997</v>
      </c>
      <c r="T190" s="528">
        <f>F190+85</f>
        <v>39555.199999999997</v>
      </c>
      <c r="U190" s="256">
        <f t="shared" si="466"/>
        <v>39555.199999999997</v>
      </c>
      <c r="V190" s="528">
        <f>F190+80</f>
        <v>39550.199999999997</v>
      </c>
      <c r="W190" s="256">
        <f t="shared" si="467"/>
        <v>39550.199999999997</v>
      </c>
      <c r="X190" s="496"/>
      <c r="Y190" s="497"/>
      <c r="Z190" s="497"/>
      <c r="AA190" s="498"/>
      <c r="AB190" s="178">
        <v>399</v>
      </c>
      <c r="AC190" s="4"/>
      <c r="AD190" s="4"/>
      <c r="AE190" s="4"/>
      <c r="AF190" s="4"/>
      <c r="AG190" s="4"/>
      <c r="AH190" s="116"/>
      <c r="AI190" s="4"/>
      <c r="AJ190" s="4"/>
      <c r="AK190" s="4"/>
      <c r="AL190" s="4"/>
    </row>
    <row r="191" spans="1:38" ht="12.6" customHeight="1" x14ac:dyDescent="0.2">
      <c r="A191" s="19"/>
      <c r="B191" s="626" t="s">
        <v>1010</v>
      </c>
      <c r="C191" s="627"/>
      <c r="D191" s="627"/>
      <c r="E191" s="628"/>
      <c r="F191" s="321">
        <f>12.55*X2</f>
        <v>19327</v>
      </c>
      <c r="G191" s="613">
        <f t="shared" si="470"/>
        <v>19327</v>
      </c>
      <c r="H191" s="612">
        <f t="shared" si="436"/>
        <v>20127</v>
      </c>
      <c r="I191" s="1186">
        <f t="shared" si="442"/>
        <v>20127</v>
      </c>
      <c r="J191" s="612">
        <f>F191+270</f>
        <v>19597</v>
      </c>
      <c r="K191" s="1186">
        <f t="shared" si="458"/>
        <v>19597</v>
      </c>
      <c r="L191" s="612">
        <f>F191+180</f>
        <v>19507</v>
      </c>
      <c r="M191" s="1186">
        <f t="shared" si="459"/>
        <v>19507</v>
      </c>
      <c r="N191" s="612">
        <f>F191+140</f>
        <v>19467</v>
      </c>
      <c r="O191" s="1186">
        <f t="shared" si="461"/>
        <v>19467</v>
      </c>
      <c r="P191" s="612">
        <f>F191+110</f>
        <v>19437</v>
      </c>
      <c r="Q191" s="1186">
        <f t="shared" si="462"/>
        <v>19437</v>
      </c>
      <c r="R191" s="612">
        <f>F191+90</f>
        <v>19417</v>
      </c>
      <c r="S191" s="1186">
        <f t="shared" si="464"/>
        <v>19417</v>
      </c>
      <c r="T191" s="612">
        <f>F191+75</f>
        <v>19402</v>
      </c>
      <c r="U191" s="1186">
        <f t="shared" si="466"/>
        <v>19402</v>
      </c>
      <c r="V191" s="612">
        <f>F191+60</f>
        <v>19387</v>
      </c>
      <c r="W191" s="1186">
        <f t="shared" si="467"/>
        <v>19387</v>
      </c>
      <c r="X191" s="629"/>
      <c r="Y191" s="630"/>
      <c r="Z191" s="630"/>
      <c r="AA191" s="631"/>
      <c r="AB191" s="178">
        <v>400</v>
      </c>
    </row>
    <row r="192" spans="1:38" ht="12.6" customHeight="1" x14ac:dyDescent="0.2">
      <c r="A192" s="19"/>
      <c r="B192" s="640" t="s">
        <v>823</v>
      </c>
      <c r="C192" s="641"/>
      <c r="D192" s="641"/>
      <c r="E192" s="642"/>
      <c r="F192" s="322">
        <f>28.77*X2</f>
        <v>44305.8</v>
      </c>
      <c r="G192" s="269">
        <f t="shared" si="470"/>
        <v>44305.8</v>
      </c>
      <c r="H192" s="528">
        <f t="shared" si="436"/>
        <v>45105.8</v>
      </c>
      <c r="I192" s="256">
        <f t="shared" ref="I192:I194" si="471">+H192*$X$1</f>
        <v>45105.8</v>
      </c>
      <c r="J192" s="82"/>
      <c r="K192" s="256"/>
      <c r="L192" s="528"/>
      <c r="M192" s="256"/>
      <c r="N192" s="528"/>
      <c r="O192" s="256"/>
      <c r="P192" s="528"/>
      <c r="Q192" s="256"/>
      <c r="R192" s="528"/>
      <c r="S192" s="256"/>
      <c r="T192" s="528"/>
      <c r="U192" s="256"/>
      <c r="V192" s="528"/>
      <c r="W192" s="256"/>
      <c r="X192" s="629"/>
      <c r="Y192" s="630"/>
      <c r="Z192" s="630"/>
      <c r="AA192" s="631"/>
      <c r="AB192" s="178">
        <v>402</v>
      </c>
    </row>
    <row r="193" spans="1:28" ht="12.6" customHeight="1" x14ac:dyDescent="0.2">
      <c r="A193" s="19"/>
      <c r="B193" s="699" t="s">
        <v>1038</v>
      </c>
      <c r="C193" s="700"/>
      <c r="D193" s="700"/>
      <c r="E193" s="700"/>
      <c r="F193" s="321">
        <f>8.35*X2</f>
        <v>12859</v>
      </c>
      <c r="G193" s="613">
        <f t="shared" si="470"/>
        <v>12859</v>
      </c>
      <c r="H193" s="612">
        <f t="shared" si="436"/>
        <v>13659</v>
      </c>
      <c r="I193" s="1186">
        <f t="shared" si="471"/>
        <v>13659</v>
      </c>
      <c r="J193" s="612">
        <f>F193+270</f>
        <v>13129</v>
      </c>
      <c r="K193" s="1186">
        <f t="shared" ref="K193" si="472">+J193*$X$1</f>
        <v>13129</v>
      </c>
      <c r="L193" s="612">
        <f>F193+180</f>
        <v>13039</v>
      </c>
      <c r="M193" s="1186">
        <f t="shared" ref="M193" si="473">+L193*$X$1</f>
        <v>13039</v>
      </c>
      <c r="N193" s="612">
        <f>F193+140</f>
        <v>12999</v>
      </c>
      <c r="O193" s="1186">
        <f t="shared" ref="O193" si="474">+N193*$X$1</f>
        <v>12999</v>
      </c>
      <c r="P193" s="612">
        <f>F193+110</f>
        <v>12969</v>
      </c>
      <c r="Q193" s="1186">
        <f t="shared" ref="Q193" si="475">+P193*$X$1</f>
        <v>12969</v>
      </c>
      <c r="R193" s="612">
        <f>F193+90</f>
        <v>12949</v>
      </c>
      <c r="S193" s="1186">
        <f t="shared" ref="S193" si="476">+R193*$X$1</f>
        <v>12949</v>
      </c>
      <c r="T193" s="612">
        <f>F193+75</f>
        <v>12934</v>
      </c>
      <c r="U193" s="1186">
        <f t="shared" ref="U193" si="477">+T193*$X$1</f>
        <v>12934</v>
      </c>
      <c r="V193" s="612">
        <f>F193+60</f>
        <v>12919</v>
      </c>
      <c r="W193" s="1186">
        <f t="shared" ref="W193" si="478">+V193*$X$1</f>
        <v>12919</v>
      </c>
      <c r="X193" s="620"/>
      <c r="Y193" s="621"/>
      <c r="Z193" s="621"/>
      <c r="AA193" s="622"/>
      <c r="AB193" s="178" t="s">
        <v>1039</v>
      </c>
    </row>
    <row r="194" spans="1:28" ht="12.6" customHeight="1" x14ac:dyDescent="0.2">
      <c r="A194" s="19"/>
      <c r="B194" s="638" t="s">
        <v>537</v>
      </c>
      <c r="C194" s="639"/>
      <c r="D194" s="639"/>
      <c r="E194" s="639"/>
      <c r="F194" s="322">
        <f>9.4*X2</f>
        <v>14476</v>
      </c>
      <c r="G194" s="269">
        <f t="shared" ref="G194" si="479">+F194*$X$1</f>
        <v>14476</v>
      </c>
      <c r="H194" s="528">
        <f t="shared" si="436"/>
        <v>15276</v>
      </c>
      <c r="I194" s="256">
        <f t="shared" si="471"/>
        <v>15276</v>
      </c>
      <c r="J194" s="528">
        <f>F194+270</f>
        <v>14746</v>
      </c>
      <c r="K194" s="256">
        <f t="shared" ref="K194" si="480">+J194*$X$1</f>
        <v>14746</v>
      </c>
      <c r="L194" s="528">
        <f>F194+180</f>
        <v>14656</v>
      </c>
      <c r="M194" s="256">
        <f t="shared" ref="M194" si="481">+L194*$X$1</f>
        <v>14656</v>
      </c>
      <c r="N194" s="528">
        <f>F194+140</f>
        <v>14616</v>
      </c>
      <c r="O194" s="256">
        <f t="shared" ref="O194" si="482">+N194*$X$1</f>
        <v>14616</v>
      </c>
      <c r="P194" s="528">
        <f>F194+110</f>
        <v>14586</v>
      </c>
      <c r="Q194" s="256">
        <f t="shared" ref="Q194" si="483">+P194*$X$1</f>
        <v>14586</v>
      </c>
      <c r="R194" s="528">
        <f>F194+90</f>
        <v>14566</v>
      </c>
      <c r="S194" s="256">
        <f t="shared" ref="S194" si="484">+R194*$X$1</f>
        <v>14566</v>
      </c>
      <c r="T194" s="528">
        <f>F194+75</f>
        <v>14551</v>
      </c>
      <c r="U194" s="256">
        <f t="shared" ref="U194" si="485">+T194*$X$1</f>
        <v>14551</v>
      </c>
      <c r="V194" s="528">
        <f>F194+60</f>
        <v>14536</v>
      </c>
      <c r="W194" s="256">
        <f t="shared" ref="W194" si="486">+V194*$X$1</f>
        <v>14536</v>
      </c>
      <c r="X194" s="620"/>
      <c r="Y194" s="621"/>
      <c r="Z194" s="621"/>
      <c r="AA194" s="622"/>
      <c r="AB194" s="178" t="s">
        <v>538</v>
      </c>
    </row>
    <row r="195" spans="1:28" ht="12.6" customHeight="1" x14ac:dyDescent="0.2">
      <c r="A195" s="19"/>
      <c r="B195" s="699" t="s">
        <v>545</v>
      </c>
      <c r="C195" s="700"/>
      <c r="D195" s="700"/>
      <c r="E195" s="700"/>
      <c r="F195" s="321"/>
      <c r="G195" s="234"/>
      <c r="H195" s="520"/>
      <c r="I195" s="255"/>
      <c r="J195" s="520"/>
      <c r="K195" s="255"/>
      <c r="L195" s="520"/>
      <c r="M195" s="255"/>
      <c r="N195" s="520"/>
      <c r="O195" s="255"/>
      <c r="P195" s="520"/>
      <c r="Q195" s="255"/>
      <c r="R195" s="520"/>
      <c r="S195" s="255"/>
      <c r="T195" s="520"/>
      <c r="U195" s="255"/>
      <c r="V195" s="520"/>
      <c r="W195" s="255"/>
      <c r="X195" s="166"/>
      <c r="Y195" s="168"/>
      <c r="Z195" s="168"/>
      <c r="AA195" s="166"/>
      <c r="AB195" s="178" t="s">
        <v>544</v>
      </c>
    </row>
    <row r="196" spans="1:28" ht="12.6" customHeight="1" x14ac:dyDescent="0.2">
      <c r="A196" s="19"/>
      <c r="B196" s="638" t="s">
        <v>1028</v>
      </c>
      <c r="C196" s="639"/>
      <c r="D196" s="639"/>
      <c r="E196" s="639"/>
      <c r="F196" s="322">
        <f>9.6*X2</f>
        <v>14784</v>
      </c>
      <c r="G196" s="269">
        <f t="shared" ref="G196" si="487">+F196*$X$1</f>
        <v>14784</v>
      </c>
      <c r="H196" s="528">
        <f>F196+800</f>
        <v>15584</v>
      </c>
      <c r="I196" s="256">
        <f t="shared" ref="I196:I197" si="488">+H196*$X$1</f>
        <v>15584</v>
      </c>
      <c r="J196" s="82">
        <f t="shared" ref="J196:J197" si="489">F196+300</f>
        <v>15084</v>
      </c>
      <c r="K196" s="256">
        <f t="shared" ref="K196:K197" si="490">+J196*$X$1</f>
        <v>15084</v>
      </c>
      <c r="L196" s="528">
        <f>F196+230</f>
        <v>15014</v>
      </c>
      <c r="M196" s="256">
        <f t="shared" ref="M196:M197" si="491">+L196*$X$1</f>
        <v>15014</v>
      </c>
      <c r="N196" s="528">
        <f t="shared" ref="N196:N197" si="492">F196+180</f>
        <v>14964</v>
      </c>
      <c r="O196" s="256">
        <f t="shared" ref="O196:O197" si="493">+N196*$X$1</f>
        <v>14964</v>
      </c>
      <c r="P196" s="528">
        <f>F196+150</f>
        <v>14934</v>
      </c>
      <c r="Q196" s="256">
        <f t="shared" ref="Q196:Q197" si="494">+P196*$X$1</f>
        <v>14934</v>
      </c>
      <c r="R196" s="528">
        <f t="shared" ref="R196:R197" si="495">F196+120</f>
        <v>14904</v>
      </c>
      <c r="S196" s="256">
        <f t="shared" ref="S196:S197" si="496">+R196*$X$1</f>
        <v>14904</v>
      </c>
      <c r="T196" s="528">
        <f t="shared" ref="T196:T197" si="497">F196+100</f>
        <v>14884</v>
      </c>
      <c r="U196" s="256">
        <f t="shared" ref="U196:U197" si="498">+T196*$X$1</f>
        <v>14884</v>
      </c>
      <c r="V196" s="528">
        <f>F196+80</f>
        <v>14864</v>
      </c>
      <c r="W196" s="256">
        <f t="shared" ref="W196:W197" si="499">+V196*$X$1</f>
        <v>14864</v>
      </c>
      <c r="X196" s="629"/>
      <c r="Y196" s="630"/>
      <c r="Z196" s="630"/>
      <c r="AA196" s="631"/>
      <c r="AB196" s="178" t="s">
        <v>539</v>
      </c>
    </row>
    <row r="197" spans="1:28" ht="12.6" customHeight="1" x14ac:dyDescent="0.2">
      <c r="A197" s="19"/>
      <c r="B197" s="750" t="s">
        <v>1029</v>
      </c>
      <c r="C197" s="751"/>
      <c r="D197" s="751"/>
      <c r="E197" s="751"/>
      <c r="F197" s="321">
        <f>12*X2</f>
        <v>18480</v>
      </c>
      <c r="G197" s="234">
        <f t="shared" ref="G197" si="500">+F197*$X$1</f>
        <v>18480</v>
      </c>
      <c r="H197" s="520">
        <f>F197+800</f>
        <v>19280</v>
      </c>
      <c r="I197" s="255">
        <f t="shared" si="488"/>
        <v>19280</v>
      </c>
      <c r="J197" s="68">
        <f t="shared" si="489"/>
        <v>18780</v>
      </c>
      <c r="K197" s="255">
        <f t="shared" si="490"/>
        <v>18780</v>
      </c>
      <c r="L197" s="520">
        <f>F197+230</f>
        <v>18710</v>
      </c>
      <c r="M197" s="255">
        <f t="shared" si="491"/>
        <v>18710</v>
      </c>
      <c r="N197" s="520">
        <f t="shared" si="492"/>
        <v>18660</v>
      </c>
      <c r="O197" s="255">
        <f t="shared" si="493"/>
        <v>18660</v>
      </c>
      <c r="P197" s="520">
        <f>F197+150</f>
        <v>18630</v>
      </c>
      <c r="Q197" s="255">
        <f t="shared" si="494"/>
        <v>18630</v>
      </c>
      <c r="R197" s="520">
        <f t="shared" si="495"/>
        <v>18600</v>
      </c>
      <c r="S197" s="255">
        <f t="shared" si="496"/>
        <v>18600</v>
      </c>
      <c r="T197" s="520">
        <f t="shared" si="497"/>
        <v>18580</v>
      </c>
      <c r="U197" s="255">
        <f t="shared" si="498"/>
        <v>18580</v>
      </c>
      <c r="V197" s="520">
        <f>F197+80</f>
        <v>18560</v>
      </c>
      <c r="W197" s="255">
        <f t="shared" si="499"/>
        <v>18560</v>
      </c>
      <c r="X197" s="629"/>
      <c r="Y197" s="630"/>
      <c r="Z197" s="630"/>
      <c r="AA197" s="631"/>
      <c r="AB197" s="178" t="s">
        <v>1032</v>
      </c>
    </row>
    <row r="198" spans="1:28" ht="12.6" customHeight="1" x14ac:dyDescent="0.2">
      <c r="A198" s="19"/>
      <c r="B198" s="638" t="s">
        <v>310</v>
      </c>
      <c r="C198" s="639"/>
      <c r="D198" s="639"/>
      <c r="E198" s="639"/>
      <c r="F198" s="322">
        <f>15.93*X2</f>
        <v>24532.2</v>
      </c>
      <c r="G198" s="269">
        <f t="shared" ref="G198:G199" si="501">+F198*$X$1</f>
        <v>24532.2</v>
      </c>
      <c r="H198" s="528"/>
      <c r="I198" s="256"/>
      <c r="J198" s="82">
        <f t="shared" ref="J198" si="502">F198+300</f>
        <v>24832.2</v>
      </c>
      <c r="K198" s="256">
        <f t="shared" ref="K198:K199" si="503">+J198*$X$1</f>
        <v>24832.2</v>
      </c>
      <c r="L198" s="528">
        <f>F198+230</f>
        <v>24762.2</v>
      </c>
      <c r="M198" s="256">
        <f t="shared" ref="M198:M199" si="504">+L198*$X$1</f>
        <v>24762.2</v>
      </c>
      <c r="N198" s="528">
        <f t="shared" ref="N198" si="505">F198+180</f>
        <v>24712.2</v>
      </c>
      <c r="O198" s="256">
        <f t="shared" ref="O198:O199" si="506">+N198*$X$1</f>
        <v>24712.2</v>
      </c>
      <c r="P198" s="528">
        <f>F198+150</f>
        <v>24682.2</v>
      </c>
      <c r="Q198" s="256">
        <f t="shared" ref="Q198:Q199" si="507">+P198*$X$1</f>
        <v>24682.2</v>
      </c>
      <c r="R198" s="528">
        <f t="shared" ref="R198" si="508">F198+120</f>
        <v>24652.2</v>
      </c>
      <c r="S198" s="256">
        <f t="shared" ref="S198:S199" si="509">+R198*$X$1</f>
        <v>24652.2</v>
      </c>
      <c r="T198" s="528">
        <f t="shared" ref="T198" si="510">F198+100</f>
        <v>24632.2</v>
      </c>
      <c r="U198" s="256">
        <f t="shared" ref="U198:U199" si="511">+T198*$X$1</f>
        <v>24632.2</v>
      </c>
      <c r="V198" s="528">
        <f>F198+80</f>
        <v>24612.2</v>
      </c>
      <c r="W198" s="256">
        <f t="shared" ref="W198:W199" si="512">+V198*$X$1</f>
        <v>24612.2</v>
      </c>
      <c r="X198" s="629"/>
      <c r="Y198" s="630"/>
      <c r="Z198" s="630"/>
      <c r="AA198" s="631"/>
      <c r="AB198" s="178">
        <v>405</v>
      </c>
    </row>
    <row r="199" spans="1:28" ht="12.6" customHeight="1" x14ac:dyDescent="0.2">
      <c r="A199" s="19"/>
      <c r="B199" s="699" t="s">
        <v>543</v>
      </c>
      <c r="C199" s="700"/>
      <c r="D199" s="700"/>
      <c r="E199" s="700"/>
      <c r="F199" s="321">
        <f>15.6*X2</f>
        <v>24024</v>
      </c>
      <c r="G199" s="613">
        <f t="shared" si="501"/>
        <v>24024</v>
      </c>
      <c r="H199" s="612">
        <f>F199+800</f>
        <v>24824</v>
      </c>
      <c r="I199" s="1186">
        <f t="shared" ref="I199" si="513">+H199*$X$1</f>
        <v>24824</v>
      </c>
      <c r="J199" s="612">
        <f>F199+270</f>
        <v>24294</v>
      </c>
      <c r="K199" s="1186">
        <f t="shared" si="503"/>
        <v>24294</v>
      </c>
      <c r="L199" s="612">
        <f>F199+180</f>
        <v>24204</v>
      </c>
      <c r="M199" s="1186">
        <f t="shared" si="504"/>
        <v>24204</v>
      </c>
      <c r="N199" s="612">
        <f>F199+140</f>
        <v>24164</v>
      </c>
      <c r="O199" s="1186">
        <f t="shared" si="506"/>
        <v>24164</v>
      </c>
      <c r="P199" s="612">
        <f>F199+110</f>
        <v>24134</v>
      </c>
      <c r="Q199" s="1186">
        <f t="shared" si="507"/>
        <v>24134</v>
      </c>
      <c r="R199" s="612">
        <f>F199+90</f>
        <v>24114</v>
      </c>
      <c r="S199" s="1186">
        <f t="shared" si="509"/>
        <v>24114</v>
      </c>
      <c r="T199" s="612">
        <f>F199+75</f>
        <v>24099</v>
      </c>
      <c r="U199" s="1186">
        <f t="shared" si="511"/>
        <v>24099</v>
      </c>
      <c r="V199" s="612">
        <f>F199+60</f>
        <v>24084</v>
      </c>
      <c r="W199" s="1186">
        <f t="shared" si="512"/>
        <v>24084</v>
      </c>
      <c r="X199" s="620"/>
      <c r="Y199" s="621"/>
      <c r="Z199" s="621"/>
      <c r="AA199" s="622"/>
      <c r="AB199" s="178" t="s">
        <v>542</v>
      </c>
    </row>
    <row r="200" spans="1:28" ht="12.6" customHeight="1" x14ac:dyDescent="0.2">
      <c r="A200" s="19"/>
      <c r="B200" s="647" t="s">
        <v>541</v>
      </c>
      <c r="C200" s="648"/>
      <c r="D200" s="648"/>
      <c r="E200" s="648"/>
      <c r="F200" s="322">
        <f>10.3*X2</f>
        <v>15862.000000000002</v>
      </c>
      <c r="G200" s="269">
        <f t="shared" ref="G200" si="514">+F200*$X$1</f>
        <v>15862.000000000002</v>
      </c>
      <c r="H200" s="528">
        <f>F200+800</f>
        <v>16662</v>
      </c>
      <c r="I200" s="256">
        <f t="shared" ref="I200:I201" si="515">+H200*$X$1</f>
        <v>16662</v>
      </c>
      <c r="J200" s="528">
        <f>F200+240</f>
        <v>16102.000000000002</v>
      </c>
      <c r="K200" s="256">
        <f t="shared" ref="K200:K201" si="516">+J200*$X$1</f>
        <v>16102.000000000002</v>
      </c>
      <c r="L200" s="528">
        <f>F200+190</f>
        <v>16052.000000000002</v>
      </c>
      <c r="M200" s="256">
        <f t="shared" ref="M200:M201" si="517">+L200*$X$1</f>
        <v>16052.000000000002</v>
      </c>
      <c r="N200" s="528">
        <f>F200+150</f>
        <v>16012.000000000002</v>
      </c>
      <c r="O200" s="256">
        <f t="shared" ref="O200:O201" si="518">+N200*$X$1</f>
        <v>16012.000000000002</v>
      </c>
      <c r="P200" s="528">
        <f>F200+120</f>
        <v>15982.000000000002</v>
      </c>
      <c r="Q200" s="256">
        <f t="shared" ref="Q200:Q201" si="519">+P200*$X$1</f>
        <v>15982.000000000002</v>
      </c>
      <c r="R200" s="528">
        <f>F200+100</f>
        <v>15962.000000000002</v>
      </c>
      <c r="S200" s="256">
        <f t="shared" ref="S200:S201" si="520">+R200*$X$1</f>
        <v>15962.000000000002</v>
      </c>
      <c r="T200" s="528">
        <f>F200+85</f>
        <v>15947.000000000002</v>
      </c>
      <c r="U200" s="256">
        <f t="shared" ref="U200:U201" si="521">+T200*$X$1</f>
        <v>15947.000000000002</v>
      </c>
      <c r="V200" s="528">
        <f>F200+80</f>
        <v>15942.000000000002</v>
      </c>
      <c r="W200" s="256">
        <f t="shared" ref="W200:W201" si="522">+V200*$X$1</f>
        <v>15942.000000000002</v>
      </c>
      <c r="X200" s="629"/>
      <c r="Y200" s="630"/>
      <c r="Z200" s="630"/>
      <c r="AA200" s="631"/>
      <c r="AB200" s="178" t="s">
        <v>540</v>
      </c>
    </row>
    <row r="201" spans="1:28" ht="12.6" customHeight="1" x14ac:dyDescent="0.2">
      <c r="A201" s="19"/>
      <c r="B201" s="654" t="s">
        <v>1030</v>
      </c>
      <c r="C201" s="655"/>
      <c r="D201" s="655"/>
      <c r="E201" s="655"/>
      <c r="F201" s="321">
        <f>11*X2</f>
        <v>16940</v>
      </c>
      <c r="G201" s="234">
        <f t="shared" ref="G201" si="523">+F201*$X$1</f>
        <v>16940</v>
      </c>
      <c r="H201" s="520">
        <f>F201+800</f>
        <v>17740</v>
      </c>
      <c r="I201" s="255">
        <f t="shared" si="515"/>
        <v>17740</v>
      </c>
      <c r="J201" s="520">
        <f>F201+240</f>
        <v>17180</v>
      </c>
      <c r="K201" s="255">
        <f t="shared" si="516"/>
        <v>17180</v>
      </c>
      <c r="L201" s="520">
        <f>F201+190</f>
        <v>17130</v>
      </c>
      <c r="M201" s="255">
        <f t="shared" si="517"/>
        <v>17130</v>
      </c>
      <c r="N201" s="520">
        <f>F201+150</f>
        <v>17090</v>
      </c>
      <c r="O201" s="255">
        <f t="shared" si="518"/>
        <v>17090</v>
      </c>
      <c r="P201" s="520">
        <f>F201+120</f>
        <v>17060</v>
      </c>
      <c r="Q201" s="255">
        <f t="shared" si="519"/>
        <v>17060</v>
      </c>
      <c r="R201" s="520">
        <f>F201+100</f>
        <v>17040</v>
      </c>
      <c r="S201" s="255">
        <f t="shared" si="520"/>
        <v>17040</v>
      </c>
      <c r="T201" s="520">
        <f>F201+85</f>
        <v>17025</v>
      </c>
      <c r="U201" s="255">
        <f t="shared" si="521"/>
        <v>17025</v>
      </c>
      <c r="V201" s="520">
        <f>F201+80</f>
        <v>17020</v>
      </c>
      <c r="W201" s="255">
        <f t="shared" si="522"/>
        <v>17020</v>
      </c>
      <c r="X201" s="629"/>
      <c r="Y201" s="630"/>
      <c r="Z201" s="630"/>
      <c r="AA201" s="631"/>
      <c r="AB201" s="178" t="s">
        <v>1031</v>
      </c>
    </row>
    <row r="202" spans="1:28" ht="12.6" customHeight="1" x14ac:dyDescent="0.2">
      <c r="A202" s="23"/>
      <c r="B202" s="652" t="s">
        <v>558</v>
      </c>
      <c r="C202" s="698"/>
      <c r="D202" s="698"/>
      <c r="E202" s="698"/>
      <c r="F202" s="280">
        <v>200</v>
      </c>
      <c r="G202" s="422"/>
      <c r="H202" s="314"/>
      <c r="I202" s="701" t="s">
        <v>517</v>
      </c>
      <c r="J202" s="702"/>
      <c r="K202" s="702"/>
      <c r="L202" s="702"/>
      <c r="M202" s="703"/>
      <c r="N202" s="528">
        <f>F202+270</f>
        <v>470</v>
      </c>
      <c r="O202" s="256">
        <f t="shared" ref="O202" si="524">+N202*$X$1</f>
        <v>470</v>
      </c>
      <c r="P202" s="528">
        <f>F202+240</f>
        <v>440</v>
      </c>
      <c r="Q202" s="256">
        <f t="shared" ref="Q202" si="525">+P202*$X$1</f>
        <v>440</v>
      </c>
      <c r="R202" s="528">
        <f>F202+220</f>
        <v>420</v>
      </c>
      <c r="S202" s="256">
        <f t="shared" ref="S202" si="526">+R202*$X$1</f>
        <v>420</v>
      </c>
      <c r="T202" s="528">
        <f>F202+200</f>
        <v>400</v>
      </c>
      <c r="U202" s="256">
        <f t="shared" ref="U202" si="527">+T202*$X$1</f>
        <v>400</v>
      </c>
      <c r="V202" s="528">
        <f>F202+185</f>
        <v>385</v>
      </c>
      <c r="W202" s="256">
        <f t="shared" ref="W202" si="528">+V202*$X$1</f>
        <v>385</v>
      </c>
      <c r="X202" s="145"/>
      <c r="Y202" s="135"/>
      <c r="Z202" s="135"/>
      <c r="AA202" s="135"/>
      <c r="AB202" s="178">
        <v>415</v>
      </c>
    </row>
    <row r="203" spans="1:28" ht="12.6" customHeight="1" x14ac:dyDescent="0.2">
      <c r="A203" s="23"/>
      <c r="B203" s="654" t="s">
        <v>467</v>
      </c>
      <c r="C203" s="655"/>
      <c r="D203" s="655"/>
      <c r="E203" s="655"/>
      <c r="F203" s="270">
        <v>220</v>
      </c>
      <c r="G203" s="234"/>
      <c r="H203" s="315"/>
      <c r="I203" s="704"/>
      <c r="J203" s="704"/>
      <c r="K203" s="704"/>
      <c r="L203" s="704"/>
      <c r="M203" s="705"/>
      <c r="N203" s="520">
        <f>F203+270</f>
        <v>490</v>
      </c>
      <c r="O203" s="255">
        <f t="shared" ref="O203:O205" si="529">+N203*$X$1</f>
        <v>490</v>
      </c>
      <c r="P203" s="520">
        <f>F203+240</f>
        <v>460</v>
      </c>
      <c r="Q203" s="255">
        <f t="shared" ref="Q203:Q205" si="530">+P203*$X$1</f>
        <v>460</v>
      </c>
      <c r="R203" s="520">
        <f>F203+220</f>
        <v>440</v>
      </c>
      <c r="S203" s="255">
        <f t="shared" ref="S203:S205" si="531">+R203*$X$1</f>
        <v>440</v>
      </c>
      <c r="T203" s="520">
        <f>F203+200</f>
        <v>420</v>
      </c>
      <c r="U203" s="255">
        <f t="shared" ref="U203:U205" si="532">+T203*$X$1</f>
        <v>420</v>
      </c>
      <c r="V203" s="520">
        <f>F203+185</f>
        <v>405</v>
      </c>
      <c r="W203" s="255">
        <f t="shared" ref="W203:W205" si="533">+V203*$X$1</f>
        <v>405</v>
      </c>
      <c r="X203" s="145"/>
      <c r="Y203" s="135"/>
      <c r="Z203" s="135"/>
      <c r="AA203" s="135"/>
      <c r="AB203" s="178">
        <v>416</v>
      </c>
    </row>
    <row r="204" spans="1:28" ht="12.6" customHeight="1" x14ac:dyDescent="0.2">
      <c r="A204" s="23"/>
      <c r="B204" s="647" t="s">
        <v>468</v>
      </c>
      <c r="C204" s="648"/>
      <c r="D204" s="648"/>
      <c r="E204" s="648"/>
      <c r="F204" s="280">
        <v>213</v>
      </c>
      <c r="G204" s="269"/>
      <c r="H204" s="315"/>
      <c r="I204" s="704"/>
      <c r="J204" s="704"/>
      <c r="K204" s="704"/>
      <c r="L204" s="704"/>
      <c r="M204" s="705"/>
      <c r="N204" s="528">
        <f>F204+270</f>
        <v>483</v>
      </c>
      <c r="O204" s="256">
        <f t="shared" si="529"/>
        <v>483</v>
      </c>
      <c r="P204" s="528">
        <f>F204+240</f>
        <v>453</v>
      </c>
      <c r="Q204" s="256">
        <f t="shared" si="530"/>
        <v>453</v>
      </c>
      <c r="R204" s="528">
        <f>F204+220</f>
        <v>433</v>
      </c>
      <c r="S204" s="256">
        <f t="shared" si="531"/>
        <v>433</v>
      </c>
      <c r="T204" s="528">
        <f>F204+200</f>
        <v>413</v>
      </c>
      <c r="U204" s="256">
        <f t="shared" si="532"/>
        <v>413</v>
      </c>
      <c r="V204" s="528">
        <f>F204+185</f>
        <v>398</v>
      </c>
      <c r="W204" s="256">
        <f t="shared" si="533"/>
        <v>398</v>
      </c>
      <c r="X204" s="145"/>
      <c r="Y204" s="135"/>
      <c r="Z204" s="135"/>
      <c r="AA204" s="135"/>
      <c r="AB204" s="178">
        <v>417</v>
      </c>
    </row>
    <row r="205" spans="1:28" ht="12.6" customHeight="1" x14ac:dyDescent="0.2">
      <c r="A205" s="23"/>
      <c r="B205" s="654" t="s">
        <v>469</v>
      </c>
      <c r="C205" s="655"/>
      <c r="D205" s="655"/>
      <c r="E205" s="655"/>
      <c r="F205" s="270">
        <v>213</v>
      </c>
      <c r="G205" s="234"/>
      <c r="H205" s="316"/>
      <c r="I205" s="706"/>
      <c r="J205" s="706"/>
      <c r="K205" s="706"/>
      <c r="L205" s="706"/>
      <c r="M205" s="707"/>
      <c r="N205" s="520">
        <f>F205+270</f>
        <v>483</v>
      </c>
      <c r="O205" s="255">
        <f t="shared" si="529"/>
        <v>483</v>
      </c>
      <c r="P205" s="520">
        <f>F205+240</f>
        <v>453</v>
      </c>
      <c r="Q205" s="255">
        <f t="shared" si="530"/>
        <v>453</v>
      </c>
      <c r="R205" s="520">
        <f>F205+220</f>
        <v>433</v>
      </c>
      <c r="S205" s="255">
        <f t="shared" si="531"/>
        <v>433</v>
      </c>
      <c r="T205" s="520">
        <f>F205+200</f>
        <v>413</v>
      </c>
      <c r="U205" s="255">
        <f t="shared" si="532"/>
        <v>413</v>
      </c>
      <c r="V205" s="520">
        <f>F205+185</f>
        <v>398</v>
      </c>
      <c r="W205" s="255">
        <f t="shared" si="533"/>
        <v>398</v>
      </c>
      <c r="X205" s="145"/>
      <c r="Y205" s="135"/>
      <c r="Z205" s="135"/>
      <c r="AA205" s="135"/>
      <c r="AB205" s="178">
        <v>418</v>
      </c>
    </row>
    <row r="206" spans="1:28" ht="12.6" customHeight="1" x14ac:dyDescent="0.2">
      <c r="A206" s="23"/>
      <c r="B206" s="647" t="s">
        <v>170</v>
      </c>
      <c r="C206" s="648"/>
      <c r="D206" s="648"/>
      <c r="E206" s="648"/>
      <c r="F206" s="323">
        <v>896</v>
      </c>
      <c r="G206" s="280">
        <f t="shared" ref="G206:G219" si="534">+F206*$X$1</f>
        <v>896</v>
      </c>
      <c r="H206" s="254"/>
      <c r="I206" s="304"/>
      <c r="J206" s="108"/>
      <c r="K206" s="421"/>
      <c r="L206" s="528">
        <f>F206+220</f>
        <v>1116</v>
      </c>
      <c r="M206" s="256">
        <f t="shared" ref="M206" si="535">+L206*$X$1</f>
        <v>1116</v>
      </c>
      <c r="N206" s="528">
        <f>F206+200</f>
        <v>1096</v>
      </c>
      <c r="O206" s="256">
        <f t="shared" ref="O206" si="536">+N206*$X$1</f>
        <v>1096</v>
      </c>
      <c r="P206" s="528">
        <f>F206+180</f>
        <v>1076</v>
      </c>
      <c r="Q206" s="256">
        <f t="shared" ref="Q206" si="537">+P206*$X$1</f>
        <v>1076</v>
      </c>
      <c r="R206" s="528">
        <f>F206+160</f>
        <v>1056</v>
      </c>
      <c r="S206" s="256">
        <f t="shared" ref="S206" si="538">+R206*$X$1</f>
        <v>1056</v>
      </c>
      <c r="T206" s="528">
        <f>F206+145</f>
        <v>1041</v>
      </c>
      <c r="U206" s="256">
        <f t="shared" ref="U206" si="539">+T206*$X$1</f>
        <v>1041</v>
      </c>
      <c r="V206" s="528">
        <f>F206+130</f>
        <v>1026</v>
      </c>
      <c r="W206" s="256">
        <f t="shared" ref="W206" si="540">+V206*$X$1</f>
        <v>1026</v>
      </c>
      <c r="X206" s="695"/>
      <c r="Y206" s="696"/>
      <c r="Z206" s="696"/>
      <c r="AA206" s="697"/>
      <c r="AB206" s="348">
        <v>421</v>
      </c>
    </row>
    <row r="207" spans="1:28" ht="12.6" customHeight="1" x14ac:dyDescent="0.2">
      <c r="A207" s="23"/>
      <c r="B207" s="654" t="s">
        <v>522</v>
      </c>
      <c r="C207" s="655"/>
      <c r="D207" s="655"/>
      <c r="E207" s="655"/>
      <c r="F207" s="324">
        <v>813</v>
      </c>
      <c r="G207" s="270">
        <f t="shared" si="534"/>
        <v>813</v>
      </c>
      <c r="H207" s="968" t="s">
        <v>547</v>
      </c>
      <c r="I207" s="969"/>
      <c r="J207" s="969"/>
      <c r="K207" s="970"/>
      <c r="L207" s="520">
        <f>F207+300</f>
        <v>1113</v>
      </c>
      <c r="M207" s="255">
        <f t="shared" ref="M207" si="541">+L207*$X$1</f>
        <v>1113</v>
      </c>
      <c r="N207" s="520">
        <f>F207+230</f>
        <v>1043</v>
      </c>
      <c r="O207" s="255">
        <f t="shared" ref="O207" si="542">+N207*$X$1</f>
        <v>1043</v>
      </c>
      <c r="P207" s="520">
        <f>F207+210</f>
        <v>1023</v>
      </c>
      <c r="Q207" s="255">
        <f t="shared" ref="Q207" si="543">+P207*$X$1</f>
        <v>1023</v>
      </c>
      <c r="R207" s="520">
        <f>F207+190</f>
        <v>1003</v>
      </c>
      <c r="S207" s="255">
        <f t="shared" ref="S207" si="544">+R207*$X$1</f>
        <v>1003</v>
      </c>
      <c r="T207" s="93">
        <f>F207+170</f>
        <v>983</v>
      </c>
      <c r="U207" s="234">
        <f t="shared" ref="U207" si="545">+T207*$X$1</f>
        <v>983</v>
      </c>
      <c r="V207" s="520">
        <f>F207+155</f>
        <v>968</v>
      </c>
      <c r="W207" s="255">
        <f t="shared" ref="W207" si="546">+V207*$X$1</f>
        <v>968</v>
      </c>
      <c r="X207" s="695"/>
      <c r="Y207" s="696"/>
      <c r="Z207" s="696"/>
      <c r="AA207" s="697"/>
      <c r="AB207" s="348" t="s">
        <v>627</v>
      </c>
    </row>
    <row r="208" spans="1:28" ht="12.6" customHeight="1" x14ac:dyDescent="0.2">
      <c r="A208" s="23"/>
      <c r="B208" s="647" t="s">
        <v>519</v>
      </c>
      <c r="C208" s="648"/>
      <c r="D208" s="648"/>
      <c r="E208" s="648"/>
      <c r="F208" s="323">
        <v>813</v>
      </c>
      <c r="G208" s="280">
        <f t="shared" si="534"/>
        <v>813</v>
      </c>
      <c r="H208" s="971"/>
      <c r="I208" s="972"/>
      <c r="J208" s="972"/>
      <c r="K208" s="973"/>
      <c r="L208" s="528">
        <f>F208+300</f>
        <v>1113</v>
      </c>
      <c r="M208" s="256">
        <f t="shared" ref="M208:M212" si="547">+L208*$X$1</f>
        <v>1113</v>
      </c>
      <c r="N208" s="528">
        <f>F208+230</f>
        <v>1043</v>
      </c>
      <c r="O208" s="256">
        <f t="shared" ref="O208:O212" si="548">+N208*$X$1</f>
        <v>1043</v>
      </c>
      <c r="P208" s="528">
        <f>F208+210</f>
        <v>1023</v>
      </c>
      <c r="Q208" s="256">
        <f t="shared" ref="Q208:Q212" si="549">+P208*$X$1</f>
        <v>1023</v>
      </c>
      <c r="R208" s="528">
        <f>F208+190</f>
        <v>1003</v>
      </c>
      <c r="S208" s="256">
        <f t="shared" ref="S208:S212" si="550">+R208*$X$1</f>
        <v>1003</v>
      </c>
      <c r="T208" s="92">
        <f>F208+170</f>
        <v>983</v>
      </c>
      <c r="U208" s="269">
        <f t="shared" ref="U208:U212" si="551">+T208*$X$1</f>
        <v>983</v>
      </c>
      <c r="V208" s="528">
        <f>F208+155</f>
        <v>968</v>
      </c>
      <c r="W208" s="256">
        <f t="shared" ref="W208:W212" si="552">+V208*$X$1</f>
        <v>968</v>
      </c>
      <c r="X208" s="695"/>
      <c r="Y208" s="696"/>
      <c r="Z208" s="696"/>
      <c r="AA208" s="697"/>
      <c r="AB208" s="348" t="s">
        <v>622</v>
      </c>
    </row>
    <row r="209" spans="1:38" ht="12.6" customHeight="1" x14ac:dyDescent="0.2">
      <c r="A209" s="23"/>
      <c r="B209" s="654" t="s">
        <v>518</v>
      </c>
      <c r="C209" s="655"/>
      <c r="D209" s="655"/>
      <c r="E209" s="655"/>
      <c r="F209" s="324">
        <v>813</v>
      </c>
      <c r="G209" s="270">
        <f t="shared" si="534"/>
        <v>813</v>
      </c>
      <c r="H209" s="971"/>
      <c r="I209" s="972"/>
      <c r="J209" s="972"/>
      <c r="K209" s="973"/>
      <c r="L209" s="520">
        <f>F209+300</f>
        <v>1113</v>
      </c>
      <c r="M209" s="255">
        <f t="shared" si="547"/>
        <v>1113</v>
      </c>
      <c r="N209" s="520">
        <f>F209+230</f>
        <v>1043</v>
      </c>
      <c r="O209" s="255">
        <f t="shared" si="548"/>
        <v>1043</v>
      </c>
      <c r="P209" s="520">
        <f>F209+210</f>
        <v>1023</v>
      </c>
      <c r="Q209" s="255">
        <f t="shared" si="549"/>
        <v>1023</v>
      </c>
      <c r="R209" s="520">
        <f>F209+190</f>
        <v>1003</v>
      </c>
      <c r="S209" s="255">
        <f t="shared" si="550"/>
        <v>1003</v>
      </c>
      <c r="T209" s="93">
        <f>F209+170</f>
        <v>983</v>
      </c>
      <c r="U209" s="234">
        <f t="shared" si="551"/>
        <v>983</v>
      </c>
      <c r="V209" s="520">
        <f>F209+155</f>
        <v>968</v>
      </c>
      <c r="W209" s="255">
        <f t="shared" si="552"/>
        <v>968</v>
      </c>
      <c r="X209" s="695"/>
      <c r="Y209" s="696"/>
      <c r="Z209" s="696"/>
      <c r="AA209" s="697"/>
      <c r="AB209" s="348" t="s">
        <v>624</v>
      </c>
    </row>
    <row r="210" spans="1:38" ht="12.6" customHeight="1" x14ac:dyDescent="0.2">
      <c r="A210" s="23"/>
      <c r="B210" s="647" t="s">
        <v>521</v>
      </c>
      <c r="C210" s="648"/>
      <c r="D210" s="648"/>
      <c r="E210" s="648"/>
      <c r="F210" s="323">
        <v>813</v>
      </c>
      <c r="G210" s="280">
        <f t="shared" si="534"/>
        <v>813</v>
      </c>
      <c r="H210" s="971"/>
      <c r="I210" s="972"/>
      <c r="J210" s="972"/>
      <c r="K210" s="973"/>
      <c r="L210" s="528">
        <f>F210+300</f>
        <v>1113</v>
      </c>
      <c r="M210" s="256">
        <f t="shared" si="547"/>
        <v>1113</v>
      </c>
      <c r="N210" s="528">
        <f>F210+230</f>
        <v>1043</v>
      </c>
      <c r="O210" s="256">
        <f t="shared" si="548"/>
        <v>1043</v>
      </c>
      <c r="P210" s="528">
        <f>F210+210</f>
        <v>1023</v>
      </c>
      <c r="Q210" s="256">
        <f t="shared" si="549"/>
        <v>1023</v>
      </c>
      <c r="R210" s="528">
        <f>F210+190</f>
        <v>1003</v>
      </c>
      <c r="S210" s="256">
        <f t="shared" si="550"/>
        <v>1003</v>
      </c>
      <c r="T210" s="92">
        <f>F210+170</f>
        <v>983</v>
      </c>
      <c r="U210" s="269">
        <f t="shared" si="551"/>
        <v>983</v>
      </c>
      <c r="V210" s="528">
        <f>F210+155</f>
        <v>968</v>
      </c>
      <c r="W210" s="256">
        <f t="shared" si="552"/>
        <v>968</v>
      </c>
      <c r="X210" s="982"/>
      <c r="Y210" s="983"/>
      <c r="Z210" s="983"/>
      <c r="AA210" s="984"/>
      <c r="AB210" s="348" t="s">
        <v>623</v>
      </c>
    </row>
    <row r="211" spans="1:38" ht="12.6" customHeight="1" x14ac:dyDescent="0.2">
      <c r="A211" s="23"/>
      <c r="B211" s="654" t="s">
        <v>626</v>
      </c>
      <c r="C211" s="655"/>
      <c r="D211" s="655"/>
      <c r="E211" s="655"/>
      <c r="F211" s="324">
        <v>890</v>
      </c>
      <c r="G211" s="270">
        <f t="shared" ref="G211" si="553">+F211*$X$1</f>
        <v>890</v>
      </c>
      <c r="H211" s="971"/>
      <c r="I211" s="972"/>
      <c r="J211" s="972"/>
      <c r="K211" s="973"/>
      <c r="L211" s="520">
        <f>F211+300</f>
        <v>1190</v>
      </c>
      <c r="M211" s="255">
        <f t="shared" si="547"/>
        <v>1190</v>
      </c>
      <c r="N211" s="520">
        <f>F211+230</f>
        <v>1120</v>
      </c>
      <c r="O211" s="255">
        <f t="shared" si="548"/>
        <v>1120</v>
      </c>
      <c r="P211" s="520">
        <f>F211+210</f>
        <v>1100</v>
      </c>
      <c r="Q211" s="255">
        <f t="shared" si="549"/>
        <v>1100</v>
      </c>
      <c r="R211" s="520">
        <f>F211+190</f>
        <v>1080</v>
      </c>
      <c r="S211" s="255">
        <f t="shared" si="550"/>
        <v>1080</v>
      </c>
      <c r="T211" s="93">
        <f>F211+170</f>
        <v>1060</v>
      </c>
      <c r="U211" s="234">
        <f t="shared" si="551"/>
        <v>1060</v>
      </c>
      <c r="V211" s="520">
        <f>F211+155</f>
        <v>1045</v>
      </c>
      <c r="W211" s="255">
        <f t="shared" si="552"/>
        <v>1045</v>
      </c>
      <c r="X211" s="695"/>
      <c r="Y211" s="696"/>
      <c r="Z211" s="696"/>
      <c r="AA211" s="697"/>
      <c r="AB211" s="348" t="s">
        <v>625</v>
      </c>
    </row>
    <row r="212" spans="1:38" ht="12.6" customHeight="1" x14ac:dyDescent="0.2">
      <c r="A212" s="23"/>
      <c r="B212" s="647" t="s">
        <v>520</v>
      </c>
      <c r="C212" s="648"/>
      <c r="D212" s="648"/>
      <c r="E212" s="648"/>
      <c r="F212" s="323">
        <v>906</v>
      </c>
      <c r="G212" s="280">
        <f t="shared" si="534"/>
        <v>906</v>
      </c>
      <c r="H212" s="974"/>
      <c r="I212" s="975"/>
      <c r="J212" s="975"/>
      <c r="K212" s="976"/>
      <c r="L212" s="528">
        <f>F212+330</f>
        <v>1236</v>
      </c>
      <c r="M212" s="256">
        <f t="shared" si="547"/>
        <v>1236</v>
      </c>
      <c r="N212" s="528">
        <f>F212+260</f>
        <v>1166</v>
      </c>
      <c r="O212" s="256">
        <f t="shared" si="548"/>
        <v>1166</v>
      </c>
      <c r="P212" s="528">
        <f>F212+240</f>
        <v>1146</v>
      </c>
      <c r="Q212" s="256">
        <f t="shared" si="549"/>
        <v>1146</v>
      </c>
      <c r="R212" s="528">
        <f>F212+220</f>
        <v>1126</v>
      </c>
      <c r="S212" s="256">
        <f t="shared" si="550"/>
        <v>1126</v>
      </c>
      <c r="T212" s="92">
        <f>F212+200</f>
        <v>1106</v>
      </c>
      <c r="U212" s="269">
        <f t="shared" si="551"/>
        <v>1106</v>
      </c>
      <c r="V212" s="528">
        <f>F212+185</f>
        <v>1091</v>
      </c>
      <c r="W212" s="256">
        <f t="shared" si="552"/>
        <v>1091</v>
      </c>
      <c r="X212" s="695"/>
      <c r="Y212" s="696"/>
      <c r="Z212" s="696"/>
      <c r="AA212" s="697"/>
      <c r="AB212" s="348" t="s">
        <v>621</v>
      </c>
    </row>
    <row r="213" spans="1:38" ht="12.6" customHeight="1" x14ac:dyDescent="0.2">
      <c r="A213" s="94"/>
      <c r="B213" s="988" t="s">
        <v>814</v>
      </c>
      <c r="C213" s="989"/>
      <c r="D213" s="989"/>
      <c r="E213" s="989"/>
      <c r="F213" s="420">
        <f>0.89*X2</f>
        <v>1370.6</v>
      </c>
      <c r="G213" s="523">
        <f t="shared" si="534"/>
        <v>1370.6</v>
      </c>
      <c r="H213" s="520"/>
      <c r="I213" s="255"/>
      <c r="J213" s="68"/>
      <c r="K213" s="255"/>
      <c r="L213" s="520">
        <f>F213+230</f>
        <v>1600.6</v>
      </c>
      <c r="M213" s="255">
        <f t="shared" ref="M213:M218" si="554">+L213*$X$1</f>
        <v>1600.6</v>
      </c>
      <c r="N213" s="520">
        <f t="shared" ref="N213:N216" si="555">F213+180</f>
        <v>1550.6</v>
      </c>
      <c r="O213" s="255">
        <f t="shared" ref="O213:O218" si="556">+N213*$X$1</f>
        <v>1550.6</v>
      </c>
      <c r="P213" s="520">
        <f>F213+150</f>
        <v>1520.6</v>
      </c>
      <c r="Q213" s="255">
        <f t="shared" ref="Q213:Q218" si="557">+P213*$X$1</f>
        <v>1520.6</v>
      </c>
      <c r="R213" s="520">
        <f t="shared" ref="R213:R216" si="558">F213+120</f>
        <v>1490.6</v>
      </c>
      <c r="S213" s="255">
        <f t="shared" ref="S213:S218" si="559">+R213*$X$1</f>
        <v>1490.6</v>
      </c>
      <c r="T213" s="520">
        <f t="shared" ref="T213:T216" si="560">F213+100</f>
        <v>1470.6</v>
      </c>
      <c r="U213" s="255">
        <f t="shared" ref="U213:U218" si="561">+T213*$X$1</f>
        <v>1470.6</v>
      </c>
      <c r="V213" s="520">
        <f>F213+80</f>
        <v>1450.6</v>
      </c>
      <c r="W213" s="255">
        <f t="shared" ref="W213:W218" si="562">+V213*$X$1</f>
        <v>1450.6</v>
      </c>
      <c r="X213" s="135"/>
      <c r="Y213" s="144"/>
      <c r="Z213" s="135"/>
      <c r="AA213" s="135"/>
      <c r="AB213" s="178">
        <v>425</v>
      </c>
    </row>
    <row r="214" spans="1:38" ht="12.6" customHeight="1" x14ac:dyDescent="0.2">
      <c r="A214" s="94"/>
      <c r="B214" s="647" t="s">
        <v>728</v>
      </c>
      <c r="C214" s="923"/>
      <c r="D214" s="923"/>
      <c r="E214" s="923"/>
      <c r="F214" s="322">
        <f>0.64*X2</f>
        <v>985.6</v>
      </c>
      <c r="G214" s="256">
        <f t="shared" ref="G214" si="563">+F214*$X$1</f>
        <v>985.6</v>
      </c>
      <c r="H214" s="528"/>
      <c r="I214" s="256"/>
      <c r="J214" s="82"/>
      <c r="K214" s="256"/>
      <c r="L214" s="528">
        <f>F214+230</f>
        <v>1215.5999999999999</v>
      </c>
      <c r="M214" s="256">
        <f t="shared" si="554"/>
        <v>1215.5999999999999</v>
      </c>
      <c r="N214" s="528">
        <f t="shared" si="555"/>
        <v>1165.5999999999999</v>
      </c>
      <c r="O214" s="256">
        <f t="shared" si="556"/>
        <v>1165.5999999999999</v>
      </c>
      <c r="P214" s="528">
        <f>F214+150</f>
        <v>1135.5999999999999</v>
      </c>
      <c r="Q214" s="256">
        <f t="shared" si="557"/>
        <v>1135.5999999999999</v>
      </c>
      <c r="R214" s="528">
        <f t="shared" si="558"/>
        <v>1105.5999999999999</v>
      </c>
      <c r="S214" s="256">
        <f t="shared" si="559"/>
        <v>1105.5999999999999</v>
      </c>
      <c r="T214" s="528">
        <f t="shared" si="560"/>
        <v>1085.5999999999999</v>
      </c>
      <c r="U214" s="256">
        <f t="shared" si="561"/>
        <v>1085.5999999999999</v>
      </c>
      <c r="V214" s="528">
        <f>F214+80</f>
        <v>1065.5999999999999</v>
      </c>
      <c r="W214" s="256">
        <f t="shared" si="562"/>
        <v>1065.5999999999999</v>
      </c>
      <c r="X214" s="135"/>
      <c r="Y214" s="144"/>
      <c r="Z214" s="135"/>
      <c r="AA214" s="135"/>
      <c r="AB214" s="178">
        <v>426</v>
      </c>
    </row>
    <row r="215" spans="1:38" ht="12.6" customHeight="1" x14ac:dyDescent="0.2">
      <c r="A215" s="94"/>
      <c r="B215" s="654" t="s">
        <v>439</v>
      </c>
      <c r="C215" s="655"/>
      <c r="D215" s="655"/>
      <c r="E215" s="655"/>
      <c r="F215" s="321">
        <f>0.63*X2</f>
        <v>970.2</v>
      </c>
      <c r="G215" s="255">
        <f t="shared" si="534"/>
        <v>970.2</v>
      </c>
      <c r="H215" s="520"/>
      <c r="I215" s="255"/>
      <c r="J215" s="68"/>
      <c r="K215" s="255"/>
      <c r="L215" s="520">
        <f>F215+230</f>
        <v>1200.2</v>
      </c>
      <c r="M215" s="255">
        <f t="shared" si="554"/>
        <v>1200.2</v>
      </c>
      <c r="N215" s="520">
        <f t="shared" si="555"/>
        <v>1150.2</v>
      </c>
      <c r="O215" s="255">
        <f t="shared" si="556"/>
        <v>1150.2</v>
      </c>
      <c r="P215" s="520">
        <f>F215+150</f>
        <v>1120.2</v>
      </c>
      <c r="Q215" s="255">
        <f t="shared" si="557"/>
        <v>1120.2</v>
      </c>
      <c r="R215" s="520">
        <f t="shared" si="558"/>
        <v>1090.2</v>
      </c>
      <c r="S215" s="255">
        <f t="shared" si="559"/>
        <v>1090.2</v>
      </c>
      <c r="T215" s="520">
        <f t="shared" si="560"/>
        <v>1070.2</v>
      </c>
      <c r="U215" s="255">
        <f t="shared" si="561"/>
        <v>1070.2</v>
      </c>
      <c r="V215" s="520">
        <f>F215+80</f>
        <v>1050.2</v>
      </c>
      <c r="W215" s="255">
        <f t="shared" si="562"/>
        <v>1050.2</v>
      </c>
      <c r="X215" s="135"/>
      <c r="Y215" s="144"/>
      <c r="Z215" s="135"/>
      <c r="AA215" s="135"/>
      <c r="AB215" s="178" t="s">
        <v>486</v>
      </c>
    </row>
    <row r="216" spans="1:38" ht="12.6" customHeight="1" x14ac:dyDescent="0.2">
      <c r="A216" s="94"/>
      <c r="B216" s="647" t="s">
        <v>430</v>
      </c>
      <c r="C216" s="648"/>
      <c r="D216" s="648"/>
      <c r="E216" s="648"/>
      <c r="F216" s="322">
        <f>0.51*X2</f>
        <v>785.4</v>
      </c>
      <c r="G216" s="256">
        <f t="shared" ref="G216:G217" si="564">+F216*$X$1</f>
        <v>785.4</v>
      </c>
      <c r="H216" s="528"/>
      <c r="I216" s="256"/>
      <c r="J216" s="82"/>
      <c r="K216" s="256"/>
      <c r="L216" s="528">
        <f>F216+230</f>
        <v>1015.4</v>
      </c>
      <c r="M216" s="256">
        <f t="shared" si="554"/>
        <v>1015.4</v>
      </c>
      <c r="N216" s="528">
        <f t="shared" si="555"/>
        <v>965.4</v>
      </c>
      <c r="O216" s="256">
        <f t="shared" si="556"/>
        <v>965.4</v>
      </c>
      <c r="P216" s="528">
        <f>F216+150</f>
        <v>935.4</v>
      </c>
      <c r="Q216" s="256">
        <f t="shared" si="557"/>
        <v>935.4</v>
      </c>
      <c r="R216" s="528">
        <f t="shared" si="558"/>
        <v>905.4</v>
      </c>
      <c r="S216" s="256">
        <f t="shared" si="559"/>
        <v>905.4</v>
      </c>
      <c r="T216" s="528">
        <f t="shared" si="560"/>
        <v>885.4</v>
      </c>
      <c r="U216" s="256">
        <f t="shared" si="561"/>
        <v>885.4</v>
      </c>
      <c r="V216" s="528">
        <f>F216+80</f>
        <v>865.4</v>
      </c>
      <c r="W216" s="256">
        <f t="shared" si="562"/>
        <v>865.4</v>
      </c>
      <c r="X216" s="135"/>
      <c r="Y216" s="144"/>
      <c r="Z216" s="135"/>
      <c r="AA216" s="135"/>
      <c r="AB216" s="178">
        <v>428</v>
      </c>
    </row>
    <row r="217" spans="1:38" s="1" customFormat="1" ht="12.6" customHeight="1" x14ac:dyDescent="0.2">
      <c r="A217" s="18"/>
      <c r="B217" s="657" t="s">
        <v>812</v>
      </c>
      <c r="C217" s="677"/>
      <c r="D217" s="677"/>
      <c r="E217" s="678"/>
      <c r="F217" s="444">
        <f>11.67*X2</f>
        <v>17971.8</v>
      </c>
      <c r="G217" s="255">
        <f t="shared" si="564"/>
        <v>17971.8</v>
      </c>
      <c r="H217" s="520">
        <f>F217+800</f>
        <v>18771.8</v>
      </c>
      <c r="I217" s="255">
        <f t="shared" ref="I217:I218" si="565">+H217*$X$1</f>
        <v>18771.8</v>
      </c>
      <c r="J217" s="520">
        <f>F217+240</f>
        <v>18211.8</v>
      </c>
      <c r="K217" s="255">
        <f t="shared" ref="K217:K218" si="566">+J217*$X$1</f>
        <v>18211.8</v>
      </c>
      <c r="L217" s="520">
        <f>F217+190</f>
        <v>18161.8</v>
      </c>
      <c r="M217" s="255">
        <f t="shared" si="554"/>
        <v>18161.8</v>
      </c>
      <c r="N217" s="520">
        <f>F217+150</f>
        <v>18121.8</v>
      </c>
      <c r="O217" s="255">
        <f t="shared" si="556"/>
        <v>18121.8</v>
      </c>
      <c r="P217" s="520">
        <f>F217+120</f>
        <v>18091.8</v>
      </c>
      <c r="Q217" s="255">
        <f t="shared" si="557"/>
        <v>18091.8</v>
      </c>
      <c r="R217" s="520">
        <f>F217+100</f>
        <v>18071.8</v>
      </c>
      <c r="S217" s="255">
        <f t="shared" si="559"/>
        <v>18071.8</v>
      </c>
      <c r="T217" s="520">
        <f>F217+85</f>
        <v>18056.8</v>
      </c>
      <c r="U217" s="255">
        <f t="shared" si="561"/>
        <v>18056.8</v>
      </c>
      <c r="V217" s="520">
        <f>F217+80</f>
        <v>18051.8</v>
      </c>
      <c r="W217" s="255">
        <f t="shared" si="562"/>
        <v>18051.8</v>
      </c>
      <c r="X217" s="487"/>
      <c r="Y217" s="488"/>
      <c r="Z217" s="488"/>
      <c r="AA217" s="489"/>
      <c r="AB217" s="178">
        <v>430</v>
      </c>
      <c r="AC217" s="4"/>
      <c r="AD217" s="4"/>
      <c r="AE217" s="4"/>
      <c r="AF217" s="4"/>
      <c r="AG217" s="4"/>
      <c r="AH217" s="116"/>
      <c r="AI217" s="4"/>
      <c r="AJ217" s="4"/>
      <c r="AK217" s="4"/>
      <c r="AL217" s="4"/>
    </row>
    <row r="218" spans="1:38" s="1" customFormat="1" ht="12.6" customHeight="1" x14ac:dyDescent="0.2">
      <c r="A218" s="18"/>
      <c r="B218" s="640" t="s">
        <v>813</v>
      </c>
      <c r="C218" s="641"/>
      <c r="D218" s="641"/>
      <c r="E218" s="642"/>
      <c r="F218" s="478">
        <f>12.7*X2</f>
        <v>19558</v>
      </c>
      <c r="G218" s="256">
        <f t="shared" ref="G218" si="567">+F218*$X$1</f>
        <v>19558</v>
      </c>
      <c r="H218" s="528">
        <f>F218+800</f>
        <v>20358</v>
      </c>
      <c r="I218" s="256">
        <f t="shared" si="565"/>
        <v>20358</v>
      </c>
      <c r="J218" s="528">
        <f>F218+270</f>
        <v>19828</v>
      </c>
      <c r="K218" s="256">
        <f t="shared" si="566"/>
        <v>19828</v>
      </c>
      <c r="L218" s="528">
        <f>F218+180</f>
        <v>19738</v>
      </c>
      <c r="M218" s="256">
        <f t="shared" si="554"/>
        <v>19738</v>
      </c>
      <c r="N218" s="528">
        <f>F218+140</f>
        <v>19698</v>
      </c>
      <c r="O218" s="256">
        <f t="shared" si="556"/>
        <v>19698</v>
      </c>
      <c r="P218" s="528">
        <f>F218+110</f>
        <v>19668</v>
      </c>
      <c r="Q218" s="256">
        <f t="shared" si="557"/>
        <v>19668</v>
      </c>
      <c r="R218" s="528">
        <f>F218+90</f>
        <v>19648</v>
      </c>
      <c r="S218" s="256">
        <f t="shared" si="559"/>
        <v>19648</v>
      </c>
      <c r="T218" s="528">
        <f>F218+75</f>
        <v>19633</v>
      </c>
      <c r="U218" s="256">
        <f t="shared" si="561"/>
        <v>19633</v>
      </c>
      <c r="V218" s="528">
        <f>F218+60</f>
        <v>19618</v>
      </c>
      <c r="W218" s="256">
        <f t="shared" si="562"/>
        <v>19618</v>
      </c>
      <c r="X218" s="493"/>
      <c r="Y218" s="495"/>
      <c r="Z218" s="495"/>
      <c r="AA218" s="494"/>
      <c r="AB218" s="178">
        <v>431</v>
      </c>
      <c r="AC218" s="4"/>
      <c r="AD218" s="4"/>
      <c r="AE218" s="4"/>
      <c r="AF218" s="4"/>
      <c r="AG218" s="4"/>
      <c r="AH218" s="116"/>
      <c r="AI218" s="4"/>
      <c r="AJ218" s="4"/>
      <c r="AK218" s="4"/>
      <c r="AL218" s="4"/>
    </row>
    <row r="219" spans="1:38" ht="12.6" customHeight="1" x14ac:dyDescent="0.2">
      <c r="A219" s="17"/>
      <c r="B219" s="654" t="s">
        <v>171</v>
      </c>
      <c r="C219" s="655"/>
      <c r="D219" s="655"/>
      <c r="E219" s="655"/>
      <c r="F219" s="321">
        <f>1.53*X2</f>
        <v>2356.1999999999998</v>
      </c>
      <c r="G219" s="255">
        <f t="shared" si="534"/>
        <v>2356.1999999999998</v>
      </c>
      <c r="H219" s="520">
        <f>F219+800</f>
        <v>3156.2</v>
      </c>
      <c r="I219" s="255">
        <f t="shared" ref="I219:I220" si="568">+H219*$X$1</f>
        <v>3156.2</v>
      </c>
      <c r="J219" s="68">
        <f t="shared" ref="J219:J221" si="569">F219+300</f>
        <v>2656.2</v>
      </c>
      <c r="K219" s="255">
        <f t="shared" ref="K219:K221" si="570">+J219*$X$1</f>
        <v>2656.2</v>
      </c>
      <c r="L219" s="520">
        <f>F219+230</f>
        <v>2586.1999999999998</v>
      </c>
      <c r="M219" s="255">
        <f t="shared" ref="M219:M221" si="571">+L219*$X$1</f>
        <v>2586.1999999999998</v>
      </c>
      <c r="N219" s="520">
        <f t="shared" ref="N219:N221" si="572">F219+180</f>
        <v>2536.1999999999998</v>
      </c>
      <c r="O219" s="255">
        <f t="shared" ref="O219:O221" si="573">+N219*$X$1</f>
        <v>2536.1999999999998</v>
      </c>
      <c r="P219" s="520">
        <f>F219+150</f>
        <v>2506.1999999999998</v>
      </c>
      <c r="Q219" s="255">
        <f t="shared" ref="Q219:Q220" si="574">+P219*$X$1</f>
        <v>2506.1999999999998</v>
      </c>
      <c r="R219" s="520">
        <f t="shared" ref="R219:R220" si="575">F219+120</f>
        <v>2476.1999999999998</v>
      </c>
      <c r="S219" s="255">
        <f t="shared" ref="S219:S220" si="576">+R219*$X$1</f>
        <v>2476.1999999999998</v>
      </c>
      <c r="T219" s="520">
        <f t="shared" ref="T219:T220" si="577">F219+100</f>
        <v>2456.1999999999998</v>
      </c>
      <c r="U219" s="255">
        <f t="shared" ref="U219:U220" si="578">+T219*$X$1</f>
        <v>2456.1999999999998</v>
      </c>
      <c r="V219" s="520">
        <f>F219+80</f>
        <v>2436.1999999999998</v>
      </c>
      <c r="W219" s="255">
        <f t="shared" ref="W219:W220" si="579">+V219*$X$1</f>
        <v>2436.1999999999998</v>
      </c>
      <c r="X219" s="135"/>
      <c r="Y219" s="144"/>
      <c r="Z219" s="135"/>
      <c r="AA219" s="135"/>
      <c r="AB219" s="178">
        <v>442</v>
      </c>
    </row>
    <row r="220" spans="1:38" ht="12.6" customHeight="1" x14ac:dyDescent="0.2">
      <c r="A220" s="17"/>
      <c r="B220" s="635" t="s">
        <v>1037</v>
      </c>
      <c r="C220" s="676"/>
      <c r="D220" s="676"/>
      <c r="E220" s="676"/>
      <c r="F220" s="322">
        <f>5.5*X2</f>
        <v>8470</v>
      </c>
      <c r="G220" s="256">
        <f t="shared" ref="G220" si="580">+F220*$X$1</f>
        <v>8470</v>
      </c>
      <c r="H220" s="528">
        <f>F220+800</f>
        <v>9270</v>
      </c>
      <c r="I220" s="256">
        <f t="shared" si="568"/>
        <v>9270</v>
      </c>
      <c r="J220" s="82">
        <f t="shared" si="569"/>
        <v>8770</v>
      </c>
      <c r="K220" s="256">
        <f t="shared" si="570"/>
        <v>8770</v>
      </c>
      <c r="L220" s="528">
        <f>F220+230</f>
        <v>8700</v>
      </c>
      <c r="M220" s="256">
        <f t="shared" si="571"/>
        <v>8700</v>
      </c>
      <c r="N220" s="528">
        <f t="shared" si="572"/>
        <v>8650</v>
      </c>
      <c r="O220" s="256">
        <f t="shared" si="573"/>
        <v>8650</v>
      </c>
      <c r="P220" s="528">
        <f>F220+150</f>
        <v>8620</v>
      </c>
      <c r="Q220" s="256">
        <f t="shared" si="574"/>
        <v>8620</v>
      </c>
      <c r="R220" s="528">
        <f t="shared" si="575"/>
        <v>8590</v>
      </c>
      <c r="S220" s="256">
        <f t="shared" si="576"/>
        <v>8590</v>
      </c>
      <c r="T220" s="528">
        <f t="shared" si="577"/>
        <v>8570</v>
      </c>
      <c r="U220" s="256">
        <f t="shared" si="578"/>
        <v>8570</v>
      </c>
      <c r="V220" s="528">
        <f>F220+80</f>
        <v>8550</v>
      </c>
      <c r="W220" s="256">
        <f t="shared" si="579"/>
        <v>8550</v>
      </c>
      <c r="X220" s="135"/>
      <c r="Y220" s="144"/>
      <c r="Z220" s="135"/>
      <c r="AA220" s="135"/>
      <c r="AB220" s="178">
        <v>444</v>
      </c>
    </row>
    <row r="221" spans="1:38" ht="12.6" customHeight="1" x14ac:dyDescent="0.2">
      <c r="A221" s="17"/>
      <c r="B221" s="654" t="s">
        <v>325</v>
      </c>
      <c r="C221" s="725"/>
      <c r="D221" s="725"/>
      <c r="E221" s="725"/>
      <c r="F221" s="321">
        <f>1.98*X2</f>
        <v>3049.2</v>
      </c>
      <c r="G221" s="297">
        <f t="shared" ref="G221:G226" si="581">+F221*$X$1</f>
        <v>3049.2</v>
      </c>
      <c r="H221" s="520"/>
      <c r="I221" s="255"/>
      <c r="J221" s="68">
        <f t="shared" si="569"/>
        <v>3349.2</v>
      </c>
      <c r="K221" s="255">
        <f t="shared" si="570"/>
        <v>3349.2</v>
      </c>
      <c r="L221" s="520">
        <f>F221+230</f>
        <v>3279.2</v>
      </c>
      <c r="M221" s="255">
        <f t="shared" si="571"/>
        <v>3279.2</v>
      </c>
      <c r="N221" s="520">
        <f t="shared" si="572"/>
        <v>3229.2</v>
      </c>
      <c r="O221" s="255">
        <f t="shared" si="573"/>
        <v>3229.2</v>
      </c>
      <c r="P221" s="520"/>
      <c r="Q221" s="255"/>
      <c r="R221" s="520"/>
      <c r="S221" s="255"/>
      <c r="T221" s="520"/>
      <c r="U221" s="255"/>
      <c r="V221" s="520"/>
      <c r="W221" s="255"/>
      <c r="X221" s="135"/>
      <c r="Y221" s="144"/>
      <c r="Z221" s="135"/>
      <c r="AA221" s="135"/>
      <c r="AB221" s="178">
        <v>465</v>
      </c>
    </row>
    <row r="222" spans="1:38" ht="12.6" customHeight="1" x14ac:dyDescent="0.2">
      <c r="A222" s="17"/>
      <c r="B222" s="647" t="s">
        <v>700</v>
      </c>
      <c r="C222" s="688"/>
      <c r="D222" s="688"/>
      <c r="E222" s="688"/>
      <c r="F222" s="322">
        <f>0.91*X2</f>
        <v>1401.4</v>
      </c>
      <c r="G222" s="423">
        <f t="shared" ref="G222" si="582">+F222*$X$1</f>
        <v>1401.4</v>
      </c>
      <c r="H222" s="528"/>
      <c r="I222" s="256"/>
      <c r="J222" s="82">
        <f t="shared" ref="J222" si="583">F222+300</f>
        <v>1701.4</v>
      </c>
      <c r="K222" s="256">
        <f t="shared" ref="K222" si="584">+J222*$X$1</f>
        <v>1701.4</v>
      </c>
      <c r="L222" s="528">
        <f>F222+230</f>
        <v>1631.4</v>
      </c>
      <c r="M222" s="256">
        <f t="shared" ref="M222" si="585">+L222*$X$1</f>
        <v>1631.4</v>
      </c>
      <c r="N222" s="528">
        <f t="shared" ref="N222" si="586">F222+180</f>
        <v>1581.4</v>
      </c>
      <c r="O222" s="256">
        <f t="shared" ref="O222" si="587">+N222*$X$1</f>
        <v>1581.4</v>
      </c>
      <c r="P222" s="528">
        <f>F222+150</f>
        <v>1551.4</v>
      </c>
      <c r="Q222" s="256">
        <f t="shared" ref="Q222" si="588">+P222*$X$1</f>
        <v>1551.4</v>
      </c>
      <c r="R222" s="528">
        <f t="shared" ref="R222" si="589">F222+120</f>
        <v>1521.4</v>
      </c>
      <c r="S222" s="256">
        <f t="shared" ref="S222" si="590">+R222*$X$1</f>
        <v>1521.4</v>
      </c>
      <c r="T222" s="528">
        <f t="shared" ref="T222" si="591">F222+100</f>
        <v>1501.4</v>
      </c>
      <c r="U222" s="256">
        <f t="shared" ref="U222" si="592">+T222*$X$1</f>
        <v>1501.4</v>
      </c>
      <c r="V222" s="528">
        <f>F222+80</f>
        <v>1481.4</v>
      </c>
      <c r="W222" s="256">
        <f t="shared" ref="W222" si="593">+V222*$X$1</f>
        <v>1481.4</v>
      </c>
      <c r="X222" s="135"/>
      <c r="Y222" s="144"/>
      <c r="Z222" s="135"/>
      <c r="AA222" s="135"/>
      <c r="AB222" s="178">
        <v>466</v>
      </c>
    </row>
    <row r="223" spans="1:38" ht="12.6" customHeight="1" x14ac:dyDescent="0.2">
      <c r="A223" s="17"/>
      <c r="B223" s="668" t="s">
        <v>964</v>
      </c>
      <c r="C223" s="669"/>
      <c r="D223" s="669"/>
      <c r="E223" s="669"/>
      <c r="F223" s="324"/>
      <c r="G223" s="271"/>
      <c r="H223" s="520"/>
      <c r="I223" s="663" t="s">
        <v>358</v>
      </c>
      <c r="J223" s="664"/>
      <c r="K223" s="664"/>
      <c r="L223" s="664"/>
      <c r="M223" s="665"/>
      <c r="N223" s="520">
        <v>1860</v>
      </c>
      <c r="O223" s="255">
        <f t="shared" ref="O223:W229" si="594">+N223*$X$1</f>
        <v>1860</v>
      </c>
      <c r="P223" s="520">
        <v>1850</v>
      </c>
      <c r="Q223" s="255">
        <f t="shared" si="594"/>
        <v>1850</v>
      </c>
      <c r="R223" s="520">
        <v>1610</v>
      </c>
      <c r="S223" s="255">
        <f t="shared" si="594"/>
        <v>1610</v>
      </c>
      <c r="T223" s="520">
        <v>1480</v>
      </c>
      <c r="U223" s="255">
        <f t="shared" si="594"/>
        <v>1480</v>
      </c>
      <c r="V223" s="520">
        <v>1368</v>
      </c>
      <c r="W223" s="255">
        <f t="shared" si="594"/>
        <v>1368</v>
      </c>
      <c r="X223" s="135"/>
      <c r="Y223" s="135"/>
      <c r="Z223" s="135"/>
      <c r="AA223" s="135"/>
      <c r="AB223" s="178">
        <v>520</v>
      </c>
    </row>
    <row r="224" spans="1:38" ht="12.6" customHeight="1" x14ac:dyDescent="0.2">
      <c r="A224" s="17"/>
      <c r="B224" s="668" t="s">
        <v>963</v>
      </c>
      <c r="C224" s="669"/>
      <c r="D224" s="669"/>
      <c r="E224" s="669"/>
      <c r="F224" s="323"/>
      <c r="G224" s="298"/>
      <c r="H224" s="528"/>
      <c r="I224" s="680" t="s">
        <v>358</v>
      </c>
      <c r="J224" s="681"/>
      <c r="K224" s="681"/>
      <c r="L224" s="681"/>
      <c r="M224" s="682"/>
      <c r="N224" s="528">
        <v>2237</v>
      </c>
      <c r="O224" s="256">
        <f t="shared" si="594"/>
        <v>2237</v>
      </c>
      <c r="P224" s="528">
        <v>2227</v>
      </c>
      <c r="Q224" s="256">
        <f t="shared" si="594"/>
        <v>2227</v>
      </c>
      <c r="R224" s="528">
        <v>1937</v>
      </c>
      <c r="S224" s="256">
        <f t="shared" si="594"/>
        <v>1937</v>
      </c>
      <c r="T224" s="528">
        <v>1778</v>
      </c>
      <c r="U224" s="256">
        <f t="shared" si="594"/>
        <v>1778</v>
      </c>
      <c r="V224" s="528">
        <v>1642</v>
      </c>
      <c r="W224" s="256">
        <f t="shared" si="594"/>
        <v>1642</v>
      </c>
      <c r="X224" s="135"/>
      <c r="Y224" s="135"/>
      <c r="Z224" s="135"/>
      <c r="AA224" s="135"/>
      <c r="AB224" s="178">
        <v>521</v>
      </c>
    </row>
    <row r="225" spans="1:34" ht="12.6" customHeight="1" x14ac:dyDescent="0.2">
      <c r="A225" s="17"/>
      <c r="B225" s="668" t="s">
        <v>961</v>
      </c>
      <c r="C225" s="669"/>
      <c r="D225" s="669"/>
      <c r="E225" s="669"/>
      <c r="F225" s="324"/>
      <c r="G225" s="271"/>
      <c r="H225" s="520"/>
      <c r="I225" s="255"/>
      <c r="J225" s="68"/>
      <c r="K225" s="255"/>
      <c r="L225" s="520"/>
      <c r="M225" s="255"/>
      <c r="N225" s="520">
        <v>1295</v>
      </c>
      <c r="O225" s="255">
        <f t="shared" si="594"/>
        <v>1295</v>
      </c>
      <c r="P225" s="520">
        <v>1274</v>
      </c>
      <c r="Q225" s="255">
        <f t="shared" si="594"/>
        <v>1274</v>
      </c>
      <c r="R225" s="520">
        <v>1134</v>
      </c>
      <c r="S225" s="255">
        <f t="shared" si="594"/>
        <v>1134</v>
      </c>
      <c r="T225" s="520">
        <v>1057</v>
      </c>
      <c r="U225" s="255">
        <f t="shared" si="594"/>
        <v>1057</v>
      </c>
      <c r="V225" s="520">
        <v>991</v>
      </c>
      <c r="W225" s="255">
        <f t="shared" si="594"/>
        <v>991</v>
      </c>
      <c r="X225" s="135"/>
      <c r="Y225" s="135"/>
      <c r="Z225" s="135"/>
      <c r="AA225" s="135"/>
      <c r="AB225" s="178">
        <v>527</v>
      </c>
    </row>
    <row r="226" spans="1:34" ht="12.6" customHeight="1" x14ac:dyDescent="0.2">
      <c r="A226" s="17"/>
      <c r="B226" s="652" t="s">
        <v>550</v>
      </c>
      <c r="C226" s="656"/>
      <c r="D226" s="656"/>
      <c r="E226" s="656"/>
      <c r="F226" s="323">
        <f>0.7*X2</f>
        <v>1078</v>
      </c>
      <c r="G226" s="298">
        <f t="shared" si="581"/>
        <v>1078</v>
      </c>
      <c r="H226" s="528"/>
      <c r="I226" s="256"/>
      <c r="J226" s="82">
        <f t="shared" ref="J226:J228" si="595">F226+300</f>
        <v>1378</v>
      </c>
      <c r="K226" s="256">
        <f t="shared" ref="K226:K228" si="596">+J226*$X$1</f>
        <v>1378</v>
      </c>
      <c r="L226" s="528">
        <f>F226+230</f>
        <v>1308</v>
      </c>
      <c r="M226" s="256">
        <f t="shared" ref="M226:M228" si="597">+L226*$X$1</f>
        <v>1308</v>
      </c>
      <c r="N226" s="528">
        <f t="shared" ref="N226:N229" si="598">F226+180</f>
        <v>1258</v>
      </c>
      <c r="O226" s="256">
        <f t="shared" si="594"/>
        <v>1258</v>
      </c>
      <c r="P226" s="528">
        <f>F226+150</f>
        <v>1228</v>
      </c>
      <c r="Q226" s="256">
        <f t="shared" si="594"/>
        <v>1228</v>
      </c>
      <c r="R226" s="528">
        <f t="shared" ref="R226:R229" si="599">F226+120</f>
        <v>1198</v>
      </c>
      <c r="S226" s="256">
        <f t="shared" si="594"/>
        <v>1198</v>
      </c>
      <c r="T226" s="528">
        <f t="shared" ref="T226:T229" si="600">F226+100</f>
        <v>1178</v>
      </c>
      <c r="U226" s="256">
        <f t="shared" si="594"/>
        <v>1178</v>
      </c>
      <c r="V226" s="528">
        <f>F226+80</f>
        <v>1158</v>
      </c>
      <c r="W226" s="256">
        <f t="shared" si="594"/>
        <v>1158</v>
      </c>
      <c r="X226" s="135"/>
      <c r="Y226" s="135"/>
      <c r="Z226" s="135"/>
      <c r="AA226" s="135"/>
      <c r="AB226" s="178">
        <v>528</v>
      </c>
    </row>
    <row r="227" spans="1:34" ht="12.6" customHeight="1" x14ac:dyDescent="0.2">
      <c r="A227" s="17"/>
      <c r="B227" s="657" t="s">
        <v>326</v>
      </c>
      <c r="C227" s="658"/>
      <c r="D227" s="658"/>
      <c r="E227" s="659"/>
      <c r="F227" s="270">
        <v>4940</v>
      </c>
      <c r="G227" s="276">
        <f t="shared" ref="G227:G232" si="601">+F227*$X$1</f>
        <v>4940</v>
      </c>
      <c r="H227" s="520"/>
      <c r="I227" s="255"/>
      <c r="J227" s="68"/>
      <c r="K227" s="255"/>
      <c r="L227" s="520">
        <f>F227+280</f>
        <v>5220</v>
      </c>
      <c r="M227" s="255">
        <f t="shared" si="597"/>
        <v>5220</v>
      </c>
      <c r="N227" s="520">
        <f>F227+230</f>
        <v>5170</v>
      </c>
      <c r="O227" s="255">
        <f t="shared" si="594"/>
        <v>5170</v>
      </c>
      <c r="P227" s="520">
        <f>F227+200</f>
        <v>5140</v>
      </c>
      <c r="Q227" s="255">
        <f t="shared" si="594"/>
        <v>5140</v>
      </c>
      <c r="R227" s="520">
        <f>F227+160</f>
        <v>5100</v>
      </c>
      <c r="S227" s="255">
        <f t="shared" si="594"/>
        <v>5100</v>
      </c>
      <c r="T227" s="520">
        <f>F227+140</f>
        <v>5080</v>
      </c>
      <c r="U227" s="255">
        <f t="shared" si="594"/>
        <v>5080</v>
      </c>
      <c r="V227" s="520">
        <f>F227+120</f>
        <v>5060</v>
      </c>
      <c r="W227" s="255">
        <f t="shared" si="594"/>
        <v>5060</v>
      </c>
      <c r="X227" s="135"/>
      <c r="Y227" s="135"/>
      <c r="Z227" s="135"/>
      <c r="AA227" s="135"/>
      <c r="AB227" s="178"/>
    </row>
    <row r="228" spans="1:34" ht="12.6" customHeight="1" x14ac:dyDescent="0.2">
      <c r="A228" s="17"/>
      <c r="B228" s="640" t="s">
        <v>949</v>
      </c>
      <c r="C228" s="641"/>
      <c r="D228" s="641"/>
      <c r="E228" s="642"/>
      <c r="F228" s="323">
        <f>1.09*X2</f>
        <v>1678.6000000000001</v>
      </c>
      <c r="G228" s="298">
        <f t="shared" si="601"/>
        <v>1678.6000000000001</v>
      </c>
      <c r="H228" s="528"/>
      <c r="I228" s="256"/>
      <c r="J228" s="82">
        <f t="shared" si="595"/>
        <v>1978.6000000000001</v>
      </c>
      <c r="K228" s="256">
        <f t="shared" si="596"/>
        <v>1978.6000000000001</v>
      </c>
      <c r="L228" s="528">
        <f>F228+230</f>
        <v>1908.6000000000001</v>
      </c>
      <c r="M228" s="256">
        <f t="shared" si="597"/>
        <v>1908.6000000000001</v>
      </c>
      <c r="N228" s="528">
        <f t="shared" si="598"/>
        <v>1858.6000000000001</v>
      </c>
      <c r="O228" s="256">
        <f t="shared" si="594"/>
        <v>1858.6000000000001</v>
      </c>
      <c r="P228" s="528">
        <f>F228+150</f>
        <v>1828.6000000000001</v>
      </c>
      <c r="Q228" s="256">
        <f t="shared" si="594"/>
        <v>1828.6000000000001</v>
      </c>
      <c r="R228" s="528">
        <f t="shared" si="599"/>
        <v>1798.6000000000001</v>
      </c>
      <c r="S228" s="256">
        <f t="shared" si="594"/>
        <v>1798.6000000000001</v>
      </c>
      <c r="T228" s="528">
        <f t="shared" si="600"/>
        <v>1778.6000000000001</v>
      </c>
      <c r="U228" s="256">
        <f t="shared" si="594"/>
        <v>1778.6000000000001</v>
      </c>
      <c r="V228" s="528">
        <f>F228+80</f>
        <v>1758.6000000000001</v>
      </c>
      <c r="W228" s="256">
        <f t="shared" si="594"/>
        <v>1758.6000000000001</v>
      </c>
      <c r="X228" s="135"/>
      <c r="Y228" s="135"/>
      <c r="Z228" s="135"/>
      <c r="AA228" s="135"/>
      <c r="AB228" s="178">
        <v>534</v>
      </c>
    </row>
    <row r="229" spans="1:34" ht="12.6" customHeight="1" x14ac:dyDescent="0.2">
      <c r="A229" s="17"/>
      <c r="B229" s="657" t="s">
        <v>893</v>
      </c>
      <c r="C229" s="677"/>
      <c r="D229" s="677"/>
      <c r="E229" s="678"/>
      <c r="F229" s="270">
        <v>180</v>
      </c>
      <c r="G229" s="276">
        <f t="shared" ref="G229" si="602">+F229*$X$1</f>
        <v>180</v>
      </c>
      <c r="H229" s="520"/>
      <c r="I229" s="255"/>
      <c r="J229" s="68"/>
      <c r="K229" s="255"/>
      <c r="L229" s="520"/>
      <c r="M229" s="255"/>
      <c r="N229" s="520">
        <f t="shared" si="598"/>
        <v>360</v>
      </c>
      <c r="O229" s="255">
        <f t="shared" si="594"/>
        <v>360</v>
      </c>
      <c r="P229" s="520">
        <f>F229+150</f>
        <v>330</v>
      </c>
      <c r="Q229" s="255">
        <f t="shared" si="594"/>
        <v>330</v>
      </c>
      <c r="R229" s="520">
        <f t="shared" si="599"/>
        <v>300</v>
      </c>
      <c r="S229" s="255">
        <f t="shared" si="594"/>
        <v>300</v>
      </c>
      <c r="T229" s="520">
        <f t="shared" si="600"/>
        <v>280</v>
      </c>
      <c r="U229" s="255">
        <f t="shared" si="594"/>
        <v>280</v>
      </c>
      <c r="V229" s="520">
        <f>F229+80</f>
        <v>260</v>
      </c>
      <c r="W229" s="255">
        <f t="shared" si="594"/>
        <v>260</v>
      </c>
      <c r="X229" s="135"/>
      <c r="Y229" s="135"/>
      <c r="Z229" s="135"/>
      <c r="AA229" s="135"/>
      <c r="AB229" s="178">
        <v>537</v>
      </c>
    </row>
    <row r="230" spans="1:34" ht="12.6" customHeight="1" x14ac:dyDescent="0.2">
      <c r="A230" s="17"/>
      <c r="B230" s="640" t="s">
        <v>327</v>
      </c>
      <c r="C230" s="641"/>
      <c r="D230" s="641"/>
      <c r="E230" s="642"/>
      <c r="F230" s="280">
        <v>1530</v>
      </c>
      <c r="G230" s="275">
        <f t="shared" si="601"/>
        <v>1530</v>
      </c>
      <c r="H230" s="528"/>
      <c r="I230" s="256"/>
      <c r="J230" s="82">
        <f t="shared" ref="J230" si="603">F230+300</f>
        <v>1830</v>
      </c>
      <c r="K230" s="256">
        <f t="shared" ref="K230" si="604">+J230*$X$1</f>
        <v>1830</v>
      </c>
      <c r="L230" s="528">
        <f>F230+230</f>
        <v>1760</v>
      </c>
      <c r="M230" s="256">
        <f t="shared" ref="M230" si="605">+L230*$X$1</f>
        <v>1760</v>
      </c>
      <c r="N230" s="528">
        <f t="shared" ref="N230" si="606">F230+180</f>
        <v>1710</v>
      </c>
      <c r="O230" s="256">
        <f t="shared" ref="O230" si="607">+N230*$X$1</f>
        <v>1710</v>
      </c>
      <c r="P230" s="528">
        <f>F230+150</f>
        <v>1680</v>
      </c>
      <c r="Q230" s="256">
        <f t="shared" ref="Q230" si="608">+P230*$X$1</f>
        <v>1680</v>
      </c>
      <c r="R230" s="528">
        <f t="shared" ref="R230" si="609">F230+120</f>
        <v>1650</v>
      </c>
      <c r="S230" s="256">
        <f t="shared" ref="S230" si="610">+R230*$X$1</f>
        <v>1650</v>
      </c>
      <c r="T230" s="528">
        <f t="shared" ref="T230" si="611">F230+100</f>
        <v>1630</v>
      </c>
      <c r="U230" s="256">
        <f t="shared" ref="U230" si="612">+T230*$X$1</f>
        <v>1630</v>
      </c>
      <c r="V230" s="528">
        <f>F230+80</f>
        <v>1610</v>
      </c>
      <c r="W230" s="256">
        <f t="shared" ref="W230" si="613">+V230*$X$1</f>
        <v>1610</v>
      </c>
      <c r="X230" s="135"/>
      <c r="Y230" s="135"/>
      <c r="Z230" s="135"/>
      <c r="AA230" s="135"/>
      <c r="AB230" s="178"/>
    </row>
    <row r="231" spans="1:34" ht="12.6" customHeight="1" x14ac:dyDescent="0.2">
      <c r="A231" s="17"/>
      <c r="B231" s="686" t="s">
        <v>172</v>
      </c>
      <c r="C231" s="687"/>
      <c r="D231" s="687"/>
      <c r="E231" s="687"/>
      <c r="F231" s="270">
        <v>240</v>
      </c>
      <c r="G231" s="305">
        <f>+F231*$X$1</f>
        <v>240</v>
      </c>
      <c r="H231" s="683" t="s">
        <v>318</v>
      </c>
      <c r="I231" s="683"/>
      <c r="J231" s="684"/>
      <c r="K231" s="684"/>
      <c r="L231" s="684"/>
      <c r="M231" s="685"/>
      <c r="N231" s="520">
        <f t="shared" ref="N231" si="614">F231+180</f>
        <v>420</v>
      </c>
      <c r="O231" s="255">
        <f t="shared" ref="O231" si="615">+N231*$X$1</f>
        <v>420</v>
      </c>
      <c r="P231" s="520">
        <f>F231+150</f>
        <v>390</v>
      </c>
      <c r="Q231" s="255">
        <f t="shared" ref="Q231" si="616">+P231*$X$1</f>
        <v>390</v>
      </c>
      <c r="R231" s="520">
        <f t="shared" ref="R231" si="617">F231+120</f>
        <v>360</v>
      </c>
      <c r="S231" s="255">
        <f t="shared" ref="S231" si="618">+R231*$X$1</f>
        <v>360</v>
      </c>
      <c r="T231" s="520"/>
      <c r="U231" s="255"/>
      <c r="V231" s="520"/>
      <c r="W231" s="255"/>
      <c r="X231" s="135"/>
      <c r="Y231" s="135"/>
      <c r="Z231" s="135"/>
      <c r="AA231" s="135"/>
      <c r="AB231" s="178">
        <v>539</v>
      </c>
    </row>
    <row r="232" spans="1:34" ht="12.6" customHeight="1" x14ac:dyDescent="0.2">
      <c r="A232" s="17"/>
      <c r="B232" s="652" t="s">
        <v>423</v>
      </c>
      <c r="C232" s="656"/>
      <c r="D232" s="656"/>
      <c r="E232" s="656"/>
      <c r="F232" s="280">
        <v>610</v>
      </c>
      <c r="G232" s="298">
        <f t="shared" si="601"/>
        <v>610</v>
      </c>
      <c r="H232" s="250"/>
      <c r="I232" s="250"/>
      <c r="J232" s="82"/>
      <c r="K232" s="256"/>
      <c r="L232" s="528"/>
      <c r="M232" s="256"/>
      <c r="N232" s="528"/>
      <c r="O232" s="256"/>
      <c r="P232" s="528"/>
      <c r="Q232" s="256"/>
      <c r="R232" s="528"/>
      <c r="S232" s="256"/>
      <c r="T232" s="528">
        <f t="shared" ref="T232:T233" si="619">F232+100</f>
        <v>710</v>
      </c>
      <c r="U232" s="256">
        <f t="shared" ref="U232:U233" si="620">+T232*$X$1</f>
        <v>710</v>
      </c>
      <c r="V232" s="528">
        <f>F232+80</f>
        <v>690</v>
      </c>
      <c r="W232" s="256">
        <f t="shared" ref="W232:W233" si="621">+V232*$X$1</f>
        <v>690</v>
      </c>
      <c r="X232" s="135"/>
      <c r="Y232" s="135"/>
      <c r="Z232" s="135"/>
      <c r="AA232" s="135"/>
      <c r="AB232" s="178">
        <v>540</v>
      </c>
    </row>
    <row r="233" spans="1:34" ht="12.6" customHeight="1" x14ac:dyDescent="0.2">
      <c r="A233" s="17"/>
      <c r="B233" s="686" t="s">
        <v>425</v>
      </c>
      <c r="C233" s="761"/>
      <c r="D233" s="761"/>
      <c r="E233" s="761"/>
      <c r="F233" s="270">
        <v>1040</v>
      </c>
      <c r="G233" s="271">
        <f t="shared" ref="G233" si="622">+F233*$X$1</f>
        <v>1040</v>
      </c>
      <c r="H233" s="251"/>
      <c r="I233" s="251"/>
      <c r="J233" s="68"/>
      <c r="K233" s="255"/>
      <c r="L233" s="520"/>
      <c r="M233" s="255"/>
      <c r="N233" s="520"/>
      <c r="O233" s="255"/>
      <c r="P233" s="520"/>
      <c r="Q233" s="255"/>
      <c r="R233" s="520"/>
      <c r="S233" s="255"/>
      <c r="T233" s="520">
        <f t="shared" si="619"/>
        <v>1140</v>
      </c>
      <c r="U233" s="255">
        <f t="shared" si="620"/>
        <v>1140</v>
      </c>
      <c r="V233" s="520">
        <f>F233+80</f>
        <v>1120</v>
      </c>
      <c r="W233" s="255">
        <f t="shared" si="621"/>
        <v>1120</v>
      </c>
      <c r="X233" s="135"/>
      <c r="Y233" s="135"/>
      <c r="Z233" s="135"/>
      <c r="AA233" s="135"/>
      <c r="AB233" s="178" t="s">
        <v>502</v>
      </c>
    </row>
    <row r="234" spans="1:34" ht="12.6" customHeight="1" x14ac:dyDescent="0.2">
      <c r="A234" s="17"/>
      <c r="B234" s="640" t="s">
        <v>378</v>
      </c>
      <c r="C234" s="641"/>
      <c r="D234" s="641"/>
      <c r="E234" s="642"/>
      <c r="F234" s="323">
        <f>18.74*X2</f>
        <v>28859.599999999999</v>
      </c>
      <c r="G234" s="298">
        <f t="shared" ref="G234" si="623">+F234*$X$1</f>
        <v>28859.599999999999</v>
      </c>
      <c r="H234" s="528">
        <f>F234+850</f>
        <v>29709.599999999999</v>
      </c>
      <c r="I234" s="256">
        <f t="shared" ref="I234" si="624">+H234*$X$1</f>
        <v>29709.599999999999</v>
      </c>
      <c r="J234" s="82">
        <f>F234+350</f>
        <v>29209.599999999999</v>
      </c>
      <c r="K234" s="256">
        <f t="shared" ref="K234" si="625">+J234*$X$1</f>
        <v>29209.599999999999</v>
      </c>
      <c r="L234" s="528">
        <f>F234+280</f>
        <v>29139.599999999999</v>
      </c>
      <c r="M234" s="256">
        <f t="shared" ref="M234" si="626">+L234*$X$1</f>
        <v>29139.599999999999</v>
      </c>
      <c r="N234" s="528">
        <f>F234+230</f>
        <v>29089.599999999999</v>
      </c>
      <c r="O234" s="256">
        <f t="shared" ref="O234" si="627">+N234*$X$1</f>
        <v>29089.599999999999</v>
      </c>
      <c r="P234" s="528">
        <f>F234+200</f>
        <v>29059.599999999999</v>
      </c>
      <c r="Q234" s="256">
        <f t="shared" ref="Q234" si="628">+P234*$X$1</f>
        <v>29059.599999999999</v>
      </c>
      <c r="R234" s="528">
        <f>F234+160</f>
        <v>29019.599999999999</v>
      </c>
      <c r="S234" s="256">
        <f t="shared" ref="S234" si="629">+R234*$X$1</f>
        <v>29019.599999999999</v>
      </c>
      <c r="T234" s="528">
        <f>F234+140</f>
        <v>28999.599999999999</v>
      </c>
      <c r="U234" s="256">
        <f t="shared" ref="U234" si="630">+T234*$X$1</f>
        <v>28999.599999999999</v>
      </c>
      <c r="V234" s="528">
        <f>F234+120</f>
        <v>28979.599999999999</v>
      </c>
      <c r="W234" s="256">
        <f t="shared" ref="W234" si="631">+V234*$X$1</f>
        <v>28979.599999999999</v>
      </c>
      <c r="X234" s="135"/>
      <c r="Y234" s="135"/>
      <c r="Z234" s="135"/>
      <c r="AA234" s="135"/>
      <c r="AB234" s="178">
        <v>542</v>
      </c>
    </row>
    <row r="235" spans="1:34" ht="12.6" customHeight="1" x14ac:dyDescent="0.2">
      <c r="A235" s="17"/>
      <c r="B235" s="3"/>
      <c r="C235" s="3"/>
      <c r="D235" s="3"/>
      <c r="E235" s="3"/>
      <c r="F235" s="4"/>
      <c r="G235" s="4"/>
      <c r="H235" s="3"/>
      <c r="I235" s="3"/>
      <c r="J235" s="3"/>
      <c r="K235" s="154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AB235" s="89"/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4"/>
    </row>
    <row r="238" spans="1:34" ht="15.75" customHeight="1" x14ac:dyDescent="0.2">
      <c r="A238" s="17"/>
      <c r="B238" s="950" t="s">
        <v>11</v>
      </c>
      <c r="C238" s="1135" t="s">
        <v>12</v>
      </c>
      <c r="D238" s="1136"/>
      <c r="E238" s="1136"/>
      <c r="F238" s="674" t="s">
        <v>13</v>
      </c>
      <c r="G238" s="674" t="s">
        <v>13</v>
      </c>
      <c r="H238" s="670" t="s">
        <v>701</v>
      </c>
      <c r="I238" s="670"/>
      <c r="J238" s="671"/>
      <c r="K238" s="671"/>
      <c r="L238" s="671"/>
      <c r="M238" s="671"/>
      <c r="N238" s="671"/>
      <c r="O238" s="671"/>
      <c r="P238" s="671"/>
      <c r="Q238" s="671"/>
      <c r="R238" s="671"/>
      <c r="S238" s="671"/>
      <c r="T238" s="671"/>
      <c r="U238" s="671"/>
      <c r="V238" s="671"/>
      <c r="W238" s="671"/>
      <c r="X238" s="779" t="s">
        <v>14</v>
      </c>
      <c r="Y238" s="793"/>
      <c r="Z238" s="793"/>
      <c r="AA238" s="966"/>
      <c r="AB238" s="777" t="s">
        <v>15</v>
      </c>
      <c r="AF238" s="759" t="s">
        <v>3</v>
      </c>
      <c r="AG238" s="760"/>
      <c r="AH238" s="760"/>
    </row>
    <row r="239" spans="1:34" ht="11.25" customHeight="1" x14ac:dyDescent="0.2">
      <c r="A239" s="17"/>
      <c r="B239" s="950"/>
      <c r="C239" s="1136"/>
      <c r="D239" s="1136"/>
      <c r="E239" s="1136"/>
      <c r="F239" s="675"/>
      <c r="G239" s="675"/>
      <c r="H239" s="404"/>
      <c r="I239" s="396" t="s">
        <v>260</v>
      </c>
      <c r="J239" s="398"/>
      <c r="K239" s="396" t="s">
        <v>17</v>
      </c>
      <c r="L239" s="399"/>
      <c r="M239" s="399" t="s">
        <v>18</v>
      </c>
      <c r="N239" s="399"/>
      <c r="O239" s="396" t="s">
        <v>19</v>
      </c>
      <c r="P239" s="399"/>
      <c r="Q239" s="399" t="s">
        <v>261</v>
      </c>
      <c r="R239" s="399"/>
      <c r="S239" s="399" t="s">
        <v>20</v>
      </c>
      <c r="T239" s="399"/>
      <c r="U239" s="399" t="s">
        <v>21</v>
      </c>
      <c r="V239" s="399"/>
      <c r="W239" s="399" t="s">
        <v>22</v>
      </c>
      <c r="X239" s="794"/>
      <c r="Y239" s="795"/>
      <c r="Z239" s="795"/>
      <c r="AA239" s="967"/>
      <c r="AB239" s="778"/>
    </row>
    <row r="240" spans="1:34" ht="12.6" customHeight="1" x14ac:dyDescent="0.2">
      <c r="A240" s="17"/>
      <c r="B240" s="647" t="s">
        <v>424</v>
      </c>
      <c r="C240" s="648"/>
      <c r="D240" s="648"/>
      <c r="E240" s="648"/>
      <c r="F240" s="256"/>
      <c r="G240" s="256"/>
      <c r="H240" s="528"/>
      <c r="I240" s="528"/>
      <c r="J240" s="528"/>
      <c r="K240" s="256"/>
      <c r="L240" s="528"/>
      <c r="M240" s="256"/>
      <c r="N240" s="528"/>
      <c r="O240" s="256"/>
      <c r="P240" s="528"/>
      <c r="Q240" s="256"/>
      <c r="R240" s="528"/>
      <c r="S240" s="256"/>
      <c r="T240" s="528"/>
      <c r="U240" s="256"/>
      <c r="V240" s="82"/>
      <c r="W240" s="302"/>
      <c r="X240" s="135"/>
      <c r="Y240" s="135"/>
      <c r="Z240" s="135"/>
      <c r="AA240" s="135"/>
      <c r="AB240" s="178">
        <v>544</v>
      </c>
    </row>
    <row r="241" spans="1:28" ht="12.6" customHeight="1" x14ac:dyDescent="0.2">
      <c r="A241" s="17"/>
      <c r="B241" s="686" t="s">
        <v>925</v>
      </c>
      <c r="C241" s="1187"/>
      <c r="D241" s="1187"/>
      <c r="E241" s="1187"/>
      <c r="F241" s="270">
        <v>1029</v>
      </c>
      <c r="G241" s="255">
        <f t="shared" ref="G241" si="632">+F241*$X$1</f>
        <v>1029</v>
      </c>
      <c r="H241" s="251"/>
      <c r="I241" s="251"/>
      <c r="J241" s="520"/>
      <c r="K241" s="255"/>
      <c r="L241" s="520"/>
      <c r="M241" s="255"/>
      <c r="N241" s="520">
        <f>F241+230</f>
        <v>1259</v>
      </c>
      <c r="O241" s="255">
        <f t="shared" ref="O241" si="633">+N241*$X$1</f>
        <v>1259</v>
      </c>
      <c r="P241" s="520">
        <f>F241+200</f>
        <v>1229</v>
      </c>
      <c r="Q241" s="255">
        <f t="shared" ref="Q241" si="634">+P241*$X$1</f>
        <v>1229</v>
      </c>
      <c r="R241" s="520">
        <f>F241+160</f>
        <v>1189</v>
      </c>
      <c r="S241" s="255">
        <f t="shared" ref="S241" si="635">+R241*$X$1</f>
        <v>1189</v>
      </c>
      <c r="T241" s="520">
        <f>F241+140</f>
        <v>1169</v>
      </c>
      <c r="U241" s="255">
        <f t="shared" ref="U241" si="636">+T241*$X$1</f>
        <v>1169</v>
      </c>
      <c r="V241" s="520">
        <f>F241+120</f>
        <v>1149</v>
      </c>
      <c r="W241" s="255">
        <f t="shared" ref="W241" si="637">+V241*$X$1</f>
        <v>1149</v>
      </c>
      <c r="X241" s="119"/>
      <c r="Y241" s="119"/>
      <c r="Z241" s="119"/>
      <c r="AA241" s="119"/>
      <c r="AB241" s="178">
        <v>547</v>
      </c>
    </row>
    <row r="242" spans="1:28" ht="12.6" customHeight="1" x14ac:dyDescent="0.2">
      <c r="A242" s="17"/>
      <c r="B242" s="652" t="s">
        <v>926</v>
      </c>
      <c r="C242" s="653"/>
      <c r="D242" s="653"/>
      <c r="E242" s="653"/>
      <c r="F242" s="280">
        <v>2345</v>
      </c>
      <c r="G242" s="256">
        <f t="shared" ref="G242" si="638">+F242*$X$1</f>
        <v>2345</v>
      </c>
      <c r="H242" s="250"/>
      <c r="I242" s="250"/>
      <c r="J242" s="528"/>
      <c r="K242" s="256"/>
      <c r="L242" s="528"/>
      <c r="M242" s="256"/>
      <c r="N242" s="528">
        <f t="shared" ref="N242:N249" si="639">F242+230</f>
        <v>2575</v>
      </c>
      <c r="O242" s="256">
        <f t="shared" ref="O242:O247" si="640">+N242*$X$1</f>
        <v>2575</v>
      </c>
      <c r="P242" s="528">
        <f t="shared" ref="P242:P249" si="641">F242+200</f>
        <v>2545</v>
      </c>
      <c r="Q242" s="256">
        <f t="shared" ref="Q242:Q247" si="642">+P242*$X$1</f>
        <v>2545</v>
      </c>
      <c r="R242" s="528">
        <f t="shared" ref="R242:R249" si="643">F242+160</f>
        <v>2505</v>
      </c>
      <c r="S242" s="256">
        <f t="shared" ref="S242:S247" si="644">+R242*$X$1</f>
        <v>2505</v>
      </c>
      <c r="T242" s="528">
        <f t="shared" ref="T242:T249" si="645">F242+140</f>
        <v>2485</v>
      </c>
      <c r="U242" s="256">
        <f t="shared" ref="U242:U247" si="646">+T242*$X$1</f>
        <v>2485</v>
      </c>
      <c r="V242" s="528">
        <f t="shared" ref="V242:V249" si="647">F242+120</f>
        <v>2465</v>
      </c>
      <c r="W242" s="256">
        <f t="shared" ref="W242:W247" si="648">+V242*$X$1</f>
        <v>2465</v>
      </c>
      <c r="X242" s="119"/>
      <c r="Y242" s="119"/>
      <c r="Z242" s="119"/>
      <c r="AA242" s="119"/>
      <c r="AB242" s="178" t="s">
        <v>927</v>
      </c>
    </row>
    <row r="243" spans="1:28" ht="12.6" customHeight="1" x14ac:dyDescent="0.2">
      <c r="A243" s="17"/>
      <c r="B243" s="657" t="s">
        <v>328</v>
      </c>
      <c r="C243" s="689"/>
      <c r="D243" s="689"/>
      <c r="E243" s="690"/>
      <c r="F243" s="255">
        <v>4822</v>
      </c>
      <c r="G243" s="255">
        <f>+F243*$X$1</f>
        <v>4822</v>
      </c>
      <c r="H243" s="251"/>
      <c r="I243" s="251"/>
      <c r="J243" s="68">
        <f t="shared" ref="J243:J249" si="649">F243+350</f>
        <v>5172</v>
      </c>
      <c r="K243" s="255">
        <f t="shared" ref="K243:K247" si="650">+J243*$X$1</f>
        <v>5172</v>
      </c>
      <c r="L243" s="520">
        <f t="shared" ref="L243:L249" si="651">F243+280</f>
        <v>5102</v>
      </c>
      <c r="M243" s="255">
        <f t="shared" ref="M243:M247" si="652">+L243*$X$1</f>
        <v>5102</v>
      </c>
      <c r="N243" s="520">
        <f t="shared" si="639"/>
        <v>5052</v>
      </c>
      <c r="O243" s="255">
        <f t="shared" si="640"/>
        <v>5052</v>
      </c>
      <c r="P243" s="520">
        <f t="shared" si="641"/>
        <v>5022</v>
      </c>
      <c r="Q243" s="255">
        <f t="shared" si="642"/>
        <v>5022</v>
      </c>
      <c r="R243" s="520">
        <f t="shared" si="643"/>
        <v>4982</v>
      </c>
      <c r="S243" s="255">
        <f t="shared" si="644"/>
        <v>4982</v>
      </c>
      <c r="T243" s="520">
        <f t="shared" si="645"/>
        <v>4962</v>
      </c>
      <c r="U243" s="255">
        <f t="shared" si="646"/>
        <v>4962</v>
      </c>
      <c r="V243" s="520">
        <f t="shared" si="647"/>
        <v>4942</v>
      </c>
      <c r="W243" s="255">
        <f t="shared" si="648"/>
        <v>4942</v>
      </c>
      <c r="X243" s="119"/>
      <c r="Y243" s="119"/>
      <c r="Z243" s="119"/>
      <c r="AA243" s="119"/>
      <c r="AB243" s="352"/>
    </row>
    <row r="244" spans="1:28" ht="12.6" customHeight="1" x14ac:dyDescent="0.2">
      <c r="A244" s="17"/>
      <c r="B244" s="640" t="s">
        <v>438</v>
      </c>
      <c r="C244" s="641"/>
      <c r="D244" s="641"/>
      <c r="E244" s="642"/>
      <c r="F244" s="280">
        <v>1363</v>
      </c>
      <c r="G244" s="256">
        <f>+F244*$X$1</f>
        <v>1363</v>
      </c>
      <c r="H244" s="250"/>
      <c r="I244" s="250"/>
      <c r="J244" s="82">
        <f t="shared" si="649"/>
        <v>1713</v>
      </c>
      <c r="K244" s="256">
        <f t="shared" si="650"/>
        <v>1713</v>
      </c>
      <c r="L244" s="528">
        <f t="shared" si="651"/>
        <v>1643</v>
      </c>
      <c r="M244" s="256">
        <f t="shared" si="652"/>
        <v>1643</v>
      </c>
      <c r="N244" s="528">
        <f t="shared" si="639"/>
        <v>1593</v>
      </c>
      <c r="O244" s="256">
        <f t="shared" si="640"/>
        <v>1593</v>
      </c>
      <c r="P244" s="528">
        <f t="shared" si="641"/>
        <v>1563</v>
      </c>
      <c r="Q244" s="256">
        <f t="shared" si="642"/>
        <v>1563</v>
      </c>
      <c r="R244" s="528">
        <f t="shared" si="643"/>
        <v>1523</v>
      </c>
      <c r="S244" s="256">
        <f t="shared" si="644"/>
        <v>1523</v>
      </c>
      <c r="T244" s="528">
        <f t="shared" si="645"/>
        <v>1503</v>
      </c>
      <c r="U244" s="256">
        <f t="shared" si="646"/>
        <v>1503</v>
      </c>
      <c r="V244" s="528">
        <f t="shared" si="647"/>
        <v>1483</v>
      </c>
      <c r="W244" s="256">
        <f t="shared" si="648"/>
        <v>1483</v>
      </c>
      <c r="X244" s="135"/>
      <c r="Y244" s="135"/>
      <c r="Z244" s="135"/>
      <c r="AA244" s="135"/>
      <c r="AB244" s="178">
        <v>550</v>
      </c>
    </row>
    <row r="245" spans="1:28" ht="12.6" customHeight="1" x14ac:dyDescent="0.2">
      <c r="A245" s="17"/>
      <c r="B245" s="657" t="s">
        <v>398</v>
      </c>
      <c r="C245" s="689"/>
      <c r="D245" s="689"/>
      <c r="E245" s="690"/>
      <c r="F245" s="255">
        <v>4645</v>
      </c>
      <c r="G245" s="255">
        <f>+F245*$X$1</f>
        <v>4645</v>
      </c>
      <c r="H245" s="251"/>
      <c r="I245" s="251"/>
      <c r="J245" s="68">
        <f t="shared" si="649"/>
        <v>4995</v>
      </c>
      <c r="K245" s="255">
        <f t="shared" si="650"/>
        <v>4995</v>
      </c>
      <c r="L245" s="520">
        <f t="shared" si="651"/>
        <v>4925</v>
      </c>
      <c r="M245" s="255">
        <f t="shared" si="652"/>
        <v>4925</v>
      </c>
      <c r="N245" s="520">
        <f t="shared" si="639"/>
        <v>4875</v>
      </c>
      <c r="O245" s="255">
        <f t="shared" si="640"/>
        <v>4875</v>
      </c>
      <c r="P245" s="520">
        <f t="shared" si="641"/>
        <v>4845</v>
      </c>
      <c r="Q245" s="255">
        <f t="shared" si="642"/>
        <v>4845</v>
      </c>
      <c r="R245" s="520">
        <f t="shared" si="643"/>
        <v>4805</v>
      </c>
      <c r="S245" s="255">
        <f t="shared" si="644"/>
        <v>4805</v>
      </c>
      <c r="T245" s="520">
        <f t="shared" si="645"/>
        <v>4785</v>
      </c>
      <c r="U245" s="255">
        <f t="shared" si="646"/>
        <v>4785</v>
      </c>
      <c r="V245" s="520">
        <f t="shared" si="647"/>
        <v>4765</v>
      </c>
      <c r="W245" s="255">
        <f t="shared" si="648"/>
        <v>4765</v>
      </c>
      <c r="X245" s="119"/>
      <c r="Y245" s="119"/>
      <c r="Z245" s="119"/>
      <c r="AA245" s="119"/>
      <c r="AB245" s="178">
        <v>551</v>
      </c>
    </row>
    <row r="246" spans="1:28" ht="12.6" customHeight="1" x14ac:dyDescent="0.2">
      <c r="A246" s="17"/>
      <c r="B246" s="710" t="s">
        <v>396</v>
      </c>
      <c r="C246" s="711"/>
      <c r="D246" s="711"/>
      <c r="E246" s="712"/>
      <c r="F246" s="280">
        <v>5194</v>
      </c>
      <c r="G246" s="256">
        <f>+F246*$X$1</f>
        <v>5194</v>
      </c>
      <c r="H246" s="250"/>
      <c r="I246" s="250"/>
      <c r="J246" s="82">
        <f t="shared" si="649"/>
        <v>5544</v>
      </c>
      <c r="K246" s="256">
        <f t="shared" si="650"/>
        <v>5544</v>
      </c>
      <c r="L246" s="528">
        <f t="shared" si="651"/>
        <v>5474</v>
      </c>
      <c r="M246" s="256">
        <f t="shared" si="652"/>
        <v>5474</v>
      </c>
      <c r="N246" s="528">
        <f t="shared" si="639"/>
        <v>5424</v>
      </c>
      <c r="O246" s="256">
        <f t="shared" si="640"/>
        <v>5424</v>
      </c>
      <c r="P246" s="528">
        <f t="shared" si="641"/>
        <v>5394</v>
      </c>
      <c r="Q246" s="256">
        <f t="shared" si="642"/>
        <v>5394</v>
      </c>
      <c r="R246" s="528">
        <f t="shared" si="643"/>
        <v>5354</v>
      </c>
      <c r="S246" s="256">
        <f t="shared" si="644"/>
        <v>5354</v>
      </c>
      <c r="T246" s="528">
        <f t="shared" si="645"/>
        <v>5334</v>
      </c>
      <c r="U246" s="256">
        <f t="shared" si="646"/>
        <v>5334</v>
      </c>
      <c r="V246" s="528">
        <f t="shared" si="647"/>
        <v>5314</v>
      </c>
      <c r="W246" s="256">
        <f t="shared" si="648"/>
        <v>5314</v>
      </c>
      <c r="X246" s="119"/>
      <c r="Y246" s="119"/>
      <c r="Z246" s="119"/>
      <c r="AA246" s="119"/>
      <c r="AB246" s="178" t="s">
        <v>395</v>
      </c>
    </row>
    <row r="247" spans="1:28" ht="12.6" customHeight="1" x14ac:dyDescent="0.2">
      <c r="A247" s="17"/>
      <c r="B247" s="985" t="s">
        <v>397</v>
      </c>
      <c r="C247" s="986"/>
      <c r="D247" s="986"/>
      <c r="E247" s="987"/>
      <c r="F247" s="270">
        <v>5645</v>
      </c>
      <c r="G247" s="255">
        <f>+F247*$X$1</f>
        <v>5645</v>
      </c>
      <c r="H247" s="251"/>
      <c r="I247" s="251"/>
      <c r="J247" s="68">
        <f t="shared" si="649"/>
        <v>5995</v>
      </c>
      <c r="K247" s="255">
        <f t="shared" si="650"/>
        <v>5995</v>
      </c>
      <c r="L247" s="520">
        <f t="shared" si="651"/>
        <v>5925</v>
      </c>
      <c r="M247" s="255">
        <f t="shared" si="652"/>
        <v>5925</v>
      </c>
      <c r="N247" s="520">
        <f t="shared" si="639"/>
        <v>5875</v>
      </c>
      <c r="O247" s="255">
        <f t="shared" si="640"/>
        <v>5875</v>
      </c>
      <c r="P247" s="520">
        <f t="shared" si="641"/>
        <v>5845</v>
      </c>
      <c r="Q247" s="255">
        <f t="shared" si="642"/>
        <v>5845</v>
      </c>
      <c r="R247" s="520">
        <f t="shared" si="643"/>
        <v>5805</v>
      </c>
      <c r="S247" s="255">
        <f t="shared" si="644"/>
        <v>5805</v>
      </c>
      <c r="T247" s="520">
        <f t="shared" si="645"/>
        <v>5785</v>
      </c>
      <c r="U247" s="255">
        <f t="shared" si="646"/>
        <v>5785</v>
      </c>
      <c r="V247" s="520">
        <f t="shared" si="647"/>
        <v>5765</v>
      </c>
      <c r="W247" s="255">
        <f t="shared" si="648"/>
        <v>5765</v>
      </c>
      <c r="X247" s="119"/>
      <c r="Y247" s="119"/>
      <c r="Z247" s="119"/>
      <c r="AA247" s="119"/>
      <c r="AB247" s="178" t="s">
        <v>399</v>
      </c>
    </row>
    <row r="248" spans="1:28" ht="12.6" customHeight="1" x14ac:dyDescent="0.2">
      <c r="A248" s="17"/>
      <c r="B248" s="647" t="s">
        <v>364</v>
      </c>
      <c r="C248" s="688"/>
      <c r="D248" s="688"/>
      <c r="E248" s="688"/>
      <c r="F248" s="256">
        <v>4960</v>
      </c>
      <c r="G248" s="256">
        <f t="shared" ref="G248" si="653">+F248*$X$1</f>
        <v>4960</v>
      </c>
      <c r="H248" s="528"/>
      <c r="I248" s="256"/>
      <c r="J248" s="82">
        <f t="shared" si="649"/>
        <v>5310</v>
      </c>
      <c r="K248" s="256">
        <f t="shared" ref="K248" si="654">+J248*$X$1</f>
        <v>5310</v>
      </c>
      <c r="L248" s="528">
        <f t="shared" si="651"/>
        <v>5240</v>
      </c>
      <c r="M248" s="256">
        <f t="shared" ref="M248" si="655">+L248*$X$1</f>
        <v>5240</v>
      </c>
      <c r="N248" s="528">
        <f t="shared" si="639"/>
        <v>5190</v>
      </c>
      <c r="O248" s="256">
        <f t="shared" ref="O248" si="656">+N248*$X$1</f>
        <v>5190</v>
      </c>
      <c r="P248" s="528">
        <f t="shared" si="641"/>
        <v>5160</v>
      </c>
      <c r="Q248" s="256">
        <f t="shared" ref="Q248" si="657">+P248*$X$1</f>
        <v>5160</v>
      </c>
      <c r="R248" s="528">
        <f t="shared" si="643"/>
        <v>5120</v>
      </c>
      <c r="S248" s="256">
        <f t="shared" ref="S248" si="658">+R248*$X$1</f>
        <v>5120</v>
      </c>
      <c r="T248" s="528">
        <f t="shared" si="645"/>
        <v>5100</v>
      </c>
      <c r="U248" s="256">
        <f t="shared" ref="U248" si="659">+T248*$X$1</f>
        <v>5100</v>
      </c>
      <c r="V248" s="528">
        <f t="shared" si="647"/>
        <v>5080</v>
      </c>
      <c r="W248" s="256">
        <f t="shared" ref="W248" si="660">+V248*$X$1</f>
        <v>5080</v>
      </c>
      <c r="X248" s="119"/>
      <c r="Y248" s="119"/>
      <c r="Z248" s="119"/>
      <c r="AA248" s="119"/>
      <c r="AB248" s="178">
        <v>553</v>
      </c>
    </row>
    <row r="249" spans="1:28" ht="12.6" customHeight="1" x14ac:dyDescent="0.2">
      <c r="A249" s="17"/>
      <c r="B249" s="635" t="s">
        <v>989</v>
      </c>
      <c r="C249" s="636"/>
      <c r="D249" s="636"/>
      <c r="E249" s="636"/>
      <c r="F249" s="321">
        <f>31.1*X2</f>
        <v>47894</v>
      </c>
      <c r="G249" s="255">
        <f>+F249*$X$1</f>
        <v>47894</v>
      </c>
      <c r="H249" s="520">
        <f>F249+800</f>
        <v>48694</v>
      </c>
      <c r="I249" s="255">
        <f t="shared" ref="I249" si="661">+H249*$X$1</f>
        <v>48694</v>
      </c>
      <c r="J249" s="68">
        <f t="shared" si="649"/>
        <v>48244</v>
      </c>
      <c r="K249" s="255">
        <f t="shared" ref="K249" si="662">+J249*$X$1</f>
        <v>48244</v>
      </c>
      <c r="L249" s="520">
        <f t="shared" si="651"/>
        <v>48174</v>
      </c>
      <c r="M249" s="255">
        <f t="shared" ref="M249" si="663">+L249*$X$1</f>
        <v>48174</v>
      </c>
      <c r="N249" s="520">
        <f t="shared" si="639"/>
        <v>48124</v>
      </c>
      <c r="O249" s="255">
        <f t="shared" ref="O249" si="664">+N249*$X$1</f>
        <v>48124</v>
      </c>
      <c r="P249" s="520">
        <f t="shared" si="641"/>
        <v>48094</v>
      </c>
      <c r="Q249" s="255">
        <f t="shared" ref="Q249" si="665">+P249*$X$1</f>
        <v>48094</v>
      </c>
      <c r="R249" s="520">
        <f t="shared" si="643"/>
        <v>48054</v>
      </c>
      <c r="S249" s="255">
        <f t="shared" ref="S249" si="666">+R249*$X$1</f>
        <v>48054</v>
      </c>
      <c r="T249" s="520">
        <f t="shared" si="645"/>
        <v>48034</v>
      </c>
      <c r="U249" s="255">
        <f t="shared" ref="U249" si="667">+T249*$X$1</f>
        <v>48034</v>
      </c>
      <c r="V249" s="520">
        <f t="shared" si="647"/>
        <v>48014</v>
      </c>
      <c r="W249" s="255">
        <f t="shared" ref="W249" si="668">+V249*$X$1</f>
        <v>48014</v>
      </c>
      <c r="X249" s="637"/>
      <c r="Y249" s="632"/>
      <c r="Z249" s="632"/>
      <c r="AA249" s="634"/>
      <c r="AB249" s="178">
        <v>601</v>
      </c>
    </row>
    <row r="250" spans="1:28" ht="12.6" customHeight="1" x14ac:dyDescent="0.2">
      <c r="A250" s="17"/>
      <c r="B250" s="693" t="s">
        <v>322</v>
      </c>
      <c r="C250" s="694"/>
      <c r="D250" s="694"/>
      <c r="E250" s="694"/>
      <c r="F250" s="447">
        <v>260</v>
      </c>
      <c r="G250" s="447">
        <f t="shared" ref="G250" si="669">+F250*$X$1</f>
        <v>260</v>
      </c>
      <c r="H250" s="448"/>
      <c r="I250" s="450"/>
      <c r="J250" s="449">
        <f t="shared" ref="J250" si="670">F250+280</f>
        <v>540</v>
      </c>
      <c r="K250" s="447">
        <f t="shared" ref="K250" si="671">+J250*$X$1</f>
        <v>540</v>
      </c>
      <c r="L250" s="567">
        <f t="shared" ref="L250" si="672">F250+210</f>
        <v>470</v>
      </c>
      <c r="M250" s="447">
        <f t="shared" ref="M250" si="673">+L250*$X$1</f>
        <v>470</v>
      </c>
      <c r="N250" s="567">
        <f>F250+160</f>
        <v>420</v>
      </c>
      <c r="O250" s="447">
        <f t="shared" ref="O250" si="674">+N250*$X$1</f>
        <v>420</v>
      </c>
      <c r="P250" s="567"/>
      <c r="Q250" s="717" t="s">
        <v>138</v>
      </c>
      <c r="R250" s="718"/>
      <c r="S250" s="718"/>
      <c r="T250" s="718"/>
      <c r="U250" s="718"/>
      <c r="V250" s="718"/>
      <c r="W250" s="718"/>
      <c r="X250" s="135"/>
      <c r="Y250" s="135"/>
      <c r="Z250" s="135"/>
      <c r="AA250" s="135"/>
      <c r="AB250" s="178">
        <v>618</v>
      </c>
    </row>
    <row r="251" spans="1:28" ht="12.6" customHeight="1" x14ac:dyDescent="0.2">
      <c r="A251" s="94"/>
      <c r="B251" s="691" t="s">
        <v>433</v>
      </c>
      <c r="C251" s="692"/>
      <c r="D251" s="692"/>
      <c r="E251" s="692"/>
      <c r="F251" s="447">
        <v>880</v>
      </c>
      <c r="G251" s="447">
        <f>+F251*$X$1</f>
        <v>880</v>
      </c>
      <c r="H251" s="567"/>
      <c r="I251" s="447"/>
      <c r="J251" s="448"/>
      <c r="K251" s="450"/>
      <c r="L251" s="617">
        <f>F251+230</f>
        <v>1110</v>
      </c>
      <c r="M251" s="447">
        <f t="shared" ref="M251:M252" si="675">+L251*$X$1</f>
        <v>1110</v>
      </c>
      <c r="N251" s="617"/>
      <c r="O251" s="447"/>
      <c r="P251" s="567">
        <f>F251+5.1</f>
        <v>885.1</v>
      </c>
      <c r="Q251" s="717" t="s">
        <v>138</v>
      </c>
      <c r="R251" s="718"/>
      <c r="S251" s="718"/>
      <c r="T251" s="718"/>
      <c r="U251" s="718"/>
      <c r="V251" s="718"/>
      <c r="W251" s="718"/>
      <c r="X251" s="120"/>
      <c r="Y251" s="135"/>
      <c r="Z251" s="135"/>
      <c r="AA251" s="135"/>
      <c r="AB251" s="178">
        <v>621</v>
      </c>
    </row>
    <row r="252" spans="1:28" ht="12.6" customHeight="1" x14ac:dyDescent="0.2">
      <c r="A252" s="20"/>
      <c r="B252" s="635" t="s">
        <v>972</v>
      </c>
      <c r="C252" s="729"/>
      <c r="D252" s="729"/>
      <c r="E252" s="729"/>
      <c r="F252" s="322">
        <v>1950</v>
      </c>
      <c r="G252" s="256">
        <f>+F252*$X$1</f>
        <v>1950</v>
      </c>
      <c r="H252" s="250"/>
      <c r="I252" s="301"/>
      <c r="J252" s="82"/>
      <c r="K252" s="256"/>
      <c r="L252" s="528">
        <f>F252+230</f>
        <v>2180</v>
      </c>
      <c r="M252" s="256">
        <f t="shared" si="675"/>
        <v>2180</v>
      </c>
      <c r="N252" s="528">
        <f t="shared" ref="N252" si="676">F252+180</f>
        <v>2130</v>
      </c>
      <c r="O252" s="256">
        <f t="shared" ref="O252" si="677">+N252*$X$1</f>
        <v>2130</v>
      </c>
      <c r="P252" s="528">
        <f>F252+150</f>
        <v>2100</v>
      </c>
      <c r="Q252" s="256">
        <f t="shared" ref="Q252" si="678">+P252*$X$1</f>
        <v>2100</v>
      </c>
      <c r="R252" s="528">
        <f t="shared" ref="R252" si="679">F252+120</f>
        <v>2070</v>
      </c>
      <c r="S252" s="256">
        <f t="shared" ref="S252" si="680">+R252*$X$1</f>
        <v>2070</v>
      </c>
      <c r="T252" s="528">
        <f t="shared" ref="T252" si="681">F252+100</f>
        <v>2050</v>
      </c>
      <c r="U252" s="256">
        <f t="shared" ref="U252" si="682">+T252*$X$1</f>
        <v>2050</v>
      </c>
      <c r="V252" s="528">
        <f>F252+80</f>
        <v>2030</v>
      </c>
      <c r="W252" s="256">
        <f t="shared" ref="W252" si="683">+V252*$X$1</f>
        <v>2030</v>
      </c>
      <c r="X252" s="135"/>
      <c r="Y252" s="144"/>
      <c r="Z252" s="135"/>
      <c r="AA252" s="135"/>
      <c r="AB252" s="178">
        <v>622</v>
      </c>
    </row>
    <row r="253" spans="1:28" ht="12.6" customHeight="1" x14ac:dyDescent="0.2">
      <c r="A253" s="20"/>
      <c r="B253" s="654" t="s">
        <v>173</v>
      </c>
      <c r="C253" s="725"/>
      <c r="D253" s="725"/>
      <c r="E253" s="725"/>
      <c r="F253" s="321">
        <f>2.93*X2</f>
        <v>4512.2</v>
      </c>
      <c r="G253" s="255">
        <f>+F253*$X$1</f>
        <v>4512.2</v>
      </c>
      <c r="H253" s="279"/>
      <c r="I253" s="300"/>
      <c r="J253" s="68">
        <f t="shared" ref="J253:J255" si="684">F253+300</f>
        <v>4812.2</v>
      </c>
      <c r="K253" s="255">
        <f t="shared" ref="K253:K256" si="685">+J253*$X$1</f>
        <v>4812.2</v>
      </c>
      <c r="L253" s="520">
        <f>F253+230</f>
        <v>4742.2</v>
      </c>
      <c r="M253" s="255">
        <f t="shared" ref="M253:M256" si="686">+L253*$X$1</f>
        <v>4742.2</v>
      </c>
      <c r="N253" s="520">
        <f t="shared" ref="N253:N255" si="687">F253+180</f>
        <v>4692.2</v>
      </c>
      <c r="O253" s="255">
        <f t="shared" ref="O253:O256" si="688">+N253*$X$1</f>
        <v>4692.2</v>
      </c>
      <c r="P253" s="520">
        <f>F253+150</f>
        <v>4662.2</v>
      </c>
      <c r="Q253" s="255">
        <f t="shared" ref="Q253:Q256" si="689">+P253*$X$1</f>
        <v>4662.2</v>
      </c>
      <c r="R253" s="520">
        <f t="shared" ref="R253:R255" si="690">F253+120</f>
        <v>4632.2</v>
      </c>
      <c r="S253" s="255">
        <f t="shared" ref="S253:S256" si="691">+R253*$X$1</f>
        <v>4632.2</v>
      </c>
      <c r="T253" s="520">
        <f t="shared" ref="T253:T255" si="692">F253+100</f>
        <v>4612.2</v>
      </c>
      <c r="U253" s="255">
        <f t="shared" ref="U253:U256" si="693">+T253*$X$1</f>
        <v>4612.2</v>
      </c>
      <c r="V253" s="520">
        <f>F253+80</f>
        <v>4592.2</v>
      </c>
      <c r="W253" s="255">
        <f t="shared" ref="W253:W256" si="694">+V253*$X$1</f>
        <v>4592.2</v>
      </c>
      <c r="X253" s="135"/>
      <c r="Y253" s="144"/>
      <c r="Z253" s="135"/>
      <c r="AA253" s="135"/>
      <c r="AB253" s="178">
        <v>624</v>
      </c>
    </row>
    <row r="254" spans="1:28" ht="12.6" customHeight="1" x14ac:dyDescent="0.2">
      <c r="A254" s="20"/>
      <c r="B254" s="647" t="s">
        <v>174</v>
      </c>
      <c r="C254" s="688"/>
      <c r="D254" s="688"/>
      <c r="E254" s="688"/>
      <c r="F254" s="322">
        <f>5.057*X2</f>
        <v>7787.7800000000007</v>
      </c>
      <c r="G254" s="256">
        <f>+F254*$X$1</f>
        <v>7787.7800000000007</v>
      </c>
      <c r="H254" s="593"/>
      <c r="I254" s="301"/>
      <c r="J254" s="82">
        <f t="shared" si="684"/>
        <v>8087.7800000000007</v>
      </c>
      <c r="K254" s="256">
        <f t="shared" si="685"/>
        <v>8087.7800000000007</v>
      </c>
      <c r="L254" s="528">
        <f>F254+230</f>
        <v>8017.7800000000007</v>
      </c>
      <c r="M254" s="256">
        <f t="shared" si="686"/>
        <v>8017.7800000000007</v>
      </c>
      <c r="N254" s="528">
        <f t="shared" si="687"/>
        <v>7967.7800000000007</v>
      </c>
      <c r="O254" s="256">
        <f t="shared" si="688"/>
        <v>7967.7800000000007</v>
      </c>
      <c r="P254" s="528">
        <f>F254+150</f>
        <v>7937.7800000000007</v>
      </c>
      <c r="Q254" s="256">
        <f t="shared" si="689"/>
        <v>7937.7800000000007</v>
      </c>
      <c r="R254" s="528">
        <f t="shared" si="690"/>
        <v>7907.7800000000007</v>
      </c>
      <c r="S254" s="256">
        <f t="shared" si="691"/>
        <v>7907.7800000000007</v>
      </c>
      <c r="T254" s="528">
        <f t="shared" si="692"/>
        <v>7887.7800000000007</v>
      </c>
      <c r="U254" s="256">
        <f t="shared" si="693"/>
        <v>7887.7800000000007</v>
      </c>
      <c r="V254" s="528">
        <f>F254+80</f>
        <v>7867.7800000000007</v>
      </c>
      <c r="W254" s="256">
        <f t="shared" si="694"/>
        <v>7867.7800000000007</v>
      </c>
      <c r="X254" s="135"/>
      <c r="Y254" s="144"/>
      <c r="Z254" s="135"/>
      <c r="AA254" s="135"/>
      <c r="AB254" s="178" t="s">
        <v>175</v>
      </c>
    </row>
    <row r="255" spans="1:28" ht="12.6" customHeight="1" x14ac:dyDescent="0.2">
      <c r="A255" s="20"/>
      <c r="B255" s="657" t="s">
        <v>176</v>
      </c>
      <c r="C255" s="677"/>
      <c r="D255" s="677"/>
      <c r="E255" s="678"/>
      <c r="F255" s="321">
        <f>5.6*X2</f>
        <v>8624</v>
      </c>
      <c r="G255" s="255">
        <f t="shared" ref="G255" si="695">+F255*$X$1</f>
        <v>8624</v>
      </c>
      <c r="H255" s="279"/>
      <c r="I255" s="300"/>
      <c r="J255" s="68">
        <f t="shared" si="684"/>
        <v>8924</v>
      </c>
      <c r="K255" s="255">
        <f t="shared" si="685"/>
        <v>8924</v>
      </c>
      <c r="L255" s="520">
        <f>F255+230</f>
        <v>8854</v>
      </c>
      <c r="M255" s="255">
        <f t="shared" si="686"/>
        <v>8854</v>
      </c>
      <c r="N255" s="520">
        <f t="shared" si="687"/>
        <v>8804</v>
      </c>
      <c r="O255" s="255">
        <f t="shared" si="688"/>
        <v>8804</v>
      </c>
      <c r="P255" s="520">
        <f>F255+150</f>
        <v>8774</v>
      </c>
      <c r="Q255" s="255">
        <f t="shared" si="689"/>
        <v>8774</v>
      </c>
      <c r="R255" s="520">
        <f t="shared" si="690"/>
        <v>8744</v>
      </c>
      <c r="S255" s="255">
        <f t="shared" si="691"/>
        <v>8744</v>
      </c>
      <c r="T255" s="520">
        <f t="shared" si="692"/>
        <v>8724</v>
      </c>
      <c r="U255" s="255">
        <f t="shared" si="693"/>
        <v>8724</v>
      </c>
      <c r="V255" s="520">
        <f>F255+80</f>
        <v>8704</v>
      </c>
      <c r="W255" s="255">
        <f t="shared" si="694"/>
        <v>8704</v>
      </c>
      <c r="X255" s="135"/>
      <c r="Y255" s="144"/>
      <c r="Z255" s="135"/>
      <c r="AA255" s="135"/>
      <c r="AB255" s="178">
        <v>629</v>
      </c>
    </row>
    <row r="256" spans="1:28" ht="12.6" customHeight="1" x14ac:dyDescent="0.2">
      <c r="A256" s="20"/>
      <c r="B256" s="640" t="s">
        <v>367</v>
      </c>
      <c r="C256" s="641"/>
      <c r="D256" s="641"/>
      <c r="E256" s="642"/>
      <c r="F256" s="322">
        <f>8.5*X2</f>
        <v>13090</v>
      </c>
      <c r="G256" s="256">
        <f>+F256*$X$1</f>
        <v>13090</v>
      </c>
      <c r="H256" s="254"/>
      <c r="I256" s="301"/>
      <c r="J256" s="528">
        <f>F256+270</f>
        <v>13360</v>
      </c>
      <c r="K256" s="256">
        <f t="shared" si="685"/>
        <v>13360</v>
      </c>
      <c r="L256" s="528">
        <f>F256+180</f>
        <v>13270</v>
      </c>
      <c r="M256" s="256">
        <f t="shared" si="686"/>
        <v>13270</v>
      </c>
      <c r="N256" s="528">
        <f>F256+140</f>
        <v>13230</v>
      </c>
      <c r="O256" s="256">
        <f t="shared" si="688"/>
        <v>13230</v>
      </c>
      <c r="P256" s="528">
        <f>F256+110</f>
        <v>13200</v>
      </c>
      <c r="Q256" s="256">
        <f t="shared" si="689"/>
        <v>13200</v>
      </c>
      <c r="R256" s="528">
        <f>F256+90</f>
        <v>13180</v>
      </c>
      <c r="S256" s="256">
        <f t="shared" si="691"/>
        <v>13180</v>
      </c>
      <c r="T256" s="528">
        <f>F256+75</f>
        <v>13165</v>
      </c>
      <c r="U256" s="256">
        <f t="shared" si="693"/>
        <v>13165</v>
      </c>
      <c r="V256" s="528">
        <f>F256+60</f>
        <v>13150</v>
      </c>
      <c r="W256" s="256">
        <f t="shared" si="694"/>
        <v>13150</v>
      </c>
      <c r="X256" s="135"/>
      <c r="Y256" s="144"/>
      <c r="Z256" s="135"/>
      <c r="AA256" s="135"/>
      <c r="AB256" s="178">
        <v>630</v>
      </c>
    </row>
    <row r="257" spans="1:28" ht="12.6" customHeight="1" x14ac:dyDescent="0.2">
      <c r="A257" s="20"/>
      <c r="B257" s="657" t="s">
        <v>482</v>
      </c>
      <c r="C257" s="677"/>
      <c r="D257" s="677"/>
      <c r="E257" s="678"/>
      <c r="F257" s="321">
        <f>0.7*X2</f>
        <v>1078</v>
      </c>
      <c r="G257" s="255">
        <f t="shared" ref="G257" si="696">+F257*$X$1</f>
        <v>1078</v>
      </c>
      <c r="H257" s="531"/>
      <c r="I257" s="300"/>
      <c r="J257" s="68">
        <f t="shared" ref="J257:J259" si="697">F257+300</f>
        <v>1378</v>
      </c>
      <c r="K257" s="255">
        <f t="shared" ref="K257:K260" si="698">+J257*$X$1</f>
        <v>1378</v>
      </c>
      <c r="L257" s="520">
        <f>F257+230</f>
        <v>1308</v>
      </c>
      <c r="M257" s="255">
        <f t="shared" ref="M257:M260" si="699">+L257*$X$1</f>
        <v>1308</v>
      </c>
      <c r="N257" s="520">
        <f t="shared" ref="N257:N259" si="700">F257+180</f>
        <v>1258</v>
      </c>
      <c r="O257" s="255">
        <f t="shared" ref="O257:O260" si="701">+N257*$X$1</f>
        <v>1258</v>
      </c>
      <c r="P257" s="520">
        <f>F257+150</f>
        <v>1228</v>
      </c>
      <c r="Q257" s="255">
        <f t="shared" ref="Q257:Q260" si="702">+P257*$X$1</f>
        <v>1228</v>
      </c>
      <c r="R257" s="520">
        <f t="shared" ref="R257:R259" si="703">F257+120</f>
        <v>1198</v>
      </c>
      <c r="S257" s="255">
        <f t="shared" ref="S257:S260" si="704">+R257*$X$1</f>
        <v>1198</v>
      </c>
      <c r="T257" s="520">
        <f t="shared" ref="T257:T259" si="705">F257+100</f>
        <v>1178</v>
      </c>
      <c r="U257" s="255">
        <f t="shared" ref="U257:U260" si="706">+T257*$X$1</f>
        <v>1178</v>
      </c>
      <c r="V257" s="520">
        <f>F257+80</f>
        <v>1158</v>
      </c>
      <c r="W257" s="255">
        <f t="shared" ref="W257:W260" si="707">+V257*$X$1</f>
        <v>1158</v>
      </c>
      <c r="X257" s="135"/>
      <c r="Y257" s="144"/>
      <c r="Z257" s="135"/>
      <c r="AA257" s="135"/>
      <c r="AB257" s="178">
        <v>631</v>
      </c>
    </row>
    <row r="258" spans="1:28" ht="12.6" customHeight="1" x14ac:dyDescent="0.2">
      <c r="A258" s="20"/>
      <c r="B258" s="640" t="s">
        <v>778</v>
      </c>
      <c r="C258" s="641"/>
      <c r="D258" s="641"/>
      <c r="E258" s="642"/>
      <c r="F258" s="322">
        <f>2.02*X2</f>
        <v>3110.8</v>
      </c>
      <c r="G258" s="256">
        <f t="shared" ref="G258" si="708">+F258*$X$1</f>
        <v>3110.8</v>
      </c>
      <c r="H258" s="250"/>
      <c r="I258" s="301"/>
      <c r="J258" s="82">
        <f t="shared" si="697"/>
        <v>3410.8</v>
      </c>
      <c r="K258" s="256">
        <f t="shared" si="698"/>
        <v>3410.8</v>
      </c>
      <c r="L258" s="528">
        <f>F258+230</f>
        <v>3340.8</v>
      </c>
      <c r="M258" s="256">
        <f t="shared" si="699"/>
        <v>3340.8</v>
      </c>
      <c r="N258" s="528">
        <f t="shared" si="700"/>
        <v>3290.8</v>
      </c>
      <c r="O258" s="256">
        <f t="shared" si="701"/>
        <v>3290.8</v>
      </c>
      <c r="P258" s="528">
        <f>F258+150</f>
        <v>3260.8</v>
      </c>
      <c r="Q258" s="256">
        <f t="shared" si="702"/>
        <v>3260.8</v>
      </c>
      <c r="R258" s="528">
        <f t="shared" si="703"/>
        <v>3230.8</v>
      </c>
      <c r="S258" s="256">
        <f t="shared" si="704"/>
        <v>3230.8</v>
      </c>
      <c r="T258" s="528">
        <f t="shared" si="705"/>
        <v>3210.8</v>
      </c>
      <c r="U258" s="256">
        <f t="shared" si="706"/>
        <v>3210.8</v>
      </c>
      <c r="V258" s="528">
        <f>F258+80</f>
        <v>3190.8</v>
      </c>
      <c r="W258" s="256">
        <f t="shared" si="707"/>
        <v>3190.8</v>
      </c>
      <c r="X258" s="135"/>
      <c r="Y258" s="144"/>
      <c r="Z258" s="135"/>
      <c r="AA258" s="135"/>
      <c r="AB258" s="178">
        <v>633</v>
      </c>
    </row>
    <row r="259" spans="1:28" ht="12.6" customHeight="1" x14ac:dyDescent="0.2">
      <c r="A259" s="20"/>
      <c r="B259" s="657" t="s">
        <v>450</v>
      </c>
      <c r="C259" s="677"/>
      <c r="D259" s="677"/>
      <c r="E259" s="678"/>
      <c r="F259" s="321">
        <f>1.36*X2</f>
        <v>2094.4</v>
      </c>
      <c r="G259" s="255">
        <f t="shared" ref="G259:G264" si="709">+F259*$X$1</f>
        <v>2094.4</v>
      </c>
      <c r="H259" s="530"/>
      <c r="I259" s="300"/>
      <c r="J259" s="68">
        <f t="shared" si="697"/>
        <v>2394.4</v>
      </c>
      <c r="K259" s="255">
        <f t="shared" si="698"/>
        <v>2394.4</v>
      </c>
      <c r="L259" s="520">
        <f>F259+230</f>
        <v>2324.4</v>
      </c>
      <c r="M259" s="255">
        <f t="shared" si="699"/>
        <v>2324.4</v>
      </c>
      <c r="N259" s="520">
        <f t="shared" si="700"/>
        <v>2274.4</v>
      </c>
      <c r="O259" s="255">
        <f t="shared" si="701"/>
        <v>2274.4</v>
      </c>
      <c r="P259" s="520">
        <f>F259+150</f>
        <v>2244.4</v>
      </c>
      <c r="Q259" s="255">
        <f t="shared" si="702"/>
        <v>2244.4</v>
      </c>
      <c r="R259" s="520">
        <f t="shared" si="703"/>
        <v>2214.4</v>
      </c>
      <c r="S259" s="255">
        <f t="shared" si="704"/>
        <v>2214.4</v>
      </c>
      <c r="T259" s="520">
        <f t="shared" si="705"/>
        <v>2194.4</v>
      </c>
      <c r="U259" s="255">
        <f t="shared" si="706"/>
        <v>2194.4</v>
      </c>
      <c r="V259" s="520">
        <f>F259+80</f>
        <v>2174.4</v>
      </c>
      <c r="W259" s="255">
        <f t="shared" si="707"/>
        <v>2174.4</v>
      </c>
      <c r="X259" s="135"/>
      <c r="Y259" s="144"/>
      <c r="Z259" s="135"/>
      <c r="AA259" s="135"/>
      <c r="AB259" s="178">
        <v>640</v>
      </c>
    </row>
    <row r="260" spans="1:28" ht="12.6" customHeight="1" x14ac:dyDescent="0.2">
      <c r="A260" s="17"/>
      <c r="B260" s="647" t="s">
        <v>177</v>
      </c>
      <c r="C260" s="648"/>
      <c r="D260" s="648"/>
      <c r="E260" s="648"/>
      <c r="F260" s="322">
        <f>2.7*X2</f>
        <v>4158</v>
      </c>
      <c r="G260" s="256">
        <f t="shared" si="709"/>
        <v>4158</v>
      </c>
      <c r="H260" s="528">
        <f>F260+800</f>
        <v>4958</v>
      </c>
      <c r="I260" s="256">
        <f t="shared" ref="I260" si="710">+H260*$X$1</f>
        <v>4958</v>
      </c>
      <c r="J260" s="528">
        <f>F260+270</f>
        <v>4428</v>
      </c>
      <c r="K260" s="256">
        <f t="shared" si="698"/>
        <v>4428</v>
      </c>
      <c r="L260" s="528">
        <f>F260+180</f>
        <v>4338</v>
      </c>
      <c r="M260" s="256">
        <f t="shared" si="699"/>
        <v>4338</v>
      </c>
      <c r="N260" s="528">
        <f>F260+140</f>
        <v>4298</v>
      </c>
      <c r="O260" s="256">
        <f t="shared" si="701"/>
        <v>4298</v>
      </c>
      <c r="P260" s="528">
        <f>F260+110</f>
        <v>4268</v>
      </c>
      <c r="Q260" s="256">
        <f t="shared" si="702"/>
        <v>4268</v>
      </c>
      <c r="R260" s="528">
        <f>F260+90</f>
        <v>4248</v>
      </c>
      <c r="S260" s="256">
        <f t="shared" si="704"/>
        <v>4248</v>
      </c>
      <c r="T260" s="528">
        <f>F260+75</f>
        <v>4233</v>
      </c>
      <c r="U260" s="256">
        <f t="shared" si="706"/>
        <v>4233</v>
      </c>
      <c r="V260" s="528">
        <f>F260+60</f>
        <v>4218</v>
      </c>
      <c r="W260" s="256">
        <f t="shared" si="707"/>
        <v>4218</v>
      </c>
      <c r="X260" s="620"/>
      <c r="Y260" s="621"/>
      <c r="Z260" s="621"/>
      <c r="AA260" s="622"/>
      <c r="AB260" s="178">
        <v>705</v>
      </c>
    </row>
    <row r="261" spans="1:28" ht="12.6" customHeight="1" x14ac:dyDescent="0.2">
      <c r="A261" s="17"/>
      <c r="B261" s="635" t="s">
        <v>1040</v>
      </c>
      <c r="C261" s="636"/>
      <c r="D261" s="636"/>
      <c r="E261" s="636"/>
      <c r="F261" s="321">
        <f>6.69*X2</f>
        <v>10302.6</v>
      </c>
      <c r="G261" s="255">
        <f t="shared" si="709"/>
        <v>10302.6</v>
      </c>
      <c r="H261" s="520">
        <f>F261+800</f>
        <v>11102.6</v>
      </c>
      <c r="I261" s="255">
        <f t="shared" ref="I261" si="711">+H261*$X$1</f>
        <v>11102.6</v>
      </c>
      <c r="J261" s="520">
        <f>F261+370</f>
        <v>10672.6</v>
      </c>
      <c r="K261" s="255">
        <f t="shared" ref="K261" si="712">+J261*$X$1</f>
        <v>10672.6</v>
      </c>
      <c r="L261" s="520">
        <f>F261+300</f>
        <v>10602.6</v>
      </c>
      <c r="M261" s="255">
        <f t="shared" ref="M261" si="713">+L261*$X$1</f>
        <v>10602.6</v>
      </c>
      <c r="N261" s="520">
        <f>F261+260</f>
        <v>10562.6</v>
      </c>
      <c r="O261" s="255">
        <f t="shared" ref="O261" si="714">+N261*$X$1</f>
        <v>10562.6</v>
      </c>
      <c r="P261" s="520">
        <f>F261+230</f>
        <v>10532.6</v>
      </c>
      <c r="Q261" s="255">
        <f t="shared" ref="Q261" si="715">+P261*$X$1</f>
        <v>10532.6</v>
      </c>
      <c r="R261" s="520">
        <f>F261+200</f>
        <v>10502.6</v>
      </c>
      <c r="S261" s="255">
        <f t="shared" ref="S261" si="716">+R261*$X$1</f>
        <v>10502.6</v>
      </c>
      <c r="T261" s="93">
        <f>F261+180</f>
        <v>10482.6</v>
      </c>
      <c r="U261" s="234">
        <f t="shared" ref="U261" si="717">+T261*$X$1</f>
        <v>10482.6</v>
      </c>
      <c r="V261" s="93">
        <f>F261+160</f>
        <v>10462.6</v>
      </c>
      <c r="W261" s="234">
        <f t="shared" ref="W261" si="718">+V261*$X$1</f>
        <v>10462.6</v>
      </c>
      <c r="X261" s="637"/>
      <c r="Y261" s="632"/>
      <c r="Z261" s="632"/>
      <c r="AA261" s="634"/>
      <c r="AB261" s="178">
        <v>811</v>
      </c>
    </row>
    <row r="262" spans="1:28" ht="12.6" customHeight="1" x14ac:dyDescent="0.2">
      <c r="A262" s="17"/>
      <c r="B262" s="635" t="s">
        <v>1041</v>
      </c>
      <c r="C262" s="636"/>
      <c r="D262" s="636"/>
      <c r="E262" s="636"/>
      <c r="F262" s="322">
        <f>7.92*X2</f>
        <v>12196.8</v>
      </c>
      <c r="G262" s="256">
        <f t="shared" si="709"/>
        <v>12196.8</v>
      </c>
      <c r="H262" s="528">
        <f t="shared" ref="H262:H279" si="719">F262+800</f>
        <v>12996.8</v>
      </c>
      <c r="I262" s="256">
        <f t="shared" ref="I262:I279" si="720">+H262*$X$1</f>
        <v>12996.8</v>
      </c>
      <c r="J262" s="528">
        <f t="shared" ref="J262:J279" si="721">F262+370</f>
        <v>12566.8</v>
      </c>
      <c r="K262" s="256">
        <f t="shared" ref="K262:K279" si="722">+J262*$X$1</f>
        <v>12566.8</v>
      </c>
      <c r="L262" s="528">
        <f t="shared" ref="L262:L279" si="723">F262+300</f>
        <v>12496.8</v>
      </c>
      <c r="M262" s="256">
        <f t="shared" ref="M262:M279" si="724">+L262*$X$1</f>
        <v>12496.8</v>
      </c>
      <c r="N262" s="528">
        <f t="shared" ref="N262:N279" si="725">F262+260</f>
        <v>12456.8</v>
      </c>
      <c r="O262" s="256">
        <f t="shared" ref="O262:O279" si="726">+N262*$X$1</f>
        <v>12456.8</v>
      </c>
      <c r="P262" s="528">
        <f t="shared" ref="P262:P279" si="727">F262+230</f>
        <v>12426.8</v>
      </c>
      <c r="Q262" s="256">
        <f t="shared" ref="Q262:Q279" si="728">+P262*$X$1</f>
        <v>12426.8</v>
      </c>
      <c r="R262" s="528">
        <f t="shared" ref="R262:R279" si="729">F262+200</f>
        <v>12396.8</v>
      </c>
      <c r="S262" s="256">
        <f t="shared" ref="S262:S279" si="730">+R262*$X$1</f>
        <v>12396.8</v>
      </c>
      <c r="T262" s="92">
        <f t="shared" ref="T262:T279" si="731">F262+180</f>
        <v>12376.8</v>
      </c>
      <c r="U262" s="269">
        <f t="shared" ref="U262:U279" si="732">+T262*$X$1</f>
        <v>12376.8</v>
      </c>
      <c r="V262" s="92">
        <f t="shared" ref="V262:V279" si="733">F262+160</f>
        <v>12356.8</v>
      </c>
      <c r="W262" s="269">
        <f t="shared" ref="W262:W279" si="734">+V262*$X$1</f>
        <v>12356.8</v>
      </c>
      <c r="X262" s="637"/>
      <c r="Y262" s="632"/>
      <c r="Z262" s="632"/>
      <c r="AA262" s="634"/>
      <c r="AB262" s="178">
        <v>812</v>
      </c>
    </row>
    <row r="263" spans="1:28" ht="12.6" customHeight="1" x14ac:dyDescent="0.2">
      <c r="A263" s="17"/>
      <c r="B263" s="635" t="s">
        <v>1064</v>
      </c>
      <c r="C263" s="636"/>
      <c r="D263" s="636"/>
      <c r="E263" s="636"/>
      <c r="F263" s="321">
        <f>4.81*X2</f>
        <v>7407.4</v>
      </c>
      <c r="G263" s="255">
        <f t="shared" si="709"/>
        <v>7407.4</v>
      </c>
      <c r="H263" s="520">
        <f t="shared" si="719"/>
        <v>8207.4</v>
      </c>
      <c r="I263" s="255">
        <f t="shared" si="720"/>
        <v>8207.4</v>
      </c>
      <c r="J263" s="520">
        <f t="shared" si="721"/>
        <v>7777.4</v>
      </c>
      <c r="K263" s="255">
        <f t="shared" si="722"/>
        <v>7777.4</v>
      </c>
      <c r="L263" s="520">
        <f t="shared" si="723"/>
        <v>7707.4</v>
      </c>
      <c r="M263" s="255">
        <f t="shared" si="724"/>
        <v>7707.4</v>
      </c>
      <c r="N263" s="520">
        <f t="shared" si="725"/>
        <v>7667.4</v>
      </c>
      <c r="O263" s="255">
        <f t="shared" si="726"/>
        <v>7667.4</v>
      </c>
      <c r="P263" s="520">
        <f t="shared" si="727"/>
        <v>7637.4</v>
      </c>
      <c r="Q263" s="255">
        <f t="shared" si="728"/>
        <v>7637.4</v>
      </c>
      <c r="R263" s="520">
        <f t="shared" si="729"/>
        <v>7607.4</v>
      </c>
      <c r="S263" s="255">
        <f t="shared" si="730"/>
        <v>7607.4</v>
      </c>
      <c r="T263" s="93">
        <f t="shared" si="731"/>
        <v>7587.4</v>
      </c>
      <c r="U263" s="234">
        <f t="shared" si="732"/>
        <v>7587.4</v>
      </c>
      <c r="V263" s="93">
        <f t="shared" si="733"/>
        <v>7567.4</v>
      </c>
      <c r="W263" s="234">
        <f t="shared" si="734"/>
        <v>7567.4</v>
      </c>
      <c r="X263" s="637"/>
      <c r="Y263" s="632"/>
      <c r="Z263" s="632"/>
      <c r="AA263" s="634"/>
      <c r="AB263" s="178">
        <v>813</v>
      </c>
    </row>
    <row r="264" spans="1:28" ht="12.6" customHeight="1" x14ac:dyDescent="0.2">
      <c r="A264" s="17"/>
      <c r="B264" s="635" t="s">
        <v>1065</v>
      </c>
      <c r="C264" s="636"/>
      <c r="D264" s="636"/>
      <c r="E264" s="636"/>
      <c r="F264" s="322">
        <f>5.5*X2</f>
        <v>8470</v>
      </c>
      <c r="G264" s="256">
        <f t="shared" si="709"/>
        <v>8470</v>
      </c>
      <c r="H264" s="528">
        <f t="shared" si="719"/>
        <v>9270</v>
      </c>
      <c r="I264" s="256">
        <f t="shared" si="720"/>
        <v>9270</v>
      </c>
      <c r="J264" s="528">
        <f t="shared" si="721"/>
        <v>8840</v>
      </c>
      <c r="K264" s="256">
        <f t="shared" si="722"/>
        <v>8840</v>
      </c>
      <c r="L264" s="528">
        <f t="shared" si="723"/>
        <v>8770</v>
      </c>
      <c r="M264" s="256">
        <f t="shared" si="724"/>
        <v>8770</v>
      </c>
      <c r="N264" s="528">
        <f t="shared" si="725"/>
        <v>8730</v>
      </c>
      <c r="O264" s="256">
        <f t="shared" si="726"/>
        <v>8730</v>
      </c>
      <c r="P264" s="528">
        <f t="shared" si="727"/>
        <v>8700</v>
      </c>
      <c r="Q264" s="256">
        <f t="shared" si="728"/>
        <v>8700</v>
      </c>
      <c r="R264" s="528">
        <f t="shared" si="729"/>
        <v>8670</v>
      </c>
      <c r="S264" s="256">
        <f t="shared" si="730"/>
        <v>8670</v>
      </c>
      <c r="T264" s="92">
        <f t="shared" si="731"/>
        <v>8650</v>
      </c>
      <c r="U264" s="269">
        <f t="shared" si="732"/>
        <v>8650</v>
      </c>
      <c r="V264" s="92">
        <f t="shared" si="733"/>
        <v>8630</v>
      </c>
      <c r="W264" s="269">
        <f t="shared" si="734"/>
        <v>8630</v>
      </c>
      <c r="X264" s="637"/>
      <c r="Y264" s="632"/>
      <c r="Z264" s="632"/>
      <c r="AA264" s="634"/>
      <c r="AB264" s="178">
        <v>814</v>
      </c>
    </row>
    <row r="265" spans="1:28" ht="12.6" customHeight="1" x14ac:dyDescent="0.2">
      <c r="A265" s="17"/>
      <c r="B265" s="654" t="s">
        <v>1043</v>
      </c>
      <c r="C265" s="655"/>
      <c r="D265" s="655"/>
      <c r="E265" s="655"/>
      <c r="F265" s="255">
        <v>14995</v>
      </c>
      <c r="G265" s="255">
        <f t="shared" ref="G265:G266" si="735">+F265*$X$1</f>
        <v>14995</v>
      </c>
      <c r="H265" s="520">
        <f t="shared" si="719"/>
        <v>15795</v>
      </c>
      <c r="I265" s="255">
        <f t="shared" si="720"/>
        <v>15795</v>
      </c>
      <c r="J265" s="520">
        <f t="shared" si="721"/>
        <v>15365</v>
      </c>
      <c r="K265" s="255">
        <f t="shared" si="722"/>
        <v>15365</v>
      </c>
      <c r="L265" s="520">
        <f t="shared" si="723"/>
        <v>15295</v>
      </c>
      <c r="M265" s="255">
        <f t="shared" si="724"/>
        <v>15295</v>
      </c>
      <c r="N265" s="520">
        <f t="shared" si="725"/>
        <v>15255</v>
      </c>
      <c r="O265" s="255">
        <f t="shared" si="726"/>
        <v>15255</v>
      </c>
      <c r="P265" s="520">
        <f t="shared" si="727"/>
        <v>15225</v>
      </c>
      <c r="Q265" s="255">
        <f t="shared" si="728"/>
        <v>15225</v>
      </c>
      <c r="R265" s="520">
        <f t="shared" si="729"/>
        <v>15195</v>
      </c>
      <c r="S265" s="255">
        <f t="shared" si="730"/>
        <v>15195</v>
      </c>
      <c r="T265" s="93">
        <f t="shared" si="731"/>
        <v>15175</v>
      </c>
      <c r="U265" s="234">
        <f t="shared" si="732"/>
        <v>15175</v>
      </c>
      <c r="V265" s="93">
        <f t="shared" si="733"/>
        <v>15155</v>
      </c>
      <c r="W265" s="234">
        <f t="shared" si="734"/>
        <v>15155</v>
      </c>
      <c r="X265" s="637"/>
      <c r="Y265" s="632"/>
      <c r="Z265" s="632"/>
      <c r="AA265" s="634"/>
      <c r="AB265" s="178">
        <v>815</v>
      </c>
    </row>
    <row r="266" spans="1:28" ht="12.6" customHeight="1" x14ac:dyDescent="0.2">
      <c r="A266" s="17"/>
      <c r="B266" s="647" t="s">
        <v>889</v>
      </c>
      <c r="C266" s="648"/>
      <c r="D266" s="648"/>
      <c r="E266" s="648"/>
      <c r="F266" s="322">
        <f>5.02*X2</f>
        <v>7730.7999999999993</v>
      </c>
      <c r="G266" s="256">
        <f t="shared" si="735"/>
        <v>7730.7999999999993</v>
      </c>
      <c r="H266" s="528">
        <f t="shared" si="719"/>
        <v>8530.7999999999993</v>
      </c>
      <c r="I266" s="256">
        <f t="shared" si="720"/>
        <v>8530.7999999999993</v>
      </c>
      <c r="J266" s="528">
        <f t="shared" si="721"/>
        <v>8100.7999999999993</v>
      </c>
      <c r="K266" s="256">
        <f t="shared" si="722"/>
        <v>8100.7999999999993</v>
      </c>
      <c r="L266" s="528">
        <f t="shared" si="723"/>
        <v>8030.7999999999993</v>
      </c>
      <c r="M266" s="256">
        <f t="shared" si="724"/>
        <v>8030.7999999999993</v>
      </c>
      <c r="N266" s="528">
        <f t="shared" si="725"/>
        <v>7990.7999999999993</v>
      </c>
      <c r="O266" s="256">
        <f t="shared" si="726"/>
        <v>7990.7999999999993</v>
      </c>
      <c r="P266" s="528">
        <f t="shared" si="727"/>
        <v>7960.7999999999993</v>
      </c>
      <c r="Q266" s="256">
        <f t="shared" si="728"/>
        <v>7960.7999999999993</v>
      </c>
      <c r="R266" s="528">
        <f t="shared" si="729"/>
        <v>7930.7999999999993</v>
      </c>
      <c r="S266" s="256">
        <f t="shared" si="730"/>
        <v>7930.7999999999993</v>
      </c>
      <c r="T266" s="92">
        <f t="shared" si="731"/>
        <v>7910.7999999999993</v>
      </c>
      <c r="U266" s="269">
        <f t="shared" si="732"/>
        <v>7910.7999999999993</v>
      </c>
      <c r="V266" s="92">
        <f t="shared" si="733"/>
        <v>7890.7999999999993</v>
      </c>
      <c r="W266" s="269">
        <f t="shared" si="734"/>
        <v>7890.7999999999993</v>
      </c>
      <c r="X266" s="637"/>
      <c r="Y266" s="632"/>
      <c r="Z266" s="632"/>
      <c r="AA266" s="634"/>
      <c r="AB266" s="178">
        <v>816</v>
      </c>
    </row>
    <row r="267" spans="1:28" ht="12.6" customHeight="1" x14ac:dyDescent="0.2">
      <c r="A267" s="17"/>
      <c r="B267" s="654" t="s">
        <v>806</v>
      </c>
      <c r="C267" s="775"/>
      <c r="D267" s="775"/>
      <c r="E267" s="775"/>
      <c r="F267" s="321">
        <f>32.25*X2</f>
        <v>49665</v>
      </c>
      <c r="G267" s="255">
        <f>+F267*$X$1</f>
        <v>49665</v>
      </c>
      <c r="H267" s="520">
        <f t="shared" si="719"/>
        <v>50465</v>
      </c>
      <c r="I267" s="255">
        <f t="shared" si="720"/>
        <v>50465</v>
      </c>
      <c r="J267" s="520">
        <f t="shared" si="721"/>
        <v>50035</v>
      </c>
      <c r="K267" s="255">
        <f t="shared" si="722"/>
        <v>50035</v>
      </c>
      <c r="L267" s="520">
        <f t="shared" si="723"/>
        <v>49965</v>
      </c>
      <c r="M267" s="255">
        <f t="shared" si="724"/>
        <v>49965</v>
      </c>
      <c r="N267" s="520">
        <f t="shared" si="725"/>
        <v>49925</v>
      </c>
      <c r="O267" s="255">
        <f t="shared" si="726"/>
        <v>49925</v>
      </c>
      <c r="P267" s="520">
        <f t="shared" si="727"/>
        <v>49895</v>
      </c>
      <c r="Q267" s="255">
        <f t="shared" si="728"/>
        <v>49895</v>
      </c>
      <c r="R267" s="520">
        <f t="shared" si="729"/>
        <v>49865</v>
      </c>
      <c r="S267" s="255">
        <f t="shared" si="730"/>
        <v>49865</v>
      </c>
      <c r="T267" s="93">
        <f t="shared" si="731"/>
        <v>49845</v>
      </c>
      <c r="U267" s="234">
        <f t="shared" si="732"/>
        <v>49845</v>
      </c>
      <c r="V267" s="93">
        <f t="shared" si="733"/>
        <v>49825</v>
      </c>
      <c r="W267" s="234">
        <f t="shared" si="734"/>
        <v>49825</v>
      </c>
      <c r="X267" s="637"/>
      <c r="Y267" s="632"/>
      <c r="Z267" s="632"/>
      <c r="AA267" s="634"/>
      <c r="AB267" s="178">
        <v>817</v>
      </c>
    </row>
    <row r="268" spans="1:28" ht="12.6" customHeight="1" x14ac:dyDescent="0.2">
      <c r="A268" s="17"/>
      <c r="B268" s="647" t="s">
        <v>807</v>
      </c>
      <c r="C268" s="923"/>
      <c r="D268" s="923"/>
      <c r="E268" s="923"/>
      <c r="F268" s="322">
        <f>16.1*X2</f>
        <v>24794.000000000004</v>
      </c>
      <c r="G268" s="256">
        <f>+F268*$X$1</f>
        <v>24794.000000000004</v>
      </c>
      <c r="H268" s="528">
        <f t="shared" si="719"/>
        <v>25594.000000000004</v>
      </c>
      <c r="I268" s="256">
        <f t="shared" si="720"/>
        <v>25594.000000000004</v>
      </c>
      <c r="J268" s="528">
        <f t="shared" si="721"/>
        <v>25164.000000000004</v>
      </c>
      <c r="K268" s="256">
        <f t="shared" si="722"/>
        <v>25164.000000000004</v>
      </c>
      <c r="L268" s="528">
        <f t="shared" si="723"/>
        <v>25094.000000000004</v>
      </c>
      <c r="M268" s="256">
        <f t="shared" si="724"/>
        <v>25094.000000000004</v>
      </c>
      <c r="N268" s="528">
        <f t="shared" si="725"/>
        <v>25054.000000000004</v>
      </c>
      <c r="O268" s="256">
        <f t="shared" si="726"/>
        <v>25054.000000000004</v>
      </c>
      <c r="P268" s="528">
        <f t="shared" si="727"/>
        <v>25024.000000000004</v>
      </c>
      <c r="Q268" s="256">
        <f t="shared" si="728"/>
        <v>25024.000000000004</v>
      </c>
      <c r="R268" s="528">
        <f t="shared" si="729"/>
        <v>24994.000000000004</v>
      </c>
      <c r="S268" s="256">
        <f t="shared" si="730"/>
        <v>24994.000000000004</v>
      </c>
      <c r="T268" s="92">
        <f t="shared" si="731"/>
        <v>24974.000000000004</v>
      </c>
      <c r="U268" s="269">
        <f t="shared" si="732"/>
        <v>24974.000000000004</v>
      </c>
      <c r="V268" s="92">
        <f t="shared" si="733"/>
        <v>24954.000000000004</v>
      </c>
      <c r="W268" s="269">
        <f t="shared" si="734"/>
        <v>24954.000000000004</v>
      </c>
      <c r="X268" s="637"/>
      <c r="Y268" s="632"/>
      <c r="Z268" s="632"/>
      <c r="AA268" s="634"/>
      <c r="AB268" s="178">
        <v>818</v>
      </c>
    </row>
    <row r="269" spans="1:28" ht="12.6" customHeight="1" x14ac:dyDescent="0.2">
      <c r="A269" s="17"/>
      <c r="B269" s="654" t="s">
        <v>460</v>
      </c>
      <c r="C269" s="655"/>
      <c r="D269" s="655"/>
      <c r="E269" s="655"/>
      <c r="F269" s="255">
        <v>23300</v>
      </c>
      <c r="G269" s="255">
        <f t="shared" ref="G269" si="736">+F269*$X$1</f>
        <v>23300</v>
      </c>
      <c r="H269" s="520">
        <f t="shared" si="719"/>
        <v>24100</v>
      </c>
      <c r="I269" s="255">
        <f t="shared" si="720"/>
        <v>24100</v>
      </c>
      <c r="J269" s="520">
        <f t="shared" si="721"/>
        <v>23670</v>
      </c>
      <c r="K269" s="255">
        <f t="shared" si="722"/>
        <v>23670</v>
      </c>
      <c r="L269" s="520">
        <f t="shared" si="723"/>
        <v>23600</v>
      </c>
      <c r="M269" s="255">
        <f t="shared" si="724"/>
        <v>23600</v>
      </c>
      <c r="N269" s="520">
        <f t="shared" si="725"/>
        <v>23560</v>
      </c>
      <c r="O269" s="255">
        <f t="shared" si="726"/>
        <v>23560</v>
      </c>
      <c r="P269" s="520">
        <f t="shared" si="727"/>
        <v>23530</v>
      </c>
      <c r="Q269" s="255">
        <f t="shared" si="728"/>
        <v>23530</v>
      </c>
      <c r="R269" s="520">
        <f t="shared" si="729"/>
        <v>23500</v>
      </c>
      <c r="S269" s="255">
        <f t="shared" si="730"/>
        <v>23500</v>
      </c>
      <c r="T269" s="93">
        <f t="shared" si="731"/>
        <v>23480</v>
      </c>
      <c r="U269" s="234">
        <f t="shared" si="732"/>
        <v>23480</v>
      </c>
      <c r="V269" s="93">
        <f t="shared" si="733"/>
        <v>23460</v>
      </c>
      <c r="W269" s="234">
        <f t="shared" si="734"/>
        <v>23460</v>
      </c>
      <c r="X269" s="637"/>
      <c r="Y269" s="632"/>
      <c r="Z269" s="632"/>
      <c r="AA269" s="634"/>
      <c r="AB269" s="178">
        <v>819</v>
      </c>
    </row>
    <row r="270" spans="1:28" ht="12.6" customHeight="1" x14ac:dyDescent="0.2">
      <c r="A270" s="17"/>
      <c r="B270" s="647" t="s">
        <v>1042</v>
      </c>
      <c r="C270" s="648"/>
      <c r="D270" s="648"/>
      <c r="E270" s="648"/>
      <c r="F270" s="322">
        <f>4.3*X2</f>
        <v>6622</v>
      </c>
      <c r="G270" s="256">
        <f>+F270*$X$1</f>
        <v>6622</v>
      </c>
      <c r="H270" s="528">
        <f t="shared" si="719"/>
        <v>7422</v>
      </c>
      <c r="I270" s="256">
        <f t="shared" si="720"/>
        <v>7422</v>
      </c>
      <c r="J270" s="528">
        <f t="shared" si="721"/>
        <v>6992</v>
      </c>
      <c r="K270" s="256">
        <f t="shared" si="722"/>
        <v>6992</v>
      </c>
      <c r="L270" s="528">
        <f t="shared" si="723"/>
        <v>6922</v>
      </c>
      <c r="M270" s="256">
        <f t="shared" si="724"/>
        <v>6922</v>
      </c>
      <c r="N270" s="528">
        <f t="shared" si="725"/>
        <v>6882</v>
      </c>
      <c r="O270" s="256">
        <f t="shared" si="726"/>
        <v>6882</v>
      </c>
      <c r="P270" s="528">
        <f t="shared" si="727"/>
        <v>6852</v>
      </c>
      <c r="Q270" s="256">
        <f t="shared" si="728"/>
        <v>6852</v>
      </c>
      <c r="R270" s="528">
        <f t="shared" si="729"/>
        <v>6822</v>
      </c>
      <c r="S270" s="256">
        <f t="shared" si="730"/>
        <v>6822</v>
      </c>
      <c r="T270" s="92">
        <f t="shared" si="731"/>
        <v>6802</v>
      </c>
      <c r="U270" s="269">
        <f t="shared" si="732"/>
        <v>6802</v>
      </c>
      <c r="V270" s="92">
        <f t="shared" si="733"/>
        <v>6782</v>
      </c>
      <c r="W270" s="269">
        <f t="shared" si="734"/>
        <v>6782</v>
      </c>
      <c r="X270" s="637"/>
      <c r="Y270" s="632"/>
      <c r="Z270" s="632"/>
      <c r="AA270" s="634"/>
      <c r="AB270" s="178">
        <v>821</v>
      </c>
    </row>
    <row r="271" spans="1:28" ht="12.6" customHeight="1" x14ac:dyDescent="0.2">
      <c r="A271" s="17"/>
      <c r="B271" s="654" t="s">
        <v>1044</v>
      </c>
      <c r="C271" s="655"/>
      <c r="D271" s="655"/>
      <c r="E271" s="655"/>
      <c r="F271" s="321">
        <f>7.15*X2</f>
        <v>11011</v>
      </c>
      <c r="G271" s="255">
        <f t="shared" ref="G271" si="737">+F271*$X$1</f>
        <v>11011</v>
      </c>
      <c r="H271" s="520">
        <f t="shared" si="719"/>
        <v>11811</v>
      </c>
      <c r="I271" s="255">
        <f t="shared" si="720"/>
        <v>11811</v>
      </c>
      <c r="J271" s="520">
        <f t="shared" si="721"/>
        <v>11381</v>
      </c>
      <c r="K271" s="255">
        <f t="shared" si="722"/>
        <v>11381</v>
      </c>
      <c r="L271" s="520">
        <f t="shared" si="723"/>
        <v>11311</v>
      </c>
      <c r="M271" s="255">
        <f t="shared" si="724"/>
        <v>11311</v>
      </c>
      <c r="N271" s="520">
        <f t="shared" si="725"/>
        <v>11271</v>
      </c>
      <c r="O271" s="255">
        <f t="shared" si="726"/>
        <v>11271</v>
      </c>
      <c r="P271" s="520">
        <f t="shared" si="727"/>
        <v>11241</v>
      </c>
      <c r="Q271" s="255">
        <f t="shared" si="728"/>
        <v>11241</v>
      </c>
      <c r="R271" s="520">
        <f t="shared" si="729"/>
        <v>11211</v>
      </c>
      <c r="S271" s="255">
        <f t="shared" si="730"/>
        <v>11211</v>
      </c>
      <c r="T271" s="93">
        <f t="shared" si="731"/>
        <v>11191</v>
      </c>
      <c r="U271" s="234">
        <f t="shared" si="732"/>
        <v>11191</v>
      </c>
      <c r="V271" s="93">
        <f t="shared" si="733"/>
        <v>11171</v>
      </c>
      <c r="W271" s="234">
        <f t="shared" si="734"/>
        <v>11171</v>
      </c>
      <c r="X271" s="637"/>
      <c r="Y271" s="632"/>
      <c r="Z271" s="632"/>
      <c r="AA271" s="634"/>
      <c r="AB271" s="178">
        <v>822</v>
      </c>
    </row>
    <row r="272" spans="1:28" ht="12.6" customHeight="1" x14ac:dyDescent="0.2">
      <c r="A272" s="17"/>
      <c r="B272" s="647" t="s">
        <v>1045</v>
      </c>
      <c r="C272" s="648"/>
      <c r="D272" s="648"/>
      <c r="E272" s="648"/>
      <c r="F272" s="256">
        <v>17550</v>
      </c>
      <c r="G272" s="256">
        <f>+F272*$X$1</f>
        <v>17550</v>
      </c>
      <c r="H272" s="528">
        <f t="shared" si="719"/>
        <v>18350</v>
      </c>
      <c r="I272" s="256">
        <f t="shared" si="720"/>
        <v>18350</v>
      </c>
      <c r="J272" s="528">
        <f t="shared" si="721"/>
        <v>17920</v>
      </c>
      <c r="K272" s="256">
        <f t="shared" si="722"/>
        <v>17920</v>
      </c>
      <c r="L272" s="528">
        <f t="shared" si="723"/>
        <v>17850</v>
      </c>
      <c r="M272" s="256">
        <f t="shared" si="724"/>
        <v>17850</v>
      </c>
      <c r="N272" s="528">
        <f t="shared" si="725"/>
        <v>17810</v>
      </c>
      <c r="O272" s="256">
        <f t="shared" si="726"/>
        <v>17810</v>
      </c>
      <c r="P272" s="528">
        <f t="shared" si="727"/>
        <v>17780</v>
      </c>
      <c r="Q272" s="256">
        <f t="shared" si="728"/>
        <v>17780</v>
      </c>
      <c r="R272" s="528">
        <f t="shared" si="729"/>
        <v>17750</v>
      </c>
      <c r="S272" s="256">
        <f t="shared" si="730"/>
        <v>17750</v>
      </c>
      <c r="T272" s="92">
        <f t="shared" si="731"/>
        <v>17730</v>
      </c>
      <c r="U272" s="269">
        <f t="shared" si="732"/>
        <v>17730</v>
      </c>
      <c r="V272" s="92">
        <f t="shared" si="733"/>
        <v>17710</v>
      </c>
      <c r="W272" s="269">
        <f t="shared" si="734"/>
        <v>17710</v>
      </c>
      <c r="X272" s="637"/>
      <c r="Y272" s="632"/>
      <c r="Z272" s="632"/>
      <c r="AA272" s="634"/>
      <c r="AB272" s="178">
        <v>823</v>
      </c>
    </row>
    <row r="273" spans="1:28" ht="12.6" customHeight="1" x14ac:dyDescent="0.2">
      <c r="A273" s="17"/>
      <c r="B273" s="654" t="s">
        <v>770</v>
      </c>
      <c r="C273" s="655"/>
      <c r="D273" s="655"/>
      <c r="E273" s="655"/>
      <c r="F273" s="321">
        <f>3.2*X2</f>
        <v>4928</v>
      </c>
      <c r="G273" s="255">
        <f t="shared" ref="G273" si="738">+F273*$X$1</f>
        <v>4928</v>
      </c>
      <c r="H273" s="520">
        <f t="shared" si="719"/>
        <v>5728</v>
      </c>
      <c r="I273" s="255">
        <f t="shared" si="720"/>
        <v>5728</v>
      </c>
      <c r="J273" s="520">
        <f t="shared" si="721"/>
        <v>5298</v>
      </c>
      <c r="K273" s="255">
        <f t="shared" si="722"/>
        <v>5298</v>
      </c>
      <c r="L273" s="520">
        <f t="shared" si="723"/>
        <v>5228</v>
      </c>
      <c r="M273" s="255">
        <f t="shared" si="724"/>
        <v>5228</v>
      </c>
      <c r="N273" s="520">
        <f t="shared" si="725"/>
        <v>5188</v>
      </c>
      <c r="O273" s="255">
        <f t="shared" si="726"/>
        <v>5188</v>
      </c>
      <c r="P273" s="520">
        <f t="shared" si="727"/>
        <v>5158</v>
      </c>
      <c r="Q273" s="255">
        <f t="shared" si="728"/>
        <v>5158</v>
      </c>
      <c r="R273" s="520">
        <f t="shared" si="729"/>
        <v>5128</v>
      </c>
      <c r="S273" s="255">
        <f t="shared" si="730"/>
        <v>5128</v>
      </c>
      <c r="T273" s="93">
        <f t="shared" si="731"/>
        <v>5108</v>
      </c>
      <c r="U273" s="234">
        <f t="shared" si="732"/>
        <v>5108</v>
      </c>
      <c r="V273" s="93">
        <f t="shared" si="733"/>
        <v>5088</v>
      </c>
      <c r="W273" s="234">
        <f t="shared" si="734"/>
        <v>5088</v>
      </c>
      <c r="X273" s="637"/>
      <c r="Y273" s="632"/>
      <c r="Z273" s="632"/>
      <c r="AA273" s="634"/>
      <c r="AB273" s="178">
        <v>824</v>
      </c>
    </row>
    <row r="274" spans="1:28" ht="12.6" customHeight="1" x14ac:dyDescent="0.2">
      <c r="A274" s="17"/>
      <c r="B274" s="647" t="s">
        <v>1046</v>
      </c>
      <c r="C274" s="648"/>
      <c r="D274" s="648"/>
      <c r="E274" s="648"/>
      <c r="F274" s="322">
        <f>3*X2</f>
        <v>4620</v>
      </c>
      <c r="G274" s="256">
        <f>+F274*$X$1</f>
        <v>4620</v>
      </c>
      <c r="H274" s="528">
        <f t="shared" si="719"/>
        <v>5420</v>
      </c>
      <c r="I274" s="256">
        <f t="shared" si="720"/>
        <v>5420</v>
      </c>
      <c r="J274" s="528">
        <f t="shared" si="721"/>
        <v>4990</v>
      </c>
      <c r="K274" s="256">
        <f t="shared" si="722"/>
        <v>4990</v>
      </c>
      <c r="L274" s="528">
        <f t="shared" si="723"/>
        <v>4920</v>
      </c>
      <c r="M274" s="256">
        <f t="shared" si="724"/>
        <v>4920</v>
      </c>
      <c r="N274" s="528">
        <f t="shared" si="725"/>
        <v>4880</v>
      </c>
      <c r="O274" s="256">
        <f t="shared" si="726"/>
        <v>4880</v>
      </c>
      <c r="P274" s="528">
        <f t="shared" si="727"/>
        <v>4850</v>
      </c>
      <c r="Q274" s="256">
        <f t="shared" si="728"/>
        <v>4850</v>
      </c>
      <c r="R274" s="528">
        <f t="shared" si="729"/>
        <v>4820</v>
      </c>
      <c r="S274" s="256">
        <f t="shared" si="730"/>
        <v>4820</v>
      </c>
      <c r="T274" s="92">
        <f t="shared" si="731"/>
        <v>4800</v>
      </c>
      <c r="U274" s="269">
        <f t="shared" si="732"/>
        <v>4800</v>
      </c>
      <c r="V274" s="92">
        <f t="shared" si="733"/>
        <v>4780</v>
      </c>
      <c r="W274" s="269">
        <f t="shared" si="734"/>
        <v>4780</v>
      </c>
      <c r="X274" s="637"/>
      <c r="Y274" s="632"/>
      <c r="Z274" s="632"/>
      <c r="AA274" s="634"/>
      <c r="AB274" s="178">
        <v>825</v>
      </c>
    </row>
    <row r="275" spans="1:28" ht="12.6" customHeight="1" x14ac:dyDescent="0.2">
      <c r="A275" s="17"/>
      <c r="B275" s="654" t="s">
        <v>1047</v>
      </c>
      <c r="C275" s="655"/>
      <c r="D275" s="655"/>
      <c r="E275" s="655"/>
      <c r="F275" s="321">
        <f>6.3*X2</f>
        <v>9702</v>
      </c>
      <c r="G275" s="255">
        <f>+F275*$X$1</f>
        <v>9702</v>
      </c>
      <c r="H275" s="520">
        <f t="shared" si="719"/>
        <v>10502</v>
      </c>
      <c r="I275" s="255">
        <f t="shared" si="720"/>
        <v>10502</v>
      </c>
      <c r="J275" s="520">
        <f t="shared" si="721"/>
        <v>10072</v>
      </c>
      <c r="K275" s="255">
        <f t="shared" si="722"/>
        <v>10072</v>
      </c>
      <c r="L275" s="520">
        <f t="shared" si="723"/>
        <v>10002</v>
      </c>
      <c r="M275" s="255">
        <f t="shared" si="724"/>
        <v>10002</v>
      </c>
      <c r="N275" s="520">
        <f t="shared" si="725"/>
        <v>9962</v>
      </c>
      <c r="O275" s="255">
        <f t="shared" si="726"/>
        <v>9962</v>
      </c>
      <c r="P275" s="520">
        <f t="shared" si="727"/>
        <v>9932</v>
      </c>
      <c r="Q275" s="255">
        <f t="shared" si="728"/>
        <v>9932</v>
      </c>
      <c r="R275" s="520">
        <f t="shared" si="729"/>
        <v>9902</v>
      </c>
      <c r="S275" s="255">
        <f t="shared" si="730"/>
        <v>9902</v>
      </c>
      <c r="T275" s="93">
        <f t="shared" si="731"/>
        <v>9882</v>
      </c>
      <c r="U275" s="234">
        <f t="shared" si="732"/>
        <v>9882</v>
      </c>
      <c r="V275" s="93">
        <f t="shared" si="733"/>
        <v>9862</v>
      </c>
      <c r="W275" s="234">
        <f t="shared" si="734"/>
        <v>9862</v>
      </c>
      <c r="X275" s="637"/>
      <c r="Y275" s="632"/>
      <c r="Z275" s="632"/>
      <c r="AA275" s="634"/>
      <c r="AB275" s="178">
        <v>826</v>
      </c>
    </row>
    <row r="276" spans="1:28" ht="12.6" customHeight="1" x14ac:dyDescent="0.2">
      <c r="A276" s="17"/>
      <c r="B276" s="638" t="s">
        <v>747</v>
      </c>
      <c r="C276" s="648"/>
      <c r="D276" s="648"/>
      <c r="E276" s="648"/>
      <c r="F276" s="322">
        <f>2.9*X2</f>
        <v>4466</v>
      </c>
      <c r="G276" s="256">
        <f t="shared" ref="G276" si="739">+F276*$X$1</f>
        <v>4466</v>
      </c>
      <c r="H276" s="528">
        <f t="shared" si="719"/>
        <v>5266</v>
      </c>
      <c r="I276" s="256">
        <f t="shared" si="720"/>
        <v>5266</v>
      </c>
      <c r="J276" s="528">
        <f t="shared" si="721"/>
        <v>4836</v>
      </c>
      <c r="K276" s="256">
        <f t="shared" si="722"/>
        <v>4836</v>
      </c>
      <c r="L276" s="528">
        <f t="shared" si="723"/>
        <v>4766</v>
      </c>
      <c r="M276" s="256">
        <f t="shared" si="724"/>
        <v>4766</v>
      </c>
      <c r="N276" s="528">
        <f t="shared" si="725"/>
        <v>4726</v>
      </c>
      <c r="O276" s="256">
        <f t="shared" si="726"/>
        <v>4726</v>
      </c>
      <c r="P276" s="528">
        <f t="shared" si="727"/>
        <v>4696</v>
      </c>
      <c r="Q276" s="256">
        <f t="shared" si="728"/>
        <v>4696</v>
      </c>
      <c r="R276" s="528">
        <f t="shared" si="729"/>
        <v>4666</v>
      </c>
      <c r="S276" s="256">
        <f t="shared" si="730"/>
        <v>4666</v>
      </c>
      <c r="T276" s="92">
        <f t="shared" si="731"/>
        <v>4646</v>
      </c>
      <c r="U276" s="269">
        <f t="shared" si="732"/>
        <v>4646</v>
      </c>
      <c r="V276" s="92">
        <f t="shared" si="733"/>
        <v>4626</v>
      </c>
      <c r="W276" s="269">
        <f t="shared" si="734"/>
        <v>4626</v>
      </c>
      <c r="X276" s="637"/>
      <c r="Y276" s="632"/>
      <c r="Z276" s="632"/>
      <c r="AA276" s="634"/>
      <c r="AB276" s="178">
        <v>827</v>
      </c>
    </row>
    <row r="277" spans="1:28" ht="12.6" customHeight="1" x14ac:dyDescent="0.2">
      <c r="A277" s="17"/>
      <c r="B277" s="654" t="s">
        <v>1048</v>
      </c>
      <c r="C277" s="655"/>
      <c r="D277" s="655"/>
      <c r="E277" s="655"/>
      <c r="F277" s="321">
        <f>5.9*X2</f>
        <v>9086</v>
      </c>
      <c r="G277" s="255">
        <f>+F277*$X$1</f>
        <v>9086</v>
      </c>
      <c r="H277" s="520">
        <f t="shared" si="719"/>
        <v>9886</v>
      </c>
      <c r="I277" s="255">
        <f t="shared" si="720"/>
        <v>9886</v>
      </c>
      <c r="J277" s="520">
        <f t="shared" si="721"/>
        <v>9456</v>
      </c>
      <c r="K277" s="255">
        <f t="shared" si="722"/>
        <v>9456</v>
      </c>
      <c r="L277" s="520">
        <f t="shared" si="723"/>
        <v>9386</v>
      </c>
      <c r="M277" s="255">
        <f t="shared" si="724"/>
        <v>9386</v>
      </c>
      <c r="N277" s="520">
        <f t="shared" si="725"/>
        <v>9346</v>
      </c>
      <c r="O277" s="255">
        <f t="shared" si="726"/>
        <v>9346</v>
      </c>
      <c r="P277" s="520">
        <f t="shared" si="727"/>
        <v>9316</v>
      </c>
      <c r="Q277" s="255">
        <f t="shared" si="728"/>
        <v>9316</v>
      </c>
      <c r="R277" s="520">
        <f t="shared" si="729"/>
        <v>9286</v>
      </c>
      <c r="S277" s="255">
        <f t="shared" si="730"/>
        <v>9286</v>
      </c>
      <c r="T277" s="93">
        <f t="shared" si="731"/>
        <v>9266</v>
      </c>
      <c r="U277" s="234">
        <f t="shared" si="732"/>
        <v>9266</v>
      </c>
      <c r="V277" s="93">
        <f t="shared" si="733"/>
        <v>9246</v>
      </c>
      <c r="W277" s="234">
        <f t="shared" si="734"/>
        <v>9246</v>
      </c>
      <c r="X277" s="637"/>
      <c r="Y277" s="632"/>
      <c r="Z277" s="632"/>
      <c r="AA277" s="634"/>
      <c r="AB277" s="178">
        <v>828</v>
      </c>
    </row>
    <row r="278" spans="1:28" ht="12.6" customHeight="1" x14ac:dyDescent="0.2">
      <c r="A278" s="17"/>
      <c r="B278" s="647" t="s">
        <v>1049</v>
      </c>
      <c r="C278" s="648"/>
      <c r="D278" s="648"/>
      <c r="E278" s="648"/>
      <c r="F278" s="322">
        <f>3.612*X2</f>
        <v>5562.4800000000005</v>
      </c>
      <c r="G278" s="256">
        <f>+F278*$X$1</f>
        <v>5562.4800000000005</v>
      </c>
      <c r="H278" s="528">
        <f t="shared" si="719"/>
        <v>6362.4800000000005</v>
      </c>
      <c r="I278" s="256">
        <f t="shared" si="720"/>
        <v>6362.4800000000005</v>
      </c>
      <c r="J278" s="528">
        <f t="shared" si="721"/>
        <v>5932.4800000000005</v>
      </c>
      <c r="K278" s="256">
        <f t="shared" si="722"/>
        <v>5932.4800000000005</v>
      </c>
      <c r="L278" s="528">
        <f t="shared" si="723"/>
        <v>5862.4800000000005</v>
      </c>
      <c r="M278" s="256">
        <f t="shared" si="724"/>
        <v>5862.4800000000005</v>
      </c>
      <c r="N278" s="528">
        <f t="shared" si="725"/>
        <v>5822.4800000000005</v>
      </c>
      <c r="O278" s="256">
        <f t="shared" si="726"/>
        <v>5822.4800000000005</v>
      </c>
      <c r="P278" s="528">
        <f t="shared" si="727"/>
        <v>5792.4800000000005</v>
      </c>
      <c r="Q278" s="256">
        <f t="shared" si="728"/>
        <v>5792.4800000000005</v>
      </c>
      <c r="R278" s="528">
        <f t="shared" si="729"/>
        <v>5762.4800000000005</v>
      </c>
      <c r="S278" s="256">
        <f t="shared" si="730"/>
        <v>5762.4800000000005</v>
      </c>
      <c r="T278" s="92">
        <f t="shared" si="731"/>
        <v>5742.4800000000005</v>
      </c>
      <c r="U278" s="269">
        <f t="shared" si="732"/>
        <v>5742.4800000000005</v>
      </c>
      <c r="V278" s="92">
        <f t="shared" si="733"/>
        <v>5722.4800000000005</v>
      </c>
      <c r="W278" s="269">
        <f t="shared" si="734"/>
        <v>5722.4800000000005</v>
      </c>
      <c r="X278" s="637"/>
      <c r="Y278" s="632"/>
      <c r="Z278" s="632"/>
      <c r="AA278" s="634"/>
      <c r="AB278" s="178">
        <v>829</v>
      </c>
    </row>
    <row r="279" spans="1:28" ht="12.6" customHeight="1" x14ac:dyDescent="0.2">
      <c r="A279" s="17"/>
      <c r="B279" s="654" t="s">
        <v>1050</v>
      </c>
      <c r="C279" s="655"/>
      <c r="D279" s="655"/>
      <c r="E279" s="655"/>
      <c r="F279" s="321">
        <f>5.7*X2</f>
        <v>8778</v>
      </c>
      <c r="G279" s="255">
        <f>+F279*$X$1</f>
        <v>8778</v>
      </c>
      <c r="H279" s="520">
        <f t="shared" si="719"/>
        <v>9578</v>
      </c>
      <c r="I279" s="255">
        <f t="shared" si="720"/>
        <v>9578</v>
      </c>
      <c r="J279" s="520">
        <f t="shared" si="721"/>
        <v>9148</v>
      </c>
      <c r="K279" s="255">
        <f t="shared" si="722"/>
        <v>9148</v>
      </c>
      <c r="L279" s="520">
        <f t="shared" si="723"/>
        <v>9078</v>
      </c>
      <c r="M279" s="255">
        <f t="shared" si="724"/>
        <v>9078</v>
      </c>
      <c r="N279" s="520">
        <f t="shared" si="725"/>
        <v>9038</v>
      </c>
      <c r="O279" s="255">
        <f t="shared" si="726"/>
        <v>9038</v>
      </c>
      <c r="P279" s="520">
        <f t="shared" si="727"/>
        <v>9008</v>
      </c>
      <c r="Q279" s="255">
        <f t="shared" si="728"/>
        <v>9008</v>
      </c>
      <c r="R279" s="520">
        <f t="shared" si="729"/>
        <v>8978</v>
      </c>
      <c r="S279" s="255">
        <f t="shared" si="730"/>
        <v>8978</v>
      </c>
      <c r="T279" s="93">
        <f t="shared" si="731"/>
        <v>8958</v>
      </c>
      <c r="U279" s="234">
        <f t="shared" si="732"/>
        <v>8958</v>
      </c>
      <c r="V279" s="93">
        <f t="shared" si="733"/>
        <v>8938</v>
      </c>
      <c r="W279" s="234">
        <f t="shared" si="734"/>
        <v>8938</v>
      </c>
      <c r="X279" s="637"/>
      <c r="Y279" s="632"/>
      <c r="Z279" s="632"/>
      <c r="AA279" s="634"/>
      <c r="AB279" s="178">
        <v>831</v>
      </c>
    </row>
    <row r="280" spans="1:28" ht="12.6" customHeight="1" x14ac:dyDescent="0.2">
      <c r="A280" s="17"/>
      <c r="B280" s="647" t="s">
        <v>843</v>
      </c>
      <c r="C280" s="648"/>
      <c r="D280" s="648"/>
      <c r="E280" s="648"/>
      <c r="F280" s="322">
        <f>2.1*X2</f>
        <v>3234</v>
      </c>
      <c r="G280" s="256">
        <f t="shared" ref="G280" si="740">+F280*$X$1</f>
        <v>3234</v>
      </c>
      <c r="H280" s="528">
        <f>F280+800</f>
        <v>4034</v>
      </c>
      <c r="I280" s="256">
        <f t="shared" ref="I280:I286" si="741">+H280*$X$1</f>
        <v>4034</v>
      </c>
      <c r="J280" s="528">
        <f>F280+370</f>
        <v>3604</v>
      </c>
      <c r="K280" s="256">
        <f t="shared" ref="K280:K286" si="742">+J280*$X$1</f>
        <v>3604</v>
      </c>
      <c r="L280" s="528">
        <f t="shared" ref="L280" si="743">F280+300</f>
        <v>3534</v>
      </c>
      <c r="M280" s="256">
        <f t="shared" ref="M280" si="744">+L280*$X$1</f>
        <v>3534</v>
      </c>
      <c r="N280" s="528">
        <f t="shared" ref="N280" si="745">F280+260</f>
        <v>3494</v>
      </c>
      <c r="O280" s="256">
        <f t="shared" ref="O280" si="746">+N280*$X$1</f>
        <v>3494</v>
      </c>
      <c r="P280" s="528">
        <f t="shared" ref="P280" si="747">F280+230</f>
        <v>3464</v>
      </c>
      <c r="Q280" s="256">
        <f t="shared" ref="Q280" si="748">+P280*$X$1</f>
        <v>3464</v>
      </c>
      <c r="R280" s="528">
        <f t="shared" ref="R280" si="749">F280+200</f>
        <v>3434</v>
      </c>
      <c r="S280" s="256">
        <f t="shared" ref="S280" si="750">+R280*$X$1</f>
        <v>3434</v>
      </c>
      <c r="T280" s="92">
        <f t="shared" ref="T280" si="751">F280+180</f>
        <v>3414</v>
      </c>
      <c r="U280" s="269">
        <f t="shared" ref="U280" si="752">+T280*$X$1</f>
        <v>3414</v>
      </c>
      <c r="V280" s="92">
        <f t="shared" ref="V280" si="753">F280+160</f>
        <v>3394</v>
      </c>
      <c r="W280" s="269">
        <f t="shared" ref="W280" si="754">+V280*$X$1</f>
        <v>3394</v>
      </c>
      <c r="X280" s="637"/>
      <c r="Y280" s="632"/>
      <c r="Z280" s="632"/>
      <c r="AA280" s="634"/>
      <c r="AB280" s="178">
        <v>832</v>
      </c>
    </row>
    <row r="281" spans="1:28" ht="12.6" customHeight="1" x14ac:dyDescent="0.2">
      <c r="A281" s="17"/>
      <c r="B281" s="654" t="s">
        <v>1051</v>
      </c>
      <c r="C281" s="655"/>
      <c r="D281" s="655"/>
      <c r="E281" s="655"/>
      <c r="F281" s="321">
        <f>11.8*X2</f>
        <v>18172</v>
      </c>
      <c r="G281" s="255">
        <f t="shared" ref="G281" si="755">+F281*$X$1</f>
        <v>18172</v>
      </c>
      <c r="H281" s="520">
        <f t="shared" ref="H281:H286" si="756">F281+800</f>
        <v>18972</v>
      </c>
      <c r="I281" s="255">
        <f t="shared" si="741"/>
        <v>18972</v>
      </c>
      <c r="J281" s="520">
        <f t="shared" ref="J281:J286" si="757">F281+370</f>
        <v>18542</v>
      </c>
      <c r="K281" s="255">
        <f t="shared" si="742"/>
        <v>18542</v>
      </c>
      <c r="L281" s="520">
        <f t="shared" ref="L281:L286" si="758">F281+300</f>
        <v>18472</v>
      </c>
      <c r="M281" s="255">
        <f t="shared" ref="M281:M286" si="759">+L281*$X$1</f>
        <v>18472</v>
      </c>
      <c r="N281" s="520">
        <f t="shared" ref="N281:N286" si="760">F281+260</f>
        <v>18432</v>
      </c>
      <c r="O281" s="255">
        <f t="shared" ref="O281:O286" si="761">+N281*$X$1</f>
        <v>18432</v>
      </c>
      <c r="P281" s="520">
        <f t="shared" ref="P281:P286" si="762">F281+230</f>
        <v>18402</v>
      </c>
      <c r="Q281" s="255">
        <f t="shared" ref="Q281:Q286" si="763">+P281*$X$1</f>
        <v>18402</v>
      </c>
      <c r="R281" s="520">
        <f t="shared" ref="R281:R286" si="764">F281+200</f>
        <v>18372</v>
      </c>
      <c r="S281" s="255">
        <f t="shared" ref="S281:S286" si="765">+R281*$X$1</f>
        <v>18372</v>
      </c>
      <c r="T281" s="93">
        <f t="shared" ref="T281:T286" si="766">F281+180</f>
        <v>18352</v>
      </c>
      <c r="U281" s="234">
        <f t="shared" ref="U281:U286" si="767">+T281*$X$1</f>
        <v>18352</v>
      </c>
      <c r="V281" s="93">
        <f t="shared" ref="V281:V286" si="768">F281+160</f>
        <v>18332</v>
      </c>
      <c r="W281" s="234">
        <f t="shared" ref="W281:W286" si="769">+V281*$X$1</f>
        <v>18332</v>
      </c>
      <c r="X281" s="637"/>
      <c r="Y281" s="632"/>
      <c r="Z281" s="632"/>
      <c r="AA281" s="634"/>
      <c r="AB281" s="178">
        <v>833</v>
      </c>
    </row>
    <row r="282" spans="1:28" ht="12.6" customHeight="1" x14ac:dyDescent="0.2">
      <c r="A282" s="17"/>
      <c r="B282" s="691" t="s">
        <v>1052</v>
      </c>
      <c r="C282" s="692"/>
      <c r="D282" s="692"/>
      <c r="E282" s="692"/>
      <c r="F282" s="451">
        <f>5.1*X2</f>
        <v>7853.9999999999991</v>
      </c>
      <c r="G282" s="447">
        <f t="shared" ref="G282" si="770">+F282*$X$1</f>
        <v>7853.9999999999991</v>
      </c>
      <c r="H282" s="617">
        <f t="shared" si="756"/>
        <v>8654</v>
      </c>
      <c r="I282" s="447">
        <f t="shared" si="741"/>
        <v>8654</v>
      </c>
      <c r="J282" s="617">
        <f t="shared" si="757"/>
        <v>8224</v>
      </c>
      <c r="K282" s="447">
        <f t="shared" si="742"/>
        <v>8224</v>
      </c>
      <c r="L282" s="617">
        <f t="shared" si="758"/>
        <v>8153.9999999999991</v>
      </c>
      <c r="M282" s="447">
        <f t="shared" si="759"/>
        <v>8153.9999999999991</v>
      </c>
      <c r="N282" s="617">
        <f t="shared" si="760"/>
        <v>8113.9999999999991</v>
      </c>
      <c r="O282" s="447">
        <f t="shared" si="761"/>
        <v>8113.9999999999991</v>
      </c>
      <c r="P282" s="617">
        <f t="shared" si="762"/>
        <v>8083.9999999999991</v>
      </c>
      <c r="Q282" s="447">
        <f t="shared" si="763"/>
        <v>8083.9999999999991</v>
      </c>
      <c r="R282" s="617">
        <f t="shared" si="764"/>
        <v>8053.9999999999991</v>
      </c>
      <c r="S282" s="447">
        <f t="shared" si="765"/>
        <v>8053.9999999999991</v>
      </c>
      <c r="T282" s="516">
        <f t="shared" si="766"/>
        <v>8033.9999999999991</v>
      </c>
      <c r="U282" s="515">
        <f t="shared" si="767"/>
        <v>8033.9999999999991</v>
      </c>
      <c r="V282" s="516">
        <f t="shared" si="768"/>
        <v>8013.9999999999991</v>
      </c>
      <c r="W282" s="515">
        <f t="shared" si="769"/>
        <v>8013.9999999999991</v>
      </c>
      <c r="X282" s="637"/>
      <c r="Y282" s="632"/>
      <c r="Z282" s="632"/>
      <c r="AA282" s="634"/>
      <c r="AB282" s="178">
        <v>834</v>
      </c>
    </row>
    <row r="283" spans="1:28" ht="12.6" customHeight="1" x14ac:dyDescent="0.2">
      <c r="A283" s="17"/>
      <c r="B283" s="654" t="s">
        <v>548</v>
      </c>
      <c r="C283" s="655"/>
      <c r="D283" s="655"/>
      <c r="E283" s="655"/>
      <c r="F283" s="321">
        <f>7.2*X2</f>
        <v>11088</v>
      </c>
      <c r="G283" s="255">
        <f>+F283*$X$1</f>
        <v>11088</v>
      </c>
      <c r="H283" s="520">
        <f t="shared" si="756"/>
        <v>11888</v>
      </c>
      <c r="I283" s="255">
        <f t="shared" si="741"/>
        <v>11888</v>
      </c>
      <c r="J283" s="520">
        <f t="shared" si="757"/>
        <v>11458</v>
      </c>
      <c r="K283" s="255">
        <f t="shared" si="742"/>
        <v>11458</v>
      </c>
      <c r="L283" s="520">
        <f t="shared" si="758"/>
        <v>11388</v>
      </c>
      <c r="M283" s="255">
        <f t="shared" si="759"/>
        <v>11388</v>
      </c>
      <c r="N283" s="520">
        <f t="shared" si="760"/>
        <v>11348</v>
      </c>
      <c r="O283" s="255">
        <f t="shared" si="761"/>
        <v>11348</v>
      </c>
      <c r="P283" s="520">
        <f t="shared" si="762"/>
        <v>11318</v>
      </c>
      <c r="Q283" s="255">
        <f t="shared" si="763"/>
        <v>11318</v>
      </c>
      <c r="R283" s="520">
        <f t="shared" si="764"/>
        <v>11288</v>
      </c>
      <c r="S283" s="255">
        <f t="shared" si="765"/>
        <v>11288</v>
      </c>
      <c r="T283" s="93">
        <f t="shared" si="766"/>
        <v>11268</v>
      </c>
      <c r="U283" s="234">
        <f t="shared" si="767"/>
        <v>11268</v>
      </c>
      <c r="V283" s="93">
        <f t="shared" si="768"/>
        <v>11248</v>
      </c>
      <c r="W283" s="234">
        <f t="shared" si="769"/>
        <v>11248</v>
      </c>
      <c r="X283" s="637"/>
      <c r="Y283" s="632"/>
      <c r="Z283" s="632"/>
      <c r="AA283" s="634"/>
      <c r="AB283" s="178">
        <v>836</v>
      </c>
    </row>
    <row r="284" spans="1:28" ht="12.6" customHeight="1" x14ac:dyDescent="0.2">
      <c r="A284" s="17"/>
      <c r="B284" s="638" t="s">
        <v>741</v>
      </c>
      <c r="C284" s="648"/>
      <c r="D284" s="648"/>
      <c r="E284" s="648"/>
      <c r="F284" s="322">
        <f>4.8*X2</f>
        <v>7392</v>
      </c>
      <c r="G284" s="256">
        <f t="shared" ref="G284" si="771">+F284*$X$1</f>
        <v>7392</v>
      </c>
      <c r="H284" s="528">
        <f t="shared" si="756"/>
        <v>8192</v>
      </c>
      <c r="I284" s="256">
        <f t="shared" si="741"/>
        <v>8192</v>
      </c>
      <c r="J284" s="528">
        <f t="shared" si="757"/>
        <v>7762</v>
      </c>
      <c r="K284" s="256">
        <f t="shared" si="742"/>
        <v>7762</v>
      </c>
      <c r="L284" s="528">
        <f t="shared" si="758"/>
        <v>7692</v>
      </c>
      <c r="M284" s="256">
        <f t="shared" si="759"/>
        <v>7692</v>
      </c>
      <c r="N284" s="528">
        <f t="shared" si="760"/>
        <v>7652</v>
      </c>
      <c r="O284" s="256">
        <f t="shared" si="761"/>
        <v>7652</v>
      </c>
      <c r="P284" s="528">
        <f t="shared" si="762"/>
        <v>7622</v>
      </c>
      <c r="Q284" s="256">
        <f t="shared" si="763"/>
        <v>7622</v>
      </c>
      <c r="R284" s="528">
        <f t="shared" si="764"/>
        <v>7592</v>
      </c>
      <c r="S284" s="256">
        <f t="shared" si="765"/>
        <v>7592</v>
      </c>
      <c r="T284" s="92">
        <f t="shared" si="766"/>
        <v>7572</v>
      </c>
      <c r="U284" s="269">
        <f t="shared" si="767"/>
        <v>7572</v>
      </c>
      <c r="V284" s="92">
        <f t="shared" si="768"/>
        <v>7552</v>
      </c>
      <c r="W284" s="269">
        <f t="shared" si="769"/>
        <v>7552</v>
      </c>
      <c r="X284" s="637"/>
      <c r="Y284" s="632"/>
      <c r="Z284" s="632"/>
      <c r="AA284" s="634"/>
      <c r="AB284" s="178">
        <v>837</v>
      </c>
    </row>
    <row r="285" spans="1:28" ht="12.6" customHeight="1" x14ac:dyDescent="0.2">
      <c r="A285" s="17"/>
      <c r="B285" s="699" t="s">
        <v>1053</v>
      </c>
      <c r="C285" s="655"/>
      <c r="D285" s="655"/>
      <c r="E285" s="655"/>
      <c r="F285" s="321">
        <f>7.98*X2</f>
        <v>12289.2</v>
      </c>
      <c r="G285" s="255">
        <f t="shared" ref="G285" si="772">+F285*$X$1</f>
        <v>12289.2</v>
      </c>
      <c r="H285" s="520">
        <f t="shared" si="756"/>
        <v>13089.2</v>
      </c>
      <c r="I285" s="255">
        <f t="shared" si="741"/>
        <v>13089.2</v>
      </c>
      <c r="J285" s="520">
        <f t="shared" si="757"/>
        <v>12659.2</v>
      </c>
      <c r="K285" s="255">
        <f t="shared" si="742"/>
        <v>12659.2</v>
      </c>
      <c r="L285" s="520">
        <f t="shared" si="758"/>
        <v>12589.2</v>
      </c>
      <c r="M285" s="255">
        <f t="shared" si="759"/>
        <v>12589.2</v>
      </c>
      <c r="N285" s="520">
        <f t="shared" si="760"/>
        <v>12549.2</v>
      </c>
      <c r="O285" s="255">
        <f t="shared" si="761"/>
        <v>12549.2</v>
      </c>
      <c r="P285" s="520">
        <f t="shared" si="762"/>
        <v>12519.2</v>
      </c>
      <c r="Q285" s="255">
        <f t="shared" si="763"/>
        <v>12519.2</v>
      </c>
      <c r="R285" s="520">
        <f t="shared" si="764"/>
        <v>12489.2</v>
      </c>
      <c r="S285" s="255">
        <f t="shared" si="765"/>
        <v>12489.2</v>
      </c>
      <c r="T285" s="93">
        <f t="shared" si="766"/>
        <v>12469.2</v>
      </c>
      <c r="U285" s="234">
        <f t="shared" si="767"/>
        <v>12469.2</v>
      </c>
      <c r="V285" s="93">
        <f t="shared" si="768"/>
        <v>12449.2</v>
      </c>
      <c r="W285" s="234">
        <f t="shared" si="769"/>
        <v>12449.2</v>
      </c>
      <c r="X285" s="637"/>
      <c r="Y285" s="632"/>
      <c r="Z285" s="632"/>
      <c r="AA285" s="634"/>
      <c r="AB285" s="178">
        <v>838</v>
      </c>
    </row>
    <row r="286" spans="1:28" ht="12.6" customHeight="1" x14ac:dyDescent="0.2">
      <c r="A286" s="17"/>
      <c r="B286" s="638" t="s">
        <v>1054</v>
      </c>
      <c r="C286" s="648"/>
      <c r="D286" s="648"/>
      <c r="E286" s="648"/>
      <c r="F286" s="322">
        <f>1.9*X2</f>
        <v>2926</v>
      </c>
      <c r="G286" s="256">
        <f t="shared" ref="G286" si="773">+F286*$X$1</f>
        <v>2926</v>
      </c>
      <c r="H286" s="528">
        <f t="shared" si="756"/>
        <v>3726</v>
      </c>
      <c r="I286" s="256">
        <f t="shared" si="741"/>
        <v>3726</v>
      </c>
      <c r="J286" s="528">
        <f t="shared" si="757"/>
        <v>3296</v>
      </c>
      <c r="K286" s="256">
        <f t="shared" si="742"/>
        <v>3296</v>
      </c>
      <c r="L286" s="528">
        <f t="shared" si="758"/>
        <v>3226</v>
      </c>
      <c r="M286" s="256">
        <f t="shared" si="759"/>
        <v>3226</v>
      </c>
      <c r="N286" s="528">
        <f t="shared" si="760"/>
        <v>3186</v>
      </c>
      <c r="O286" s="256">
        <f t="shared" si="761"/>
        <v>3186</v>
      </c>
      <c r="P286" s="528">
        <f t="shared" si="762"/>
        <v>3156</v>
      </c>
      <c r="Q286" s="256">
        <f t="shared" si="763"/>
        <v>3156</v>
      </c>
      <c r="R286" s="528">
        <f t="shared" si="764"/>
        <v>3126</v>
      </c>
      <c r="S286" s="256">
        <f t="shared" si="765"/>
        <v>3126</v>
      </c>
      <c r="T286" s="92">
        <f t="shared" si="766"/>
        <v>3106</v>
      </c>
      <c r="U286" s="269">
        <f t="shared" si="767"/>
        <v>3106</v>
      </c>
      <c r="V286" s="92">
        <f t="shared" si="768"/>
        <v>3086</v>
      </c>
      <c r="W286" s="269">
        <f t="shared" si="769"/>
        <v>3086</v>
      </c>
      <c r="X286" s="637"/>
      <c r="Y286" s="632"/>
      <c r="Z286" s="632"/>
      <c r="AA286" s="634"/>
      <c r="AB286" s="178">
        <v>839</v>
      </c>
    </row>
    <row r="287" spans="1:28" ht="12.6" customHeight="1" x14ac:dyDescent="0.2">
      <c r="A287" s="17"/>
      <c r="B287" s="686" t="s">
        <v>1055</v>
      </c>
      <c r="C287" s="687"/>
      <c r="D287" s="687"/>
      <c r="E287" s="687"/>
      <c r="F287" s="324">
        <f>5*X2</f>
        <v>7700</v>
      </c>
      <c r="G287" s="270">
        <f>+F287*$X$1</f>
        <v>7700</v>
      </c>
      <c r="H287" s="520">
        <f t="shared" ref="H287:H294" si="774">F287+800</f>
        <v>8500</v>
      </c>
      <c r="I287" s="255">
        <f t="shared" ref="I287:I294" si="775">+H287*$X$1</f>
        <v>8500</v>
      </c>
      <c r="J287" s="520">
        <f t="shared" ref="J287:J294" si="776">F287+370</f>
        <v>8070</v>
      </c>
      <c r="K287" s="255">
        <f t="shared" ref="K287:K294" si="777">+J287*$X$1</f>
        <v>8070</v>
      </c>
      <c r="L287" s="520">
        <f t="shared" ref="L287:L294" si="778">F287+300</f>
        <v>8000</v>
      </c>
      <c r="M287" s="255">
        <f t="shared" ref="M287:M294" si="779">+L287*$X$1</f>
        <v>8000</v>
      </c>
      <c r="N287" s="520">
        <f t="shared" ref="N287:N294" si="780">F287+260</f>
        <v>7960</v>
      </c>
      <c r="O287" s="255">
        <f t="shared" ref="O287:O294" si="781">+N287*$X$1</f>
        <v>7960</v>
      </c>
      <c r="P287" s="520">
        <f t="shared" ref="P287:P294" si="782">F287+230</f>
        <v>7930</v>
      </c>
      <c r="Q287" s="255">
        <f t="shared" ref="Q287:Q294" si="783">+P287*$X$1</f>
        <v>7930</v>
      </c>
      <c r="R287" s="520">
        <f t="shared" ref="R287:R294" si="784">F287+200</f>
        <v>7900</v>
      </c>
      <c r="S287" s="255">
        <f t="shared" ref="S287:S294" si="785">+R287*$X$1</f>
        <v>7900</v>
      </c>
      <c r="T287" s="93">
        <f t="shared" ref="T287:T294" si="786">F287+180</f>
        <v>7880</v>
      </c>
      <c r="U287" s="234">
        <f t="shared" ref="U287:U294" si="787">+T287*$X$1</f>
        <v>7880</v>
      </c>
      <c r="V287" s="93">
        <f t="shared" ref="V287:V294" si="788">F287+160</f>
        <v>7860</v>
      </c>
      <c r="W287" s="234">
        <f t="shared" ref="W287:W294" si="789">+V287*$X$1</f>
        <v>7860</v>
      </c>
      <c r="X287" s="637"/>
      <c r="Y287" s="632"/>
      <c r="Z287" s="632"/>
      <c r="AA287" s="634"/>
      <c r="AB287" s="337">
        <v>916</v>
      </c>
    </row>
    <row r="288" spans="1:28" ht="12.6" customHeight="1" x14ac:dyDescent="0.2">
      <c r="A288" s="17"/>
      <c r="B288" s="647" t="s">
        <v>1056</v>
      </c>
      <c r="C288" s="648"/>
      <c r="D288" s="648"/>
      <c r="E288" s="648"/>
      <c r="F288" s="322">
        <f>6.41*X2</f>
        <v>9871.4</v>
      </c>
      <c r="G288" s="256">
        <f>+F288*$X$1</f>
        <v>9871.4</v>
      </c>
      <c r="H288" s="528">
        <f t="shared" si="774"/>
        <v>10671.4</v>
      </c>
      <c r="I288" s="256">
        <f t="shared" si="775"/>
        <v>10671.4</v>
      </c>
      <c r="J288" s="528">
        <f t="shared" si="776"/>
        <v>10241.4</v>
      </c>
      <c r="K288" s="256">
        <f t="shared" si="777"/>
        <v>10241.4</v>
      </c>
      <c r="L288" s="528">
        <f t="shared" si="778"/>
        <v>10171.4</v>
      </c>
      <c r="M288" s="256">
        <f t="shared" si="779"/>
        <v>10171.4</v>
      </c>
      <c r="N288" s="528">
        <f t="shared" si="780"/>
        <v>10131.4</v>
      </c>
      <c r="O288" s="256">
        <f t="shared" si="781"/>
        <v>10131.4</v>
      </c>
      <c r="P288" s="528">
        <f t="shared" si="782"/>
        <v>10101.4</v>
      </c>
      <c r="Q288" s="256">
        <f t="shared" si="783"/>
        <v>10101.4</v>
      </c>
      <c r="R288" s="528">
        <f t="shared" si="784"/>
        <v>10071.4</v>
      </c>
      <c r="S288" s="256">
        <f t="shared" si="785"/>
        <v>10071.4</v>
      </c>
      <c r="T288" s="92">
        <f t="shared" si="786"/>
        <v>10051.4</v>
      </c>
      <c r="U288" s="269">
        <f t="shared" si="787"/>
        <v>10051.4</v>
      </c>
      <c r="V288" s="92">
        <f t="shared" si="788"/>
        <v>10031.4</v>
      </c>
      <c r="W288" s="269">
        <f t="shared" si="789"/>
        <v>10031.4</v>
      </c>
      <c r="X288" s="637"/>
      <c r="Y288" s="632"/>
      <c r="Z288" s="632"/>
      <c r="AA288" s="634"/>
      <c r="AB288" s="178">
        <v>917</v>
      </c>
    </row>
    <row r="289" spans="1:33" ht="12.6" customHeight="1" x14ac:dyDescent="0.2">
      <c r="A289" s="17"/>
      <c r="B289" s="691" t="s">
        <v>178</v>
      </c>
      <c r="C289" s="692"/>
      <c r="D289" s="692"/>
      <c r="E289" s="692"/>
      <c r="F289" s="451">
        <f>4.8*X2</f>
        <v>7392</v>
      </c>
      <c r="G289" s="447">
        <f>+F289*$X$1</f>
        <v>7392</v>
      </c>
      <c r="H289" s="617">
        <f t="shared" si="774"/>
        <v>8192</v>
      </c>
      <c r="I289" s="447">
        <f t="shared" si="775"/>
        <v>8192</v>
      </c>
      <c r="J289" s="617">
        <f t="shared" si="776"/>
        <v>7762</v>
      </c>
      <c r="K289" s="447">
        <f t="shared" si="777"/>
        <v>7762</v>
      </c>
      <c r="L289" s="617">
        <f t="shared" si="778"/>
        <v>7692</v>
      </c>
      <c r="M289" s="447">
        <f t="shared" si="779"/>
        <v>7692</v>
      </c>
      <c r="N289" s="617">
        <f t="shared" si="780"/>
        <v>7652</v>
      </c>
      <c r="O289" s="447">
        <f t="shared" si="781"/>
        <v>7652</v>
      </c>
      <c r="P289" s="617">
        <f t="shared" si="782"/>
        <v>7622</v>
      </c>
      <c r="Q289" s="447">
        <f t="shared" si="783"/>
        <v>7622</v>
      </c>
      <c r="R289" s="617">
        <f t="shared" si="784"/>
        <v>7592</v>
      </c>
      <c r="S289" s="447">
        <f t="shared" si="785"/>
        <v>7592</v>
      </c>
      <c r="T289" s="516">
        <f t="shared" si="786"/>
        <v>7572</v>
      </c>
      <c r="U289" s="515">
        <f t="shared" si="787"/>
        <v>7572</v>
      </c>
      <c r="V289" s="516">
        <f t="shared" si="788"/>
        <v>7552</v>
      </c>
      <c r="W289" s="515">
        <f t="shared" si="789"/>
        <v>7552</v>
      </c>
      <c r="X289" s="979"/>
      <c r="Y289" s="980"/>
      <c r="Z289" s="980"/>
      <c r="AA289" s="981"/>
      <c r="AB289" s="348">
        <v>918</v>
      </c>
    </row>
    <row r="290" spans="1:33" ht="12.6" customHeight="1" x14ac:dyDescent="0.2">
      <c r="A290" s="17"/>
      <c r="B290" s="654" t="s">
        <v>388</v>
      </c>
      <c r="C290" s="655"/>
      <c r="D290" s="655"/>
      <c r="E290" s="655"/>
      <c r="F290" s="321">
        <f>6.6*X2</f>
        <v>10164</v>
      </c>
      <c r="G290" s="255">
        <f>+F290*$X$1</f>
        <v>10164</v>
      </c>
      <c r="H290" s="520">
        <f t="shared" si="774"/>
        <v>10964</v>
      </c>
      <c r="I290" s="255">
        <f t="shared" si="775"/>
        <v>10964</v>
      </c>
      <c r="J290" s="520">
        <f t="shared" si="776"/>
        <v>10534</v>
      </c>
      <c r="K290" s="255">
        <f t="shared" si="777"/>
        <v>10534</v>
      </c>
      <c r="L290" s="520">
        <f t="shared" si="778"/>
        <v>10464</v>
      </c>
      <c r="M290" s="255">
        <f t="shared" si="779"/>
        <v>10464</v>
      </c>
      <c r="N290" s="520">
        <f t="shared" si="780"/>
        <v>10424</v>
      </c>
      <c r="O290" s="255">
        <f t="shared" si="781"/>
        <v>10424</v>
      </c>
      <c r="P290" s="520">
        <f t="shared" si="782"/>
        <v>10394</v>
      </c>
      <c r="Q290" s="255">
        <f t="shared" si="783"/>
        <v>10394</v>
      </c>
      <c r="R290" s="520">
        <f t="shared" si="784"/>
        <v>10364</v>
      </c>
      <c r="S290" s="255">
        <f t="shared" si="785"/>
        <v>10364</v>
      </c>
      <c r="T290" s="93">
        <f t="shared" si="786"/>
        <v>10344</v>
      </c>
      <c r="U290" s="234">
        <f t="shared" si="787"/>
        <v>10344</v>
      </c>
      <c r="V290" s="93">
        <f t="shared" si="788"/>
        <v>10324</v>
      </c>
      <c r="W290" s="234">
        <f t="shared" si="789"/>
        <v>10324</v>
      </c>
      <c r="X290" s="637"/>
      <c r="Y290" s="633"/>
      <c r="Z290" s="633"/>
      <c r="AA290" s="634"/>
      <c r="AB290" s="178">
        <v>919</v>
      </c>
    </row>
    <row r="291" spans="1:33" ht="12.6" customHeight="1" x14ac:dyDescent="0.2">
      <c r="A291" s="17"/>
      <c r="B291" s="647" t="s">
        <v>1057</v>
      </c>
      <c r="C291" s="648"/>
      <c r="D291" s="648"/>
      <c r="E291" s="648"/>
      <c r="F291" s="322">
        <f>4.6*X2</f>
        <v>7083.9999999999991</v>
      </c>
      <c r="G291" s="256">
        <f t="shared" ref="G291" si="790">+F291*$X$1</f>
        <v>7083.9999999999991</v>
      </c>
      <c r="H291" s="528">
        <f t="shared" si="774"/>
        <v>7883.9999999999991</v>
      </c>
      <c r="I291" s="256">
        <f t="shared" si="775"/>
        <v>7883.9999999999991</v>
      </c>
      <c r="J291" s="528">
        <f t="shared" si="776"/>
        <v>7453.9999999999991</v>
      </c>
      <c r="K291" s="256">
        <f t="shared" si="777"/>
        <v>7453.9999999999991</v>
      </c>
      <c r="L291" s="528">
        <f t="shared" si="778"/>
        <v>7383.9999999999991</v>
      </c>
      <c r="M291" s="256">
        <f t="shared" si="779"/>
        <v>7383.9999999999991</v>
      </c>
      <c r="N291" s="528">
        <f t="shared" si="780"/>
        <v>7343.9999999999991</v>
      </c>
      <c r="O291" s="256">
        <f t="shared" si="781"/>
        <v>7343.9999999999991</v>
      </c>
      <c r="P291" s="528">
        <f t="shared" si="782"/>
        <v>7313.9999999999991</v>
      </c>
      <c r="Q291" s="256">
        <f t="shared" si="783"/>
        <v>7313.9999999999991</v>
      </c>
      <c r="R291" s="528">
        <f t="shared" si="784"/>
        <v>7283.9999999999991</v>
      </c>
      <c r="S291" s="256">
        <f t="shared" si="785"/>
        <v>7283.9999999999991</v>
      </c>
      <c r="T291" s="92">
        <f t="shared" si="786"/>
        <v>7263.9999999999991</v>
      </c>
      <c r="U291" s="269">
        <f t="shared" si="787"/>
        <v>7263.9999999999991</v>
      </c>
      <c r="V291" s="92">
        <f t="shared" si="788"/>
        <v>7243.9999999999991</v>
      </c>
      <c r="W291" s="269">
        <f t="shared" si="789"/>
        <v>7243.9999999999991</v>
      </c>
      <c r="X291" s="637"/>
      <c r="Y291" s="632"/>
      <c r="Z291" s="632"/>
      <c r="AA291" s="634"/>
      <c r="AB291" s="178">
        <v>920</v>
      </c>
    </row>
    <row r="292" spans="1:33" ht="12.6" customHeight="1" x14ac:dyDescent="0.2">
      <c r="A292" s="17"/>
      <c r="B292" s="654" t="s">
        <v>1058</v>
      </c>
      <c r="C292" s="655"/>
      <c r="D292" s="655"/>
      <c r="E292" s="655"/>
      <c r="F292" s="321">
        <f>4.6*X2</f>
        <v>7083.9999999999991</v>
      </c>
      <c r="G292" s="255">
        <f t="shared" ref="G292" si="791">+F292*$X$1</f>
        <v>7083.9999999999991</v>
      </c>
      <c r="H292" s="520">
        <f t="shared" si="774"/>
        <v>7883.9999999999991</v>
      </c>
      <c r="I292" s="255">
        <f t="shared" si="775"/>
        <v>7883.9999999999991</v>
      </c>
      <c r="J292" s="520">
        <f t="shared" si="776"/>
        <v>7453.9999999999991</v>
      </c>
      <c r="K292" s="255">
        <f t="shared" si="777"/>
        <v>7453.9999999999991</v>
      </c>
      <c r="L292" s="520">
        <f t="shared" si="778"/>
        <v>7383.9999999999991</v>
      </c>
      <c r="M292" s="255">
        <f t="shared" si="779"/>
        <v>7383.9999999999991</v>
      </c>
      <c r="N292" s="520">
        <f t="shared" si="780"/>
        <v>7343.9999999999991</v>
      </c>
      <c r="O292" s="255">
        <f t="shared" si="781"/>
        <v>7343.9999999999991</v>
      </c>
      <c r="P292" s="520">
        <f t="shared" si="782"/>
        <v>7313.9999999999991</v>
      </c>
      <c r="Q292" s="255">
        <f t="shared" si="783"/>
        <v>7313.9999999999991</v>
      </c>
      <c r="R292" s="520">
        <f t="shared" si="784"/>
        <v>7283.9999999999991</v>
      </c>
      <c r="S292" s="255">
        <f t="shared" si="785"/>
        <v>7283.9999999999991</v>
      </c>
      <c r="T292" s="93">
        <f t="shared" si="786"/>
        <v>7263.9999999999991</v>
      </c>
      <c r="U292" s="234">
        <f t="shared" si="787"/>
        <v>7263.9999999999991</v>
      </c>
      <c r="V292" s="93">
        <f t="shared" si="788"/>
        <v>7243.9999999999991</v>
      </c>
      <c r="W292" s="234">
        <f t="shared" si="789"/>
        <v>7243.9999999999991</v>
      </c>
      <c r="X292" s="637"/>
      <c r="Y292" s="632"/>
      <c r="Z292" s="632"/>
      <c r="AA292" s="634"/>
      <c r="AB292" s="178" t="s">
        <v>705</v>
      </c>
    </row>
    <row r="293" spans="1:33" ht="12.6" customHeight="1" x14ac:dyDescent="0.2">
      <c r="A293" s="17"/>
      <c r="B293" s="647" t="s">
        <v>1059</v>
      </c>
      <c r="C293" s="648"/>
      <c r="D293" s="648"/>
      <c r="E293" s="648"/>
      <c r="F293" s="322">
        <f>7.36*X2</f>
        <v>11334.4</v>
      </c>
      <c r="G293" s="256">
        <f t="shared" ref="G293:G295" si="792">+F293*$X$1</f>
        <v>11334.4</v>
      </c>
      <c r="H293" s="528">
        <f t="shared" si="774"/>
        <v>12134.4</v>
      </c>
      <c r="I293" s="256">
        <f t="shared" si="775"/>
        <v>12134.4</v>
      </c>
      <c r="J293" s="528">
        <f t="shared" si="776"/>
        <v>11704.4</v>
      </c>
      <c r="K293" s="256">
        <f t="shared" si="777"/>
        <v>11704.4</v>
      </c>
      <c r="L293" s="528">
        <f t="shared" si="778"/>
        <v>11634.4</v>
      </c>
      <c r="M293" s="256">
        <f t="shared" si="779"/>
        <v>11634.4</v>
      </c>
      <c r="N293" s="528">
        <f t="shared" si="780"/>
        <v>11594.4</v>
      </c>
      <c r="O293" s="256">
        <f t="shared" si="781"/>
        <v>11594.4</v>
      </c>
      <c r="P293" s="528">
        <f t="shared" si="782"/>
        <v>11564.4</v>
      </c>
      <c r="Q293" s="256">
        <f t="shared" si="783"/>
        <v>11564.4</v>
      </c>
      <c r="R293" s="528">
        <f t="shared" si="784"/>
        <v>11534.4</v>
      </c>
      <c r="S293" s="256">
        <f t="shared" si="785"/>
        <v>11534.4</v>
      </c>
      <c r="T293" s="92">
        <f t="shared" si="786"/>
        <v>11514.4</v>
      </c>
      <c r="U293" s="269">
        <f t="shared" si="787"/>
        <v>11514.4</v>
      </c>
      <c r="V293" s="92">
        <f t="shared" si="788"/>
        <v>11494.4</v>
      </c>
      <c r="W293" s="269">
        <f t="shared" si="789"/>
        <v>11494.4</v>
      </c>
      <c r="X293" s="637"/>
      <c r="Y293" s="632"/>
      <c r="Z293" s="632"/>
      <c r="AA293" s="634"/>
      <c r="AB293" s="178" t="s">
        <v>742</v>
      </c>
    </row>
    <row r="294" spans="1:33" ht="12.6" customHeight="1" x14ac:dyDescent="0.2">
      <c r="A294" s="17"/>
      <c r="B294" s="699" t="s">
        <v>775</v>
      </c>
      <c r="C294" s="655"/>
      <c r="D294" s="655"/>
      <c r="E294" s="655"/>
      <c r="F294" s="321">
        <f>5.03*X2</f>
        <v>7746.2000000000007</v>
      </c>
      <c r="G294" s="255">
        <f t="shared" si="792"/>
        <v>7746.2000000000007</v>
      </c>
      <c r="H294" s="520">
        <f t="shared" si="774"/>
        <v>8546.2000000000007</v>
      </c>
      <c r="I294" s="255">
        <f t="shared" si="775"/>
        <v>8546.2000000000007</v>
      </c>
      <c r="J294" s="520">
        <f t="shared" si="776"/>
        <v>8116.2000000000007</v>
      </c>
      <c r="K294" s="255">
        <f t="shared" si="777"/>
        <v>8116.2000000000007</v>
      </c>
      <c r="L294" s="520">
        <f t="shared" si="778"/>
        <v>8046.2000000000007</v>
      </c>
      <c r="M294" s="255">
        <f t="shared" si="779"/>
        <v>8046.2000000000007</v>
      </c>
      <c r="N294" s="520">
        <f t="shared" si="780"/>
        <v>8006.2000000000007</v>
      </c>
      <c r="O294" s="255">
        <f t="shared" si="781"/>
        <v>8006.2000000000007</v>
      </c>
      <c r="P294" s="520">
        <f t="shared" si="782"/>
        <v>7976.2000000000007</v>
      </c>
      <c r="Q294" s="255">
        <f t="shared" si="783"/>
        <v>7976.2000000000007</v>
      </c>
      <c r="R294" s="520">
        <f t="shared" si="784"/>
        <v>7946.2000000000007</v>
      </c>
      <c r="S294" s="255">
        <f t="shared" si="785"/>
        <v>7946.2000000000007</v>
      </c>
      <c r="T294" s="93">
        <f t="shared" si="786"/>
        <v>7926.2000000000007</v>
      </c>
      <c r="U294" s="234">
        <f t="shared" si="787"/>
        <v>7926.2000000000007</v>
      </c>
      <c r="V294" s="93">
        <f t="shared" si="788"/>
        <v>7906.2000000000007</v>
      </c>
      <c r="W294" s="234">
        <f t="shared" si="789"/>
        <v>7906.2000000000007</v>
      </c>
      <c r="X294" s="637"/>
      <c r="Y294" s="632"/>
      <c r="Z294" s="632"/>
      <c r="AA294" s="634"/>
      <c r="AB294" s="178">
        <v>923</v>
      </c>
    </row>
    <row r="295" spans="1:33" ht="12.6" customHeight="1" x14ac:dyDescent="0.2">
      <c r="A295" s="17"/>
      <c r="B295" s="647" t="s">
        <v>1003</v>
      </c>
      <c r="C295" s="648"/>
      <c r="D295" s="648"/>
      <c r="E295" s="648"/>
      <c r="F295" s="322">
        <f>5.26*X2</f>
        <v>8100.4</v>
      </c>
      <c r="G295" s="256">
        <f t="shared" si="792"/>
        <v>8100.4</v>
      </c>
      <c r="H295" s="528">
        <f>F295+800</f>
        <v>8900.4</v>
      </c>
      <c r="I295" s="256">
        <f t="shared" ref="I295:I307" si="793">+H295*$X$1</f>
        <v>8900.4</v>
      </c>
      <c r="J295" s="528">
        <f>F295+310</f>
        <v>8410.4</v>
      </c>
      <c r="K295" s="256">
        <f t="shared" ref="K295:K307" si="794">+J295*$X$1</f>
        <v>8410.4</v>
      </c>
      <c r="L295" s="528">
        <f>F295+280</f>
        <v>8380.4</v>
      </c>
      <c r="M295" s="256">
        <f t="shared" ref="M295:M307" si="795">+L295*$X$1</f>
        <v>8380.4</v>
      </c>
      <c r="N295" s="528">
        <f>F295+240</f>
        <v>8340.4</v>
      </c>
      <c r="O295" s="256">
        <f t="shared" ref="O295:O307" si="796">+N295*$X$1</f>
        <v>8340.4</v>
      </c>
      <c r="P295" s="528">
        <f>F295+210</f>
        <v>8310.4</v>
      </c>
      <c r="Q295" s="256">
        <f t="shared" ref="Q295:Q307" si="797">+P295*$X$1</f>
        <v>8310.4</v>
      </c>
      <c r="R295" s="528">
        <f>F295+180</f>
        <v>8280.4</v>
      </c>
      <c r="S295" s="256">
        <f t="shared" ref="S295:S307" si="798">+R295*$X$1</f>
        <v>8280.4</v>
      </c>
      <c r="T295" s="92">
        <f>F295+160</f>
        <v>8260.4</v>
      </c>
      <c r="U295" s="269">
        <f t="shared" ref="U295:U307" si="799">+T295*$X$1</f>
        <v>8260.4</v>
      </c>
      <c r="V295" s="92">
        <f>F295+140</f>
        <v>8240.4</v>
      </c>
      <c r="W295" s="269">
        <f t="shared" ref="W295:W307" si="800">+V295*$X$1</f>
        <v>8240.4</v>
      </c>
      <c r="X295" s="620"/>
      <c r="Y295" s="621"/>
      <c r="Z295" s="621"/>
      <c r="AA295" s="622"/>
      <c r="AB295" s="178" t="s">
        <v>1004</v>
      </c>
    </row>
    <row r="296" spans="1:33" ht="12.6" customHeight="1" x14ac:dyDescent="0.2">
      <c r="A296" s="17"/>
      <c r="B296" s="654" t="s">
        <v>796</v>
      </c>
      <c r="C296" s="655"/>
      <c r="D296" s="655"/>
      <c r="E296" s="655"/>
      <c r="F296" s="321">
        <f>1.07*X2</f>
        <v>1647.8000000000002</v>
      </c>
      <c r="G296" s="255">
        <f t="shared" ref="G296" si="801">+F296*$X$1</f>
        <v>1647.8000000000002</v>
      </c>
      <c r="H296" s="520">
        <f t="shared" ref="H296:H307" si="802">F296+800</f>
        <v>2447.8000000000002</v>
      </c>
      <c r="I296" s="255">
        <f t="shared" si="793"/>
        <v>2447.8000000000002</v>
      </c>
      <c r="J296" s="520">
        <f t="shared" ref="J296:J307" si="803">F296+370</f>
        <v>2017.8000000000002</v>
      </c>
      <c r="K296" s="255">
        <f t="shared" si="794"/>
        <v>2017.8000000000002</v>
      </c>
      <c r="L296" s="520">
        <f t="shared" ref="L296:L307" si="804">F296+300</f>
        <v>1947.8000000000002</v>
      </c>
      <c r="M296" s="255">
        <f t="shared" si="795"/>
        <v>1947.8000000000002</v>
      </c>
      <c r="N296" s="520">
        <f t="shared" ref="N296:N307" si="805">F296+260</f>
        <v>1907.8000000000002</v>
      </c>
      <c r="O296" s="255">
        <f t="shared" si="796"/>
        <v>1907.8000000000002</v>
      </c>
      <c r="P296" s="520">
        <f t="shared" ref="P296:P307" si="806">F296+230</f>
        <v>1877.8000000000002</v>
      </c>
      <c r="Q296" s="255">
        <f t="shared" si="797"/>
        <v>1877.8000000000002</v>
      </c>
      <c r="R296" s="520">
        <f t="shared" ref="R296:R307" si="807">F296+200</f>
        <v>1847.8000000000002</v>
      </c>
      <c r="S296" s="255">
        <f t="shared" si="798"/>
        <v>1847.8000000000002</v>
      </c>
      <c r="T296" s="93">
        <f t="shared" ref="T296:T307" si="808">F296+180</f>
        <v>1827.8000000000002</v>
      </c>
      <c r="U296" s="234">
        <f t="shared" si="799"/>
        <v>1827.8000000000002</v>
      </c>
      <c r="V296" s="93">
        <f t="shared" ref="V296:V307" si="809">F296+160</f>
        <v>1807.8000000000002</v>
      </c>
      <c r="W296" s="234">
        <f t="shared" si="800"/>
        <v>1807.8000000000002</v>
      </c>
      <c r="X296" s="637"/>
      <c r="Y296" s="632"/>
      <c r="Z296" s="632"/>
      <c r="AA296" s="634"/>
      <c r="AB296" s="178">
        <v>927</v>
      </c>
    </row>
    <row r="297" spans="1:33" ht="12.6" customHeight="1" x14ac:dyDescent="0.2">
      <c r="A297" s="94"/>
      <c r="B297" s="647" t="s">
        <v>1060</v>
      </c>
      <c r="C297" s="648"/>
      <c r="D297" s="648"/>
      <c r="E297" s="648"/>
      <c r="F297" s="322">
        <f>7*X2</f>
        <v>10780</v>
      </c>
      <c r="G297" s="256">
        <f t="shared" ref="G297:G300" si="810">+F297*$X$1</f>
        <v>10780</v>
      </c>
      <c r="H297" s="528">
        <f t="shared" si="802"/>
        <v>11580</v>
      </c>
      <c r="I297" s="256">
        <f t="shared" si="793"/>
        <v>11580</v>
      </c>
      <c r="J297" s="528">
        <f t="shared" si="803"/>
        <v>11150</v>
      </c>
      <c r="K297" s="256">
        <f t="shared" si="794"/>
        <v>11150</v>
      </c>
      <c r="L297" s="528">
        <f t="shared" si="804"/>
        <v>11080</v>
      </c>
      <c r="M297" s="256">
        <f t="shared" si="795"/>
        <v>11080</v>
      </c>
      <c r="N297" s="528">
        <f t="shared" si="805"/>
        <v>11040</v>
      </c>
      <c r="O297" s="256">
        <f t="shared" si="796"/>
        <v>11040</v>
      </c>
      <c r="P297" s="528">
        <f t="shared" si="806"/>
        <v>11010</v>
      </c>
      <c r="Q297" s="256">
        <f t="shared" si="797"/>
        <v>11010</v>
      </c>
      <c r="R297" s="528">
        <f t="shared" si="807"/>
        <v>10980</v>
      </c>
      <c r="S297" s="256">
        <f t="shared" si="798"/>
        <v>10980</v>
      </c>
      <c r="T297" s="92">
        <f t="shared" si="808"/>
        <v>10960</v>
      </c>
      <c r="U297" s="269">
        <f t="shared" si="799"/>
        <v>10960</v>
      </c>
      <c r="V297" s="92">
        <f t="shared" si="809"/>
        <v>10940</v>
      </c>
      <c r="W297" s="269">
        <f t="shared" si="800"/>
        <v>10940</v>
      </c>
      <c r="X297" s="637"/>
      <c r="Y297" s="632"/>
      <c r="Z297" s="632"/>
      <c r="AA297" s="634"/>
      <c r="AB297" s="178">
        <v>928</v>
      </c>
    </row>
    <row r="298" spans="1:33" ht="12.6" customHeight="1" x14ac:dyDescent="0.2">
      <c r="A298" s="17"/>
      <c r="B298" s="654" t="s">
        <v>350</v>
      </c>
      <c r="C298" s="655"/>
      <c r="D298" s="655"/>
      <c r="E298" s="655"/>
      <c r="F298" s="321">
        <f>7.82*X2</f>
        <v>12042.800000000001</v>
      </c>
      <c r="G298" s="255">
        <f t="shared" si="810"/>
        <v>12042.800000000001</v>
      </c>
      <c r="H298" s="520">
        <f t="shared" si="802"/>
        <v>12842.800000000001</v>
      </c>
      <c r="I298" s="255">
        <f t="shared" si="793"/>
        <v>12842.800000000001</v>
      </c>
      <c r="J298" s="520">
        <f t="shared" si="803"/>
        <v>12412.800000000001</v>
      </c>
      <c r="K298" s="255">
        <f t="shared" si="794"/>
        <v>12412.800000000001</v>
      </c>
      <c r="L298" s="520">
        <f t="shared" si="804"/>
        <v>12342.800000000001</v>
      </c>
      <c r="M298" s="255">
        <f t="shared" si="795"/>
        <v>12342.800000000001</v>
      </c>
      <c r="N298" s="520">
        <f t="shared" si="805"/>
        <v>12302.800000000001</v>
      </c>
      <c r="O298" s="255">
        <f t="shared" si="796"/>
        <v>12302.800000000001</v>
      </c>
      <c r="P298" s="520">
        <f t="shared" si="806"/>
        <v>12272.800000000001</v>
      </c>
      <c r="Q298" s="255">
        <f t="shared" si="797"/>
        <v>12272.800000000001</v>
      </c>
      <c r="R298" s="520">
        <f t="shared" si="807"/>
        <v>12242.800000000001</v>
      </c>
      <c r="S298" s="255">
        <f t="shared" si="798"/>
        <v>12242.800000000001</v>
      </c>
      <c r="T298" s="93">
        <f t="shared" si="808"/>
        <v>12222.800000000001</v>
      </c>
      <c r="U298" s="234">
        <f t="shared" si="799"/>
        <v>12222.800000000001</v>
      </c>
      <c r="V298" s="93">
        <f t="shared" si="809"/>
        <v>12202.800000000001</v>
      </c>
      <c r="W298" s="234">
        <f t="shared" si="800"/>
        <v>12202.800000000001</v>
      </c>
      <c r="X298" s="637"/>
      <c r="Y298" s="633"/>
      <c r="Z298" s="633"/>
      <c r="AA298" s="634"/>
      <c r="AB298" s="178">
        <v>931</v>
      </c>
    </row>
    <row r="299" spans="1:33" ht="12.6" customHeight="1" x14ac:dyDescent="0.2">
      <c r="A299" s="17"/>
      <c r="B299" s="647" t="s">
        <v>1061</v>
      </c>
      <c r="C299" s="648"/>
      <c r="D299" s="648"/>
      <c r="E299" s="648"/>
      <c r="F299" s="322">
        <f>2.98*X2</f>
        <v>4589.2</v>
      </c>
      <c r="G299" s="256">
        <f t="shared" si="810"/>
        <v>4589.2</v>
      </c>
      <c r="H299" s="528">
        <f t="shared" si="802"/>
        <v>5389.2</v>
      </c>
      <c r="I299" s="256">
        <f t="shared" si="793"/>
        <v>5389.2</v>
      </c>
      <c r="J299" s="528">
        <f t="shared" si="803"/>
        <v>4959.2</v>
      </c>
      <c r="K299" s="256">
        <f t="shared" si="794"/>
        <v>4959.2</v>
      </c>
      <c r="L299" s="528">
        <f t="shared" si="804"/>
        <v>4889.2</v>
      </c>
      <c r="M299" s="256">
        <f t="shared" si="795"/>
        <v>4889.2</v>
      </c>
      <c r="N299" s="528">
        <f t="shared" si="805"/>
        <v>4849.2</v>
      </c>
      <c r="O299" s="256">
        <f t="shared" si="796"/>
        <v>4849.2</v>
      </c>
      <c r="P299" s="528">
        <f t="shared" si="806"/>
        <v>4819.2</v>
      </c>
      <c r="Q299" s="256">
        <f t="shared" si="797"/>
        <v>4819.2</v>
      </c>
      <c r="R299" s="528">
        <f t="shared" si="807"/>
        <v>4789.2</v>
      </c>
      <c r="S299" s="256">
        <f t="shared" si="798"/>
        <v>4789.2</v>
      </c>
      <c r="T299" s="92">
        <f t="shared" si="808"/>
        <v>4769.2</v>
      </c>
      <c r="U299" s="269">
        <f t="shared" si="799"/>
        <v>4769.2</v>
      </c>
      <c r="V299" s="92">
        <f t="shared" si="809"/>
        <v>4749.2</v>
      </c>
      <c r="W299" s="269">
        <f t="shared" si="800"/>
        <v>4749.2</v>
      </c>
      <c r="X299" s="637"/>
      <c r="Y299" s="633"/>
      <c r="Z299" s="633"/>
      <c r="AA299" s="634"/>
      <c r="AB299" s="178">
        <v>933</v>
      </c>
    </row>
    <row r="300" spans="1:33" ht="12.6" customHeight="1" x14ac:dyDescent="0.2">
      <c r="A300" s="17"/>
      <c r="B300" s="654" t="s">
        <v>1062</v>
      </c>
      <c r="C300" s="655"/>
      <c r="D300" s="655"/>
      <c r="E300" s="655"/>
      <c r="F300" s="321">
        <f>7.55*X2</f>
        <v>11627</v>
      </c>
      <c r="G300" s="255">
        <f t="shared" si="810"/>
        <v>11627</v>
      </c>
      <c r="H300" s="520">
        <f t="shared" si="802"/>
        <v>12427</v>
      </c>
      <c r="I300" s="255">
        <f t="shared" si="793"/>
        <v>12427</v>
      </c>
      <c r="J300" s="520">
        <f t="shared" si="803"/>
        <v>11997</v>
      </c>
      <c r="K300" s="255">
        <f t="shared" si="794"/>
        <v>11997</v>
      </c>
      <c r="L300" s="520">
        <f t="shared" si="804"/>
        <v>11927</v>
      </c>
      <c r="M300" s="255">
        <f t="shared" si="795"/>
        <v>11927</v>
      </c>
      <c r="N300" s="520">
        <f t="shared" si="805"/>
        <v>11887</v>
      </c>
      <c r="O300" s="255">
        <f t="shared" si="796"/>
        <v>11887</v>
      </c>
      <c r="P300" s="520">
        <f t="shared" si="806"/>
        <v>11857</v>
      </c>
      <c r="Q300" s="255">
        <f t="shared" si="797"/>
        <v>11857</v>
      </c>
      <c r="R300" s="520">
        <f t="shared" si="807"/>
        <v>11827</v>
      </c>
      <c r="S300" s="255">
        <f t="shared" si="798"/>
        <v>11827</v>
      </c>
      <c r="T300" s="93">
        <f t="shared" si="808"/>
        <v>11807</v>
      </c>
      <c r="U300" s="234">
        <f t="shared" si="799"/>
        <v>11807</v>
      </c>
      <c r="V300" s="93">
        <f t="shared" si="809"/>
        <v>11787</v>
      </c>
      <c r="W300" s="234">
        <f t="shared" si="800"/>
        <v>11787</v>
      </c>
      <c r="X300" s="320"/>
      <c r="Y300" s="320"/>
      <c r="Z300" s="320"/>
      <c r="AA300" s="320"/>
      <c r="AB300" s="178">
        <v>935</v>
      </c>
    </row>
    <row r="301" spans="1:33" ht="12.6" customHeight="1" x14ac:dyDescent="0.2">
      <c r="A301" s="17"/>
      <c r="B301" s="647" t="s">
        <v>549</v>
      </c>
      <c r="C301" s="648"/>
      <c r="D301" s="648"/>
      <c r="E301" s="648"/>
      <c r="F301" s="322">
        <f>10*X2</f>
        <v>15400</v>
      </c>
      <c r="G301" s="256">
        <f t="shared" ref="G301" si="811">+F301*$X$1</f>
        <v>15400</v>
      </c>
      <c r="H301" s="528">
        <f t="shared" si="802"/>
        <v>16200</v>
      </c>
      <c r="I301" s="256">
        <f t="shared" si="793"/>
        <v>16200</v>
      </c>
      <c r="J301" s="528">
        <f t="shared" si="803"/>
        <v>15770</v>
      </c>
      <c r="K301" s="256">
        <f t="shared" si="794"/>
        <v>15770</v>
      </c>
      <c r="L301" s="528">
        <f t="shared" si="804"/>
        <v>15700</v>
      </c>
      <c r="M301" s="256">
        <f t="shared" si="795"/>
        <v>15700</v>
      </c>
      <c r="N301" s="528">
        <f t="shared" si="805"/>
        <v>15660</v>
      </c>
      <c r="O301" s="256">
        <f t="shared" si="796"/>
        <v>15660</v>
      </c>
      <c r="P301" s="528">
        <f t="shared" si="806"/>
        <v>15630</v>
      </c>
      <c r="Q301" s="256">
        <f t="shared" si="797"/>
        <v>15630</v>
      </c>
      <c r="R301" s="528">
        <f t="shared" si="807"/>
        <v>15600</v>
      </c>
      <c r="S301" s="256">
        <f t="shared" si="798"/>
        <v>15600</v>
      </c>
      <c r="T301" s="92">
        <f t="shared" si="808"/>
        <v>15580</v>
      </c>
      <c r="U301" s="269">
        <f t="shared" si="799"/>
        <v>15580</v>
      </c>
      <c r="V301" s="92">
        <f t="shared" si="809"/>
        <v>15560</v>
      </c>
      <c r="W301" s="269">
        <f t="shared" si="800"/>
        <v>15560</v>
      </c>
      <c r="X301" s="637"/>
      <c r="Y301" s="632"/>
      <c r="Z301" s="632"/>
      <c r="AA301" s="634"/>
      <c r="AB301" s="178">
        <v>936</v>
      </c>
    </row>
    <row r="302" spans="1:33" ht="12.6" customHeight="1" x14ac:dyDescent="0.2">
      <c r="A302" s="17"/>
      <c r="B302" s="654" t="s">
        <v>736</v>
      </c>
      <c r="C302" s="655"/>
      <c r="D302" s="655"/>
      <c r="E302" s="655"/>
      <c r="F302" s="321">
        <f>4.66*X2</f>
        <v>7176.4000000000005</v>
      </c>
      <c r="G302" s="255">
        <f t="shared" ref="G302" si="812">+F302*$X$1</f>
        <v>7176.4000000000005</v>
      </c>
      <c r="H302" s="520">
        <f t="shared" si="802"/>
        <v>7976.4000000000005</v>
      </c>
      <c r="I302" s="255">
        <f t="shared" si="793"/>
        <v>7976.4000000000005</v>
      </c>
      <c r="J302" s="520">
        <f t="shared" si="803"/>
        <v>7546.4000000000005</v>
      </c>
      <c r="K302" s="255">
        <f t="shared" si="794"/>
        <v>7546.4000000000005</v>
      </c>
      <c r="L302" s="520">
        <f t="shared" si="804"/>
        <v>7476.4000000000005</v>
      </c>
      <c r="M302" s="255">
        <f t="shared" si="795"/>
        <v>7476.4000000000005</v>
      </c>
      <c r="N302" s="520">
        <f t="shared" si="805"/>
        <v>7436.4000000000005</v>
      </c>
      <c r="O302" s="255">
        <f t="shared" si="796"/>
        <v>7436.4000000000005</v>
      </c>
      <c r="P302" s="520">
        <f t="shared" si="806"/>
        <v>7406.4000000000005</v>
      </c>
      <c r="Q302" s="255">
        <f t="shared" si="797"/>
        <v>7406.4000000000005</v>
      </c>
      <c r="R302" s="520">
        <f t="shared" si="807"/>
        <v>7376.4000000000005</v>
      </c>
      <c r="S302" s="255">
        <f t="shared" si="798"/>
        <v>7376.4000000000005</v>
      </c>
      <c r="T302" s="93">
        <f t="shared" si="808"/>
        <v>7356.4000000000005</v>
      </c>
      <c r="U302" s="234">
        <f t="shared" si="799"/>
        <v>7356.4000000000005</v>
      </c>
      <c r="V302" s="93">
        <f t="shared" si="809"/>
        <v>7336.4000000000005</v>
      </c>
      <c r="W302" s="234">
        <f t="shared" si="800"/>
        <v>7336.4000000000005</v>
      </c>
      <c r="X302" s="637"/>
      <c r="Y302" s="632"/>
      <c r="Z302" s="632"/>
      <c r="AA302" s="634"/>
      <c r="AB302" s="178">
        <v>940</v>
      </c>
    </row>
    <row r="303" spans="1:33" ht="12.6" customHeight="1" x14ac:dyDescent="0.2">
      <c r="A303" s="17"/>
      <c r="B303" s="640" t="s">
        <v>179</v>
      </c>
      <c r="C303" s="672"/>
      <c r="D303" s="672"/>
      <c r="E303" s="673"/>
      <c r="F303" s="322">
        <f>5.483*X2</f>
        <v>8443.82</v>
      </c>
      <c r="G303" s="256">
        <f t="shared" ref="G303:G306" si="813">+F303*$X$1</f>
        <v>8443.82</v>
      </c>
      <c r="H303" s="528">
        <f t="shared" si="802"/>
        <v>9243.82</v>
      </c>
      <c r="I303" s="256">
        <f t="shared" si="793"/>
        <v>9243.82</v>
      </c>
      <c r="J303" s="528">
        <f t="shared" si="803"/>
        <v>8813.82</v>
      </c>
      <c r="K303" s="256">
        <f t="shared" si="794"/>
        <v>8813.82</v>
      </c>
      <c r="L303" s="528">
        <f t="shared" si="804"/>
        <v>8743.82</v>
      </c>
      <c r="M303" s="256">
        <f t="shared" si="795"/>
        <v>8743.82</v>
      </c>
      <c r="N303" s="528">
        <f t="shared" si="805"/>
        <v>8703.82</v>
      </c>
      <c r="O303" s="256">
        <f t="shared" si="796"/>
        <v>8703.82</v>
      </c>
      <c r="P303" s="528">
        <f t="shared" si="806"/>
        <v>8673.82</v>
      </c>
      <c r="Q303" s="256">
        <f t="shared" si="797"/>
        <v>8673.82</v>
      </c>
      <c r="R303" s="528">
        <f t="shared" si="807"/>
        <v>8643.82</v>
      </c>
      <c r="S303" s="256">
        <f t="shared" si="798"/>
        <v>8643.82</v>
      </c>
      <c r="T303" s="92">
        <f t="shared" si="808"/>
        <v>8623.82</v>
      </c>
      <c r="U303" s="269">
        <f t="shared" si="799"/>
        <v>8623.82</v>
      </c>
      <c r="V303" s="92">
        <f t="shared" si="809"/>
        <v>8603.82</v>
      </c>
      <c r="W303" s="269">
        <f t="shared" si="800"/>
        <v>8603.82</v>
      </c>
      <c r="X303" s="121"/>
      <c r="Y303" s="123"/>
      <c r="Z303" s="119"/>
      <c r="AA303" s="119"/>
      <c r="AB303" s="178">
        <v>945</v>
      </c>
      <c r="AD303" s="62"/>
      <c r="AE303" s="62"/>
      <c r="AF303" s="62"/>
      <c r="AG303" s="62"/>
    </row>
    <row r="304" spans="1:33" ht="12.6" customHeight="1" x14ac:dyDescent="0.2">
      <c r="A304" s="17"/>
      <c r="B304" s="654" t="s">
        <v>429</v>
      </c>
      <c r="C304" s="655"/>
      <c r="D304" s="655"/>
      <c r="E304" s="655"/>
      <c r="F304" s="321">
        <f>4.1*X2</f>
        <v>6313.9999999999991</v>
      </c>
      <c r="G304" s="255">
        <f t="shared" ref="G304:G305" si="814">+F304*$X$1</f>
        <v>6313.9999999999991</v>
      </c>
      <c r="H304" s="520">
        <f t="shared" si="802"/>
        <v>7113.9999999999991</v>
      </c>
      <c r="I304" s="255">
        <f t="shared" si="793"/>
        <v>7113.9999999999991</v>
      </c>
      <c r="J304" s="520">
        <f t="shared" si="803"/>
        <v>6683.9999999999991</v>
      </c>
      <c r="K304" s="255">
        <f t="shared" si="794"/>
        <v>6683.9999999999991</v>
      </c>
      <c r="L304" s="520">
        <f t="shared" si="804"/>
        <v>6613.9999999999991</v>
      </c>
      <c r="M304" s="255">
        <f t="shared" si="795"/>
        <v>6613.9999999999991</v>
      </c>
      <c r="N304" s="520">
        <f t="shared" si="805"/>
        <v>6573.9999999999991</v>
      </c>
      <c r="O304" s="255">
        <f t="shared" si="796"/>
        <v>6573.9999999999991</v>
      </c>
      <c r="P304" s="520">
        <f t="shared" si="806"/>
        <v>6543.9999999999991</v>
      </c>
      <c r="Q304" s="255">
        <f t="shared" si="797"/>
        <v>6543.9999999999991</v>
      </c>
      <c r="R304" s="520">
        <f t="shared" si="807"/>
        <v>6513.9999999999991</v>
      </c>
      <c r="S304" s="255">
        <f t="shared" si="798"/>
        <v>6513.9999999999991</v>
      </c>
      <c r="T304" s="93">
        <f t="shared" si="808"/>
        <v>6493.9999999999991</v>
      </c>
      <c r="U304" s="234">
        <f t="shared" si="799"/>
        <v>6493.9999999999991</v>
      </c>
      <c r="V304" s="93">
        <f t="shared" si="809"/>
        <v>6473.9999999999991</v>
      </c>
      <c r="W304" s="234">
        <f t="shared" si="800"/>
        <v>6473.9999999999991</v>
      </c>
      <c r="X304" s="139"/>
      <c r="Y304" s="139"/>
      <c r="Z304" s="139"/>
      <c r="AA304" s="139"/>
      <c r="AB304" s="178">
        <v>946</v>
      </c>
    </row>
    <row r="305" spans="1:38" ht="12.6" customHeight="1" x14ac:dyDescent="0.2">
      <c r="A305" s="17"/>
      <c r="B305" s="647" t="s">
        <v>1063</v>
      </c>
      <c r="C305" s="648"/>
      <c r="D305" s="648"/>
      <c r="E305" s="648"/>
      <c r="F305" s="322">
        <f>6*X2</f>
        <v>9240</v>
      </c>
      <c r="G305" s="256">
        <f t="shared" si="814"/>
        <v>9240</v>
      </c>
      <c r="H305" s="528">
        <f t="shared" si="802"/>
        <v>10040</v>
      </c>
      <c r="I305" s="256">
        <f t="shared" si="793"/>
        <v>10040</v>
      </c>
      <c r="J305" s="528">
        <f t="shared" si="803"/>
        <v>9610</v>
      </c>
      <c r="K305" s="256">
        <f t="shared" si="794"/>
        <v>9610</v>
      </c>
      <c r="L305" s="528">
        <f t="shared" si="804"/>
        <v>9540</v>
      </c>
      <c r="M305" s="256">
        <f t="shared" si="795"/>
        <v>9540</v>
      </c>
      <c r="N305" s="528">
        <f t="shared" si="805"/>
        <v>9500</v>
      </c>
      <c r="O305" s="256">
        <f t="shared" si="796"/>
        <v>9500</v>
      </c>
      <c r="P305" s="528">
        <f t="shared" si="806"/>
        <v>9470</v>
      </c>
      <c r="Q305" s="256">
        <f t="shared" si="797"/>
        <v>9470</v>
      </c>
      <c r="R305" s="528">
        <f t="shared" si="807"/>
        <v>9440</v>
      </c>
      <c r="S305" s="256">
        <f t="shared" si="798"/>
        <v>9440</v>
      </c>
      <c r="T305" s="92">
        <f t="shared" si="808"/>
        <v>9420</v>
      </c>
      <c r="U305" s="269">
        <f t="shared" si="799"/>
        <v>9420</v>
      </c>
      <c r="V305" s="92">
        <f t="shared" si="809"/>
        <v>9400</v>
      </c>
      <c r="W305" s="269">
        <f t="shared" si="800"/>
        <v>9400</v>
      </c>
      <c r="X305" s="629"/>
      <c r="Y305" s="797"/>
      <c r="Z305" s="797"/>
      <c r="AA305" s="662"/>
      <c r="AB305" s="178">
        <v>962</v>
      </c>
    </row>
    <row r="306" spans="1:38" ht="12.6" customHeight="1" x14ac:dyDescent="0.2">
      <c r="A306" s="17"/>
      <c r="B306" s="654" t="s">
        <v>727</v>
      </c>
      <c r="C306" s="655"/>
      <c r="D306" s="655"/>
      <c r="E306" s="655"/>
      <c r="F306" s="321">
        <f>10.94*X2</f>
        <v>16847.599999999999</v>
      </c>
      <c r="G306" s="255">
        <f t="shared" si="813"/>
        <v>16847.599999999999</v>
      </c>
      <c r="H306" s="520">
        <f t="shared" si="802"/>
        <v>17647.599999999999</v>
      </c>
      <c r="I306" s="255">
        <f t="shared" si="793"/>
        <v>17647.599999999999</v>
      </c>
      <c r="J306" s="520">
        <f t="shared" si="803"/>
        <v>17217.599999999999</v>
      </c>
      <c r="K306" s="255">
        <f t="shared" si="794"/>
        <v>17217.599999999999</v>
      </c>
      <c r="L306" s="520">
        <f t="shared" si="804"/>
        <v>17147.599999999999</v>
      </c>
      <c r="M306" s="255">
        <f t="shared" si="795"/>
        <v>17147.599999999999</v>
      </c>
      <c r="N306" s="520">
        <f t="shared" si="805"/>
        <v>17107.599999999999</v>
      </c>
      <c r="O306" s="255">
        <f t="shared" si="796"/>
        <v>17107.599999999999</v>
      </c>
      <c r="P306" s="520">
        <f t="shared" si="806"/>
        <v>17077.599999999999</v>
      </c>
      <c r="Q306" s="255">
        <f t="shared" si="797"/>
        <v>17077.599999999999</v>
      </c>
      <c r="R306" s="520">
        <f t="shared" si="807"/>
        <v>17047.599999999999</v>
      </c>
      <c r="S306" s="255">
        <f t="shared" si="798"/>
        <v>17047.599999999999</v>
      </c>
      <c r="T306" s="93">
        <f t="shared" si="808"/>
        <v>17027.599999999999</v>
      </c>
      <c r="U306" s="234">
        <f t="shared" si="799"/>
        <v>17027.599999999999</v>
      </c>
      <c r="V306" s="93">
        <f t="shared" si="809"/>
        <v>17007.599999999999</v>
      </c>
      <c r="W306" s="234">
        <f t="shared" si="800"/>
        <v>17007.599999999999</v>
      </c>
      <c r="X306" s="387"/>
      <c r="Y306" s="387"/>
      <c r="Z306" s="387"/>
      <c r="AA306" s="387"/>
      <c r="AB306" s="178">
        <v>963</v>
      </c>
    </row>
    <row r="307" spans="1:38" ht="12.6" customHeight="1" x14ac:dyDescent="0.2">
      <c r="A307" s="17"/>
      <c r="B307" s="647" t="s">
        <v>758</v>
      </c>
      <c r="C307" s="648"/>
      <c r="D307" s="648"/>
      <c r="E307" s="648"/>
      <c r="F307" s="322">
        <f>7.1*X2</f>
        <v>10934</v>
      </c>
      <c r="G307" s="256">
        <f t="shared" ref="G307" si="815">+F307*$X$1</f>
        <v>10934</v>
      </c>
      <c r="H307" s="528">
        <f t="shared" si="802"/>
        <v>11734</v>
      </c>
      <c r="I307" s="256">
        <f t="shared" si="793"/>
        <v>11734</v>
      </c>
      <c r="J307" s="528">
        <f t="shared" si="803"/>
        <v>11304</v>
      </c>
      <c r="K307" s="256">
        <f t="shared" si="794"/>
        <v>11304</v>
      </c>
      <c r="L307" s="528">
        <f t="shared" si="804"/>
        <v>11234</v>
      </c>
      <c r="M307" s="256">
        <f t="shared" si="795"/>
        <v>11234</v>
      </c>
      <c r="N307" s="528">
        <f t="shared" si="805"/>
        <v>11194</v>
      </c>
      <c r="O307" s="256">
        <f t="shared" si="796"/>
        <v>11194</v>
      </c>
      <c r="P307" s="528">
        <f t="shared" si="806"/>
        <v>11164</v>
      </c>
      <c r="Q307" s="256">
        <f t="shared" si="797"/>
        <v>11164</v>
      </c>
      <c r="R307" s="528">
        <f t="shared" si="807"/>
        <v>11134</v>
      </c>
      <c r="S307" s="256">
        <f t="shared" si="798"/>
        <v>11134</v>
      </c>
      <c r="T307" s="92">
        <f t="shared" si="808"/>
        <v>11114</v>
      </c>
      <c r="U307" s="269">
        <f t="shared" si="799"/>
        <v>11114</v>
      </c>
      <c r="V307" s="92">
        <f t="shared" si="809"/>
        <v>11094</v>
      </c>
      <c r="W307" s="269">
        <f t="shared" si="800"/>
        <v>11094</v>
      </c>
      <c r="X307" s="387"/>
      <c r="Y307" s="387"/>
      <c r="Z307" s="387"/>
      <c r="AA307" s="387"/>
      <c r="AB307" s="178">
        <v>966</v>
      </c>
    </row>
    <row r="308" spans="1:38" s="1" customFormat="1" ht="12.6" customHeight="1" x14ac:dyDescent="0.2">
      <c r="A308" s="18"/>
      <c r="B308" s="654" t="s">
        <v>336</v>
      </c>
      <c r="C308" s="655"/>
      <c r="D308" s="655"/>
      <c r="E308" s="655"/>
      <c r="F308" s="255">
        <v>510</v>
      </c>
      <c r="G308" s="255">
        <f>+F308*$X$1</f>
        <v>510</v>
      </c>
      <c r="H308" s="251"/>
      <c r="I308" s="251"/>
      <c r="J308" s="68">
        <f>F308+340</f>
        <v>850</v>
      </c>
      <c r="K308" s="255">
        <f t="shared" ref="K308" si="816">+J308*$X$1</f>
        <v>850</v>
      </c>
      <c r="L308" s="520">
        <f>F308+250</f>
        <v>760</v>
      </c>
      <c r="M308" s="255">
        <f t="shared" ref="M308" si="817">+L308*$X$1</f>
        <v>760</v>
      </c>
      <c r="N308" s="520">
        <f>F308+210</f>
        <v>720</v>
      </c>
      <c r="O308" s="255">
        <f t="shared" ref="O308" si="818">+N308*$X$1</f>
        <v>720</v>
      </c>
      <c r="P308" s="520">
        <f>F308+190</f>
        <v>700</v>
      </c>
      <c r="Q308" s="255">
        <f t="shared" ref="Q308" si="819">+P308*$X$1</f>
        <v>700</v>
      </c>
      <c r="R308" s="520">
        <f>F308+170</f>
        <v>680</v>
      </c>
      <c r="S308" s="255">
        <f t="shared" ref="S308" si="820">+R308*$X$1</f>
        <v>680</v>
      </c>
      <c r="T308" s="520">
        <f>F308+150</f>
        <v>660</v>
      </c>
      <c r="U308" s="255">
        <f t="shared" ref="U308" si="821">+T308*$X$1</f>
        <v>660</v>
      </c>
      <c r="V308" s="520">
        <f>F308+130</f>
        <v>640</v>
      </c>
      <c r="W308" s="255">
        <f t="shared" ref="W308" si="822">+V308*$X$1</f>
        <v>640</v>
      </c>
      <c r="X308" s="136"/>
      <c r="Y308" s="136"/>
      <c r="Z308" s="136"/>
      <c r="AA308" s="136"/>
      <c r="AB308" s="178">
        <v>998</v>
      </c>
      <c r="AC308" s="71"/>
      <c r="AD308" s="4"/>
      <c r="AE308" s="4"/>
      <c r="AF308" s="4"/>
      <c r="AG308" s="4"/>
      <c r="AH308" s="4"/>
      <c r="AI308" s="4"/>
      <c r="AJ308" s="4"/>
      <c r="AK308" s="4"/>
      <c r="AL308" s="4"/>
    </row>
    <row r="309" spans="1:38" s="1" customFormat="1" ht="12.6" customHeight="1" x14ac:dyDescent="0.2">
      <c r="A309" s="18"/>
      <c r="B309" s="640" t="s">
        <v>931</v>
      </c>
      <c r="C309" s="641"/>
      <c r="D309" s="641"/>
      <c r="E309" s="642"/>
      <c r="F309" s="322">
        <f>6.98*X2</f>
        <v>10749.2</v>
      </c>
      <c r="G309" s="256">
        <f t="shared" ref="G309" si="823">+F309*$X$1</f>
        <v>10749.2</v>
      </c>
      <c r="H309" s="82">
        <f>F309+800</f>
        <v>11549.2</v>
      </c>
      <c r="I309" s="256">
        <f t="shared" ref="I309" si="824">+H309*$X$1</f>
        <v>11549.2</v>
      </c>
      <c r="J309" s="528">
        <f>F309+360</f>
        <v>11109.2</v>
      </c>
      <c r="K309" s="256">
        <f t="shared" ref="K309" si="825">+J309*$X$1</f>
        <v>11109.2</v>
      </c>
      <c r="L309" s="528">
        <f>F309+290</f>
        <v>11039.2</v>
      </c>
      <c r="M309" s="256">
        <f t="shared" ref="M309" si="826">+L309*$X$1</f>
        <v>11039.2</v>
      </c>
      <c r="N309" s="528">
        <f>F309+240</f>
        <v>10989.2</v>
      </c>
      <c r="O309" s="256">
        <f t="shared" ref="O309" si="827">+N309*$X$1</f>
        <v>10989.2</v>
      </c>
      <c r="P309" s="528">
        <f>F309+200</f>
        <v>10949.2</v>
      </c>
      <c r="Q309" s="256">
        <f t="shared" ref="Q309" si="828">+P309*$X$1</f>
        <v>10949.2</v>
      </c>
      <c r="R309" s="528">
        <f>F309+170</f>
        <v>10919.2</v>
      </c>
      <c r="S309" s="256">
        <f t="shared" ref="S309" si="829">+R309*$X$1</f>
        <v>10919.2</v>
      </c>
      <c r="T309" s="528">
        <f>F309+140</f>
        <v>10889.2</v>
      </c>
      <c r="U309" s="256">
        <f t="shared" ref="U309" si="830">+T309*$X$1</f>
        <v>10889.2</v>
      </c>
      <c r="V309" s="528">
        <f>F309+110</f>
        <v>10859.2</v>
      </c>
      <c r="W309" s="256">
        <f t="shared" ref="W309" si="831">+V309*$X$1</f>
        <v>10859.2</v>
      </c>
      <c r="X309" s="542"/>
      <c r="Y309" s="543"/>
      <c r="Z309" s="543"/>
      <c r="AA309" s="544"/>
      <c r="AB309" s="178">
        <v>1017</v>
      </c>
      <c r="AC309" s="4"/>
      <c r="AD309" s="4"/>
      <c r="AE309" s="4"/>
      <c r="AF309" s="4"/>
      <c r="AG309" s="4"/>
      <c r="AH309" s="116"/>
      <c r="AI309" s="4"/>
      <c r="AJ309" s="4"/>
      <c r="AK309" s="4"/>
      <c r="AL309" s="4"/>
    </row>
    <row r="310" spans="1:38" s="1" customFormat="1" ht="12.6" customHeight="1" x14ac:dyDescent="0.2">
      <c r="A310" s="18"/>
      <c r="B310" s="626" t="s">
        <v>916</v>
      </c>
      <c r="C310" s="627"/>
      <c r="D310" s="627"/>
      <c r="E310" s="628"/>
      <c r="F310" s="289">
        <v>37600</v>
      </c>
      <c r="G310" s="255">
        <f t="shared" ref="G310:G312" si="832">+F310*$X$1</f>
        <v>37600</v>
      </c>
      <c r="H310" s="68">
        <f>F310+800</f>
        <v>38400</v>
      </c>
      <c r="I310" s="255">
        <f t="shared" ref="I310:I311" si="833">+H310*$X$1</f>
        <v>38400</v>
      </c>
      <c r="J310" s="520">
        <f>F310+360</f>
        <v>37960</v>
      </c>
      <c r="K310" s="255">
        <f t="shared" ref="K310:K311" si="834">+J310*$X$1</f>
        <v>37960</v>
      </c>
      <c r="L310" s="520">
        <f>F310+290</f>
        <v>37890</v>
      </c>
      <c r="M310" s="255">
        <f t="shared" ref="M310:M311" si="835">+L310*$X$1</f>
        <v>37890</v>
      </c>
      <c r="N310" s="520">
        <f>F310+240</f>
        <v>37840</v>
      </c>
      <c r="O310" s="255">
        <f t="shared" ref="O310:O311" si="836">+N310*$X$1</f>
        <v>37840</v>
      </c>
      <c r="P310" s="520">
        <f>F310+200</f>
        <v>37800</v>
      </c>
      <c r="Q310" s="255">
        <f t="shared" ref="Q310:Q311" si="837">+P310*$X$1</f>
        <v>37800</v>
      </c>
      <c r="R310" s="520">
        <f>F310+170</f>
        <v>37770</v>
      </c>
      <c r="S310" s="255">
        <f t="shared" ref="S310:S311" si="838">+R310*$X$1</f>
        <v>37770</v>
      </c>
      <c r="T310" s="520">
        <f>F310+140</f>
        <v>37740</v>
      </c>
      <c r="U310" s="255">
        <f t="shared" ref="U310:U311" si="839">+T310*$X$1</f>
        <v>37740</v>
      </c>
      <c r="V310" s="520">
        <f>F310+110</f>
        <v>37710</v>
      </c>
      <c r="W310" s="255">
        <f t="shared" ref="W310:W311" si="840">+V310*$X$1</f>
        <v>37710</v>
      </c>
      <c r="X310" s="536"/>
      <c r="Y310" s="537"/>
      <c r="Z310" s="537"/>
      <c r="AA310" s="538"/>
      <c r="AB310" s="178">
        <v>1018</v>
      </c>
      <c r="AC310" s="4"/>
      <c r="AD310" s="4"/>
      <c r="AE310" s="4"/>
      <c r="AF310" s="4"/>
      <c r="AG310" s="4"/>
      <c r="AH310" s="116"/>
      <c r="AI310" s="4"/>
      <c r="AJ310" s="4"/>
      <c r="AK310" s="4"/>
      <c r="AL310" s="4"/>
    </row>
    <row r="311" spans="1:38" s="1" customFormat="1" ht="12.6" customHeight="1" x14ac:dyDescent="0.2">
      <c r="A311" s="18"/>
      <c r="B311" s="626" t="s">
        <v>930</v>
      </c>
      <c r="C311" s="627"/>
      <c r="D311" s="627"/>
      <c r="E311" s="628"/>
      <c r="F311" s="323">
        <f>8.7*X2</f>
        <v>13397.999999999998</v>
      </c>
      <c r="G311" s="298">
        <f t="shared" ref="G311" si="841">+F311*$X$1</f>
        <v>13397.999999999998</v>
      </c>
      <c r="H311" s="82">
        <f>F311+820</f>
        <v>14217.999999999998</v>
      </c>
      <c r="I311" s="256">
        <f t="shared" si="833"/>
        <v>14217.999999999998</v>
      </c>
      <c r="J311" s="528">
        <f>F311+380</f>
        <v>13777.999999999998</v>
      </c>
      <c r="K311" s="256">
        <f t="shared" si="834"/>
        <v>13777.999999999998</v>
      </c>
      <c r="L311" s="528">
        <f>F311+310</f>
        <v>13707.999999999998</v>
      </c>
      <c r="M311" s="256">
        <f t="shared" si="835"/>
        <v>13707.999999999998</v>
      </c>
      <c r="N311" s="528">
        <f>F311+260</f>
        <v>13657.999999999998</v>
      </c>
      <c r="O311" s="256">
        <f t="shared" si="836"/>
        <v>13657.999999999998</v>
      </c>
      <c r="P311" s="528">
        <f>F311+220</f>
        <v>13617.999999999998</v>
      </c>
      <c r="Q311" s="256">
        <f t="shared" si="837"/>
        <v>13617.999999999998</v>
      </c>
      <c r="R311" s="528">
        <f>F311+190</f>
        <v>13587.999999999998</v>
      </c>
      <c r="S311" s="256">
        <f t="shared" si="838"/>
        <v>13587.999999999998</v>
      </c>
      <c r="T311" s="528">
        <f>F311+160</f>
        <v>13557.999999999998</v>
      </c>
      <c r="U311" s="256">
        <f t="shared" si="839"/>
        <v>13557.999999999998</v>
      </c>
      <c r="V311" s="528">
        <f>F311+130</f>
        <v>13527.999999999998</v>
      </c>
      <c r="W311" s="256">
        <f t="shared" si="840"/>
        <v>13527.999999999998</v>
      </c>
      <c r="X311" s="542"/>
      <c r="Y311" s="543"/>
      <c r="Z311" s="543"/>
      <c r="AA311" s="544"/>
      <c r="AB311" s="178">
        <v>1019</v>
      </c>
      <c r="AC311" s="4"/>
      <c r="AD311" s="4"/>
      <c r="AE311" s="4"/>
      <c r="AF311" s="4"/>
      <c r="AG311" s="4"/>
      <c r="AH311" s="116"/>
      <c r="AI311" s="4"/>
      <c r="AJ311" s="4"/>
      <c r="AK311" s="4"/>
      <c r="AL311" s="4"/>
    </row>
    <row r="312" spans="1:38" ht="12.6" customHeight="1" x14ac:dyDescent="0.2">
      <c r="A312" s="17"/>
      <c r="B312" s="668" t="s">
        <v>900</v>
      </c>
      <c r="C312" s="669"/>
      <c r="D312" s="669"/>
      <c r="E312" s="669"/>
      <c r="F312" s="324">
        <f>3.18*X2</f>
        <v>4897.2</v>
      </c>
      <c r="G312" s="271">
        <f t="shared" si="832"/>
        <v>4897.2</v>
      </c>
      <c r="H312" s="520">
        <f>F312+800</f>
        <v>5697.2</v>
      </c>
      <c r="I312" s="255">
        <f>+H312*$X$1</f>
        <v>5697.2</v>
      </c>
      <c r="J312" s="520">
        <f>F312+600</f>
        <v>5497.2</v>
      </c>
      <c r="K312" s="255">
        <f>+J312*$X$1</f>
        <v>5497.2</v>
      </c>
      <c r="L312" s="520">
        <f>F312+500</f>
        <v>5397.2</v>
      </c>
      <c r="M312" s="255">
        <f t="shared" ref="M312" si="842">+L312*$X$1</f>
        <v>5397.2</v>
      </c>
      <c r="N312" s="520">
        <f>F312+450</f>
        <v>5347.2</v>
      </c>
      <c r="O312" s="255">
        <f t="shared" ref="O312" si="843">+N312*$X$1</f>
        <v>5347.2</v>
      </c>
      <c r="P312" s="520">
        <f>F312+360</f>
        <v>5257.2</v>
      </c>
      <c r="Q312" s="255">
        <f t="shared" ref="Q312" si="844">+P312*$X$1</f>
        <v>5257.2</v>
      </c>
      <c r="R312" s="520">
        <f>F312+330</f>
        <v>5227.2</v>
      </c>
      <c r="S312" s="255">
        <f t="shared" ref="S312" si="845">+R312*$X$1</f>
        <v>5227.2</v>
      </c>
      <c r="T312" s="93">
        <f>F312+300</f>
        <v>5197.2</v>
      </c>
      <c r="U312" s="234">
        <f t="shared" ref="U312" si="846">+T312*$X$1</f>
        <v>5197.2</v>
      </c>
      <c r="V312" s="93">
        <f>F312+260</f>
        <v>5157.2</v>
      </c>
      <c r="W312" s="234">
        <f t="shared" ref="W312" si="847">+V312*$X$1</f>
        <v>5157.2</v>
      </c>
      <c r="X312" s="135"/>
      <c r="Y312" s="135"/>
      <c r="Z312" s="135"/>
      <c r="AA312" s="135"/>
      <c r="AB312" s="178">
        <v>1021</v>
      </c>
    </row>
    <row r="313" spans="1:38" ht="12.6" customHeight="1" x14ac:dyDescent="0.2">
      <c r="A313" s="17"/>
      <c r="B313" s="652" t="s">
        <v>901</v>
      </c>
      <c r="C313" s="656"/>
      <c r="D313" s="656"/>
      <c r="E313" s="656"/>
      <c r="F313" s="559">
        <v>13260</v>
      </c>
      <c r="G313" s="298">
        <f t="shared" ref="G313" si="848">+F313*$X$1</f>
        <v>13260</v>
      </c>
      <c r="H313" s="528"/>
      <c r="I313" s="256"/>
      <c r="J313" s="528">
        <f>F313+600</f>
        <v>13860</v>
      </c>
      <c r="K313" s="256">
        <f>+J313*$X$1</f>
        <v>13860</v>
      </c>
      <c r="L313" s="528">
        <f>F313+500</f>
        <v>13760</v>
      </c>
      <c r="M313" s="256">
        <f t="shared" ref="M313:M314" si="849">+L313*$X$1</f>
        <v>13760</v>
      </c>
      <c r="N313" s="528">
        <f>F313+450</f>
        <v>13710</v>
      </c>
      <c r="O313" s="256">
        <f t="shared" ref="O313:O314" si="850">+N313*$X$1</f>
        <v>13710</v>
      </c>
      <c r="P313" s="528">
        <f>F313+360</f>
        <v>13620</v>
      </c>
      <c r="Q313" s="256">
        <f t="shared" ref="Q313:Q314" si="851">+P313*$X$1</f>
        <v>13620</v>
      </c>
      <c r="R313" s="528">
        <f>F313+330</f>
        <v>13590</v>
      </c>
      <c r="S313" s="256">
        <f t="shared" ref="S313:S314" si="852">+R313*$X$1</f>
        <v>13590</v>
      </c>
      <c r="T313" s="92">
        <f>F313+300</f>
        <v>13560</v>
      </c>
      <c r="U313" s="269">
        <f t="shared" ref="U313:U314" si="853">+T313*$X$1</f>
        <v>13560</v>
      </c>
      <c r="V313" s="92">
        <f>F313+260</f>
        <v>13520</v>
      </c>
      <c r="W313" s="269">
        <f t="shared" ref="W313:W314" si="854">+V313*$X$1</f>
        <v>13520</v>
      </c>
      <c r="X313" s="135"/>
      <c r="Y313" s="135"/>
      <c r="Z313" s="135"/>
      <c r="AA313" s="135"/>
      <c r="AB313" s="178">
        <v>1022</v>
      </c>
    </row>
    <row r="314" spans="1:38" ht="12.6" customHeight="1" x14ac:dyDescent="0.2">
      <c r="A314" s="17"/>
      <c r="B314" s="654" t="s">
        <v>842</v>
      </c>
      <c r="C314" s="655"/>
      <c r="D314" s="655"/>
      <c r="E314" s="655"/>
      <c r="F314" s="321">
        <v>7980</v>
      </c>
      <c r="G314" s="255">
        <f>+F314*$X$1</f>
        <v>7980</v>
      </c>
      <c r="H314" s="68">
        <f>F314+820</f>
        <v>8800</v>
      </c>
      <c r="I314" s="255">
        <f t="shared" ref="I314" si="855">+H314*$X$1</f>
        <v>8800</v>
      </c>
      <c r="J314" s="520">
        <f>F314+380</f>
        <v>8360</v>
      </c>
      <c r="K314" s="255">
        <f t="shared" ref="K314" si="856">+J314*$X$1</f>
        <v>8360</v>
      </c>
      <c r="L314" s="520">
        <f t="shared" ref="L314" si="857">F314+310</f>
        <v>8290</v>
      </c>
      <c r="M314" s="255">
        <f t="shared" si="849"/>
        <v>8290</v>
      </c>
      <c r="N314" s="520">
        <f>F314+260</f>
        <v>8240</v>
      </c>
      <c r="O314" s="255">
        <f t="shared" si="850"/>
        <v>8240</v>
      </c>
      <c r="P314" s="520">
        <f>F314+220</f>
        <v>8200</v>
      </c>
      <c r="Q314" s="255">
        <f t="shared" si="851"/>
        <v>8200</v>
      </c>
      <c r="R314" s="520">
        <f>F314+190</f>
        <v>8170</v>
      </c>
      <c r="S314" s="255">
        <f t="shared" si="852"/>
        <v>8170</v>
      </c>
      <c r="T314" s="520">
        <f>F314+160</f>
        <v>8140</v>
      </c>
      <c r="U314" s="255">
        <f t="shared" si="853"/>
        <v>8140</v>
      </c>
      <c r="V314" s="520">
        <f>F314+130</f>
        <v>8110</v>
      </c>
      <c r="W314" s="255">
        <f t="shared" si="854"/>
        <v>8110</v>
      </c>
      <c r="X314" s="660"/>
      <c r="Y314" s="620"/>
      <c r="Z314" s="620"/>
      <c r="AA314" s="622"/>
      <c r="AB314" s="178">
        <v>1023</v>
      </c>
    </row>
    <row r="315" spans="1:38" ht="12.75" customHeight="1" x14ac:dyDescent="0.2">
      <c r="A315" s="17"/>
      <c r="B315" s="3"/>
      <c r="C315" s="3"/>
      <c r="D315" s="3"/>
      <c r="E315" s="3"/>
      <c r="F315" s="4"/>
      <c r="G315" s="4"/>
      <c r="H315" s="22"/>
      <c r="I315" s="2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62"/>
      <c r="C317" s="62"/>
      <c r="D317" s="62"/>
      <c r="E317" s="62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4.25" customHeight="1" x14ac:dyDescent="0.2">
      <c r="A318" s="17"/>
      <c r="B318" s="679" t="s">
        <v>11</v>
      </c>
      <c r="C318" s="708" t="s">
        <v>12</v>
      </c>
      <c r="D318" s="709"/>
      <c r="E318" s="709"/>
      <c r="F318" s="674" t="s">
        <v>13</v>
      </c>
      <c r="G318" s="674" t="s">
        <v>13</v>
      </c>
      <c r="H318" s="670" t="s">
        <v>701</v>
      </c>
      <c r="I318" s="670"/>
      <c r="J318" s="671"/>
      <c r="K318" s="671"/>
      <c r="L318" s="671"/>
      <c r="M318" s="671"/>
      <c r="N318" s="671"/>
      <c r="O318" s="671"/>
      <c r="P318" s="671"/>
      <c r="Q318" s="671"/>
      <c r="R318" s="671"/>
      <c r="S318" s="671"/>
      <c r="T318" s="671"/>
      <c r="U318" s="671"/>
      <c r="V318" s="671"/>
      <c r="W318" s="671"/>
      <c r="X318" s="779" t="s">
        <v>14</v>
      </c>
      <c r="Y318" s="793"/>
      <c r="Z318" s="793"/>
      <c r="AA318" s="966"/>
      <c r="AB318" s="777" t="s">
        <v>15</v>
      </c>
      <c r="AF318" s="759" t="s">
        <v>3</v>
      </c>
      <c r="AG318" s="760"/>
      <c r="AH318" s="760"/>
    </row>
    <row r="319" spans="1:38" ht="11.25" customHeight="1" x14ac:dyDescent="0.2">
      <c r="A319" s="17"/>
      <c r="B319" s="679"/>
      <c r="C319" s="709"/>
      <c r="D319" s="709"/>
      <c r="E319" s="709"/>
      <c r="F319" s="675"/>
      <c r="G319" s="675"/>
      <c r="H319" s="404"/>
      <c r="I319" s="396" t="s">
        <v>260</v>
      </c>
      <c r="J319" s="398"/>
      <c r="K319" s="396" t="s">
        <v>17</v>
      </c>
      <c r="L319" s="399"/>
      <c r="M319" s="399" t="s">
        <v>18</v>
      </c>
      <c r="N319" s="399"/>
      <c r="O319" s="396" t="s">
        <v>19</v>
      </c>
      <c r="P319" s="399"/>
      <c r="Q319" s="399" t="s">
        <v>261</v>
      </c>
      <c r="R319" s="399"/>
      <c r="S319" s="399" t="s">
        <v>20</v>
      </c>
      <c r="T319" s="399"/>
      <c r="U319" s="399" t="s">
        <v>21</v>
      </c>
      <c r="V319" s="399"/>
      <c r="W319" s="399" t="s">
        <v>22</v>
      </c>
      <c r="X319" s="794"/>
      <c r="Y319" s="795"/>
      <c r="Z319" s="795"/>
      <c r="AA319" s="967"/>
      <c r="AB319" s="778"/>
    </row>
    <row r="320" spans="1:38" s="1" customFormat="1" ht="12.6" customHeight="1" x14ac:dyDescent="0.2">
      <c r="A320" s="18"/>
      <c r="B320" s="640" t="s">
        <v>776</v>
      </c>
      <c r="C320" s="641"/>
      <c r="D320" s="641"/>
      <c r="E320" s="642"/>
      <c r="F320" s="322">
        <f>2.5*X2</f>
        <v>3850</v>
      </c>
      <c r="G320" s="256">
        <f>+F320*$X$1</f>
        <v>3850</v>
      </c>
      <c r="H320" s="528">
        <f>F320+800</f>
        <v>4650</v>
      </c>
      <c r="I320" s="256">
        <f t="shared" ref="I320" si="858">+H320*$X$1</f>
        <v>4650</v>
      </c>
      <c r="J320" s="528">
        <f>F320+360</f>
        <v>4210</v>
      </c>
      <c r="K320" s="256">
        <f t="shared" ref="K320" si="859">+J320*$X$1</f>
        <v>4210</v>
      </c>
      <c r="L320" s="528">
        <f>F320+310</f>
        <v>4160</v>
      </c>
      <c r="M320" s="256">
        <f t="shared" ref="M320" si="860">+L320*$X$1</f>
        <v>4160</v>
      </c>
      <c r="N320" s="528">
        <f>F320+270</f>
        <v>4120</v>
      </c>
      <c r="O320" s="256">
        <f t="shared" ref="O320" si="861">+N320*$X$1</f>
        <v>4120</v>
      </c>
      <c r="P320" s="528">
        <f>F320+230</f>
        <v>4080</v>
      </c>
      <c r="Q320" s="256">
        <f t="shared" ref="Q320" si="862">+P320*$X$1</f>
        <v>4080</v>
      </c>
      <c r="R320" s="528">
        <f>F320+200</f>
        <v>4050</v>
      </c>
      <c r="S320" s="256">
        <f t="shared" ref="S320" si="863">+R320*$X$1</f>
        <v>4050</v>
      </c>
      <c r="T320" s="92">
        <f>F320+175</f>
        <v>4025</v>
      </c>
      <c r="U320" s="269">
        <f t="shared" ref="U320" si="864">+T320*$X$1</f>
        <v>4025</v>
      </c>
      <c r="V320" s="92">
        <f>F320+150</f>
        <v>4000</v>
      </c>
      <c r="W320" s="269">
        <f t="shared" ref="W320" si="865">+V320*$X$1</f>
        <v>4000</v>
      </c>
      <c r="X320" s="463"/>
      <c r="Y320" s="465"/>
      <c r="Z320" s="465"/>
      <c r="AA320" s="464"/>
      <c r="AB320" s="178">
        <v>1024</v>
      </c>
      <c r="AC320" s="4"/>
      <c r="AD320" s="4"/>
      <c r="AE320" s="4"/>
      <c r="AF320" s="4"/>
      <c r="AG320" s="4"/>
      <c r="AH320" s="414"/>
      <c r="AI320" s="4"/>
      <c r="AJ320" s="4"/>
      <c r="AK320" s="4"/>
      <c r="AL320" s="4"/>
    </row>
    <row r="321" spans="1:38" s="1" customFormat="1" ht="12.6" customHeight="1" x14ac:dyDescent="0.2">
      <c r="A321" s="18"/>
      <c r="B321" s="657" t="s">
        <v>873</v>
      </c>
      <c r="C321" s="677"/>
      <c r="D321" s="677"/>
      <c r="E321" s="678"/>
      <c r="F321" s="321">
        <f>2.46*X2</f>
        <v>3788.4</v>
      </c>
      <c r="G321" s="255">
        <f>+F321*$X$1</f>
        <v>3788.4</v>
      </c>
      <c r="H321" s="520">
        <f>F321+800</f>
        <v>4588.3999999999996</v>
      </c>
      <c r="I321" s="255">
        <f t="shared" ref="I321:I322" si="866">+H321*$X$1</f>
        <v>4588.3999999999996</v>
      </c>
      <c r="J321" s="520">
        <f>F321+360</f>
        <v>4148.3999999999996</v>
      </c>
      <c r="K321" s="255">
        <f t="shared" ref="K321:K322" si="867">+J321*$X$1</f>
        <v>4148.3999999999996</v>
      </c>
      <c r="L321" s="520">
        <f>F321+310</f>
        <v>4098.3999999999996</v>
      </c>
      <c r="M321" s="255">
        <f t="shared" ref="M321:M322" si="868">+L321*$X$1</f>
        <v>4098.3999999999996</v>
      </c>
      <c r="N321" s="520">
        <f>F321+270</f>
        <v>4058.4</v>
      </c>
      <c r="O321" s="255">
        <f t="shared" ref="O321:O322" si="869">+N321*$X$1</f>
        <v>4058.4</v>
      </c>
      <c r="P321" s="520">
        <f>F321+230</f>
        <v>4018.4</v>
      </c>
      <c r="Q321" s="255">
        <f t="shared" ref="Q321:Q322" si="870">+P321*$X$1</f>
        <v>4018.4</v>
      </c>
      <c r="R321" s="520">
        <f>F321+200</f>
        <v>3988.4</v>
      </c>
      <c r="S321" s="255">
        <f t="shared" ref="S321:S322" si="871">+R321*$X$1</f>
        <v>3988.4</v>
      </c>
      <c r="T321" s="93">
        <f>F321+175</f>
        <v>3963.4</v>
      </c>
      <c r="U321" s="234">
        <f t="shared" ref="U321:U322" si="872">+T321*$X$1</f>
        <v>3963.4</v>
      </c>
      <c r="V321" s="93">
        <f>F321+150</f>
        <v>3938.4</v>
      </c>
      <c r="W321" s="234">
        <f t="shared" ref="W321:W322" si="873">+V321*$X$1</f>
        <v>3938.4</v>
      </c>
      <c r="X321" s="413"/>
      <c r="Y321" s="411"/>
      <c r="Z321" s="411"/>
      <c r="AA321" s="412"/>
      <c r="AB321" s="178">
        <v>1026</v>
      </c>
      <c r="AC321" s="4"/>
      <c r="AD321" s="4"/>
      <c r="AE321" s="4"/>
      <c r="AF321" s="4"/>
      <c r="AG321" s="4"/>
      <c r="AH321" s="414"/>
      <c r="AI321" s="4"/>
      <c r="AJ321" s="4"/>
      <c r="AK321" s="4"/>
      <c r="AL321" s="4"/>
    </row>
    <row r="322" spans="1:38" s="1" customFormat="1" ht="12.6" customHeight="1" x14ac:dyDescent="0.2">
      <c r="A322" s="18"/>
      <c r="B322" s="640" t="s">
        <v>529</v>
      </c>
      <c r="C322" s="641"/>
      <c r="D322" s="641"/>
      <c r="E322" s="642"/>
      <c r="F322" s="478">
        <f>12*X2</f>
        <v>18480</v>
      </c>
      <c r="G322" s="258">
        <f t="shared" ref="G322:G324" si="874">+F322*$X$1</f>
        <v>18480</v>
      </c>
      <c r="H322" s="82">
        <f>F322+820</f>
        <v>19300</v>
      </c>
      <c r="I322" s="256">
        <f t="shared" si="866"/>
        <v>19300</v>
      </c>
      <c r="J322" s="528">
        <f>F322+380</f>
        <v>18860</v>
      </c>
      <c r="K322" s="256">
        <f t="shared" si="867"/>
        <v>18860</v>
      </c>
      <c r="L322" s="528">
        <f>F322+310</f>
        <v>18790</v>
      </c>
      <c r="M322" s="256">
        <f t="shared" si="868"/>
        <v>18790</v>
      </c>
      <c r="N322" s="528">
        <f>F322+260</f>
        <v>18740</v>
      </c>
      <c r="O322" s="256">
        <f t="shared" si="869"/>
        <v>18740</v>
      </c>
      <c r="P322" s="528">
        <f>F322+220</f>
        <v>18700</v>
      </c>
      <c r="Q322" s="256">
        <f t="shared" si="870"/>
        <v>18700</v>
      </c>
      <c r="R322" s="528">
        <f>F322+190</f>
        <v>18670</v>
      </c>
      <c r="S322" s="256">
        <f t="shared" si="871"/>
        <v>18670</v>
      </c>
      <c r="T322" s="528">
        <f>F322+160</f>
        <v>18640</v>
      </c>
      <c r="U322" s="256">
        <f t="shared" si="872"/>
        <v>18640</v>
      </c>
      <c r="V322" s="528">
        <f>F322+130</f>
        <v>18610</v>
      </c>
      <c r="W322" s="256">
        <f t="shared" si="873"/>
        <v>18610</v>
      </c>
      <c r="X322" s="294"/>
      <c r="Y322" s="295"/>
      <c r="Z322" s="295"/>
      <c r="AA322" s="296"/>
      <c r="AB322" s="178">
        <v>1028</v>
      </c>
      <c r="AC322" s="4"/>
      <c r="AD322" s="4"/>
      <c r="AE322" s="4"/>
      <c r="AF322" s="4"/>
      <c r="AG322" s="4"/>
      <c r="AH322" s="116"/>
      <c r="AI322" s="4"/>
      <c r="AJ322" s="4"/>
      <c r="AK322" s="4"/>
      <c r="AL322" s="4"/>
    </row>
    <row r="323" spans="1:38" s="1" customFormat="1" ht="12.6" customHeight="1" x14ac:dyDescent="0.2">
      <c r="A323" s="18"/>
      <c r="B323" s="657" t="s">
        <v>729</v>
      </c>
      <c r="C323" s="677"/>
      <c r="D323" s="677"/>
      <c r="E323" s="678"/>
      <c r="F323" s="289">
        <v>4130</v>
      </c>
      <c r="G323" s="255">
        <f t="shared" ref="G323" si="875">+F323*$X$1</f>
        <v>4130</v>
      </c>
      <c r="H323" s="520"/>
      <c r="I323" s="255"/>
      <c r="J323" s="520"/>
      <c r="K323" s="255"/>
      <c r="L323" s="520">
        <f>F323+310</f>
        <v>4440</v>
      </c>
      <c r="M323" s="255">
        <f t="shared" ref="M323:M324" si="876">+L323*$X$1</f>
        <v>4440</v>
      </c>
      <c r="N323" s="520">
        <f>F323+270</f>
        <v>4400</v>
      </c>
      <c r="O323" s="255">
        <f t="shared" ref="O323:O324" si="877">+N323*$X$1</f>
        <v>4400</v>
      </c>
      <c r="P323" s="520">
        <f>F323+230</f>
        <v>4360</v>
      </c>
      <c r="Q323" s="255">
        <f t="shared" ref="Q323:Q324" si="878">+P323*$X$1</f>
        <v>4360</v>
      </c>
      <c r="R323" s="520">
        <f>F323+200</f>
        <v>4330</v>
      </c>
      <c r="S323" s="255">
        <f t="shared" ref="S323:S324" si="879">+R323*$X$1</f>
        <v>4330</v>
      </c>
      <c r="T323" s="93">
        <f>F323+175</f>
        <v>4305</v>
      </c>
      <c r="U323" s="234">
        <f t="shared" ref="U323:U324" si="880">+T323*$X$1</f>
        <v>4305</v>
      </c>
      <c r="V323" s="93">
        <f>F323+150</f>
        <v>4280</v>
      </c>
      <c r="W323" s="234">
        <f t="shared" ref="W323:W324" si="881">+V323*$X$1</f>
        <v>4280</v>
      </c>
      <c r="X323" s="417"/>
      <c r="Y323" s="418"/>
      <c r="Z323" s="418"/>
      <c r="AA323" s="419"/>
      <c r="AB323" s="178">
        <v>1029</v>
      </c>
      <c r="AC323" s="4"/>
      <c r="AD323" s="4"/>
      <c r="AE323" s="4"/>
      <c r="AF323" s="4"/>
      <c r="AG323" s="4"/>
      <c r="AH323" s="116"/>
      <c r="AI323" s="4"/>
      <c r="AJ323" s="4"/>
      <c r="AK323" s="4"/>
      <c r="AL323" s="4"/>
    </row>
    <row r="324" spans="1:38" s="1" customFormat="1" ht="12.6" customHeight="1" x14ac:dyDescent="0.2">
      <c r="A324" s="18"/>
      <c r="B324" s="640" t="s">
        <v>527</v>
      </c>
      <c r="C324" s="641"/>
      <c r="D324" s="641"/>
      <c r="E324" s="642"/>
      <c r="F324" s="288">
        <v>4130</v>
      </c>
      <c r="G324" s="256">
        <f t="shared" si="874"/>
        <v>4130</v>
      </c>
      <c r="H324" s="528"/>
      <c r="I324" s="256"/>
      <c r="J324" s="528"/>
      <c r="K324" s="256"/>
      <c r="L324" s="528">
        <f>F324+310</f>
        <v>4440</v>
      </c>
      <c r="M324" s="256">
        <f t="shared" si="876"/>
        <v>4440</v>
      </c>
      <c r="N324" s="528">
        <f>F324+270</f>
        <v>4400</v>
      </c>
      <c r="O324" s="256">
        <f t="shared" si="877"/>
        <v>4400</v>
      </c>
      <c r="P324" s="528">
        <f>F324+230</f>
        <v>4360</v>
      </c>
      <c r="Q324" s="256">
        <f t="shared" si="878"/>
        <v>4360</v>
      </c>
      <c r="R324" s="528">
        <f>F324+200</f>
        <v>4330</v>
      </c>
      <c r="S324" s="256">
        <f t="shared" si="879"/>
        <v>4330</v>
      </c>
      <c r="T324" s="92">
        <f>F324+175</f>
        <v>4305</v>
      </c>
      <c r="U324" s="269">
        <f t="shared" si="880"/>
        <v>4305</v>
      </c>
      <c r="V324" s="92">
        <f>F324+150</f>
        <v>4280</v>
      </c>
      <c r="W324" s="269">
        <f t="shared" si="881"/>
        <v>4280</v>
      </c>
      <c r="X324" s="286"/>
      <c r="Y324" s="284"/>
      <c r="Z324" s="284"/>
      <c r="AA324" s="285"/>
      <c r="AB324" s="178">
        <v>1030</v>
      </c>
      <c r="AC324" s="4"/>
      <c r="AD324" s="4"/>
      <c r="AE324" s="4"/>
      <c r="AF324" s="4"/>
      <c r="AG324" s="4"/>
      <c r="AH324" s="116"/>
      <c r="AI324" s="4"/>
      <c r="AJ324" s="4"/>
      <c r="AK324" s="4"/>
      <c r="AL324" s="4"/>
    </row>
    <row r="325" spans="1:38" s="1" customFormat="1" ht="12.6" customHeight="1" x14ac:dyDescent="0.2">
      <c r="A325" s="18"/>
      <c r="B325" s="657" t="s">
        <v>528</v>
      </c>
      <c r="C325" s="677"/>
      <c r="D325" s="677"/>
      <c r="E325" s="678"/>
      <c r="F325" s="289">
        <v>4130</v>
      </c>
      <c r="G325" s="255">
        <f t="shared" ref="G325:G326" si="882">+F325*$X$1</f>
        <v>4130</v>
      </c>
      <c r="H325" s="520"/>
      <c r="I325" s="255"/>
      <c r="J325" s="520"/>
      <c r="K325" s="255"/>
      <c r="L325" s="520">
        <f>F325+310</f>
        <v>4440</v>
      </c>
      <c r="M325" s="255">
        <f t="shared" ref="M325" si="883">+L325*$X$1</f>
        <v>4440</v>
      </c>
      <c r="N325" s="520">
        <f>F325+270</f>
        <v>4400</v>
      </c>
      <c r="O325" s="255">
        <f t="shared" ref="O325" si="884">+N325*$X$1</f>
        <v>4400</v>
      </c>
      <c r="P325" s="520">
        <f>F325+230</f>
        <v>4360</v>
      </c>
      <c r="Q325" s="255">
        <f t="shared" ref="Q325" si="885">+P325*$X$1</f>
        <v>4360</v>
      </c>
      <c r="R325" s="520">
        <f>F325+200</f>
        <v>4330</v>
      </c>
      <c r="S325" s="255">
        <f t="shared" ref="S325" si="886">+R325*$X$1</f>
        <v>4330</v>
      </c>
      <c r="T325" s="93">
        <f>F325+175</f>
        <v>4305</v>
      </c>
      <c r="U325" s="234">
        <f t="shared" ref="U325" si="887">+T325*$X$1</f>
        <v>4305</v>
      </c>
      <c r="V325" s="93">
        <f>F325+150</f>
        <v>4280</v>
      </c>
      <c r="W325" s="234">
        <f t="shared" ref="W325" si="888">+V325*$X$1</f>
        <v>4280</v>
      </c>
      <c r="X325" s="290"/>
      <c r="Y325" s="291"/>
      <c r="Z325" s="291"/>
      <c r="AA325" s="292"/>
      <c r="AB325" s="178">
        <v>1031</v>
      </c>
      <c r="AC325" s="4"/>
      <c r="AD325" s="4"/>
      <c r="AE325" s="4"/>
      <c r="AF325" s="4"/>
      <c r="AG325" s="4"/>
      <c r="AH325" s="116"/>
      <c r="AI325" s="4"/>
      <c r="AJ325" s="4"/>
      <c r="AK325" s="4"/>
      <c r="AL325" s="4"/>
    </row>
    <row r="326" spans="1:38" s="1" customFormat="1" ht="12.6" customHeight="1" x14ac:dyDescent="0.2">
      <c r="A326" s="18"/>
      <c r="B326" s="640" t="s">
        <v>739</v>
      </c>
      <c r="C326" s="641"/>
      <c r="D326" s="641"/>
      <c r="E326" s="642"/>
      <c r="F326" s="322">
        <f>13.8*X2</f>
        <v>21252</v>
      </c>
      <c r="G326" s="256">
        <f t="shared" si="882"/>
        <v>21252</v>
      </c>
      <c r="H326" s="82">
        <f>F326+800</f>
        <v>22052</v>
      </c>
      <c r="I326" s="256">
        <f t="shared" ref="I326" si="889">+H326*$X$1</f>
        <v>22052</v>
      </c>
      <c r="J326" s="528">
        <f>F326+360</f>
        <v>21612</v>
      </c>
      <c r="K326" s="256">
        <f t="shared" ref="K326" si="890">+J326*$X$1</f>
        <v>21612</v>
      </c>
      <c r="L326" s="528">
        <f>F326+290</f>
        <v>21542</v>
      </c>
      <c r="M326" s="256">
        <f t="shared" ref="M326" si="891">+L326*$X$1</f>
        <v>21542</v>
      </c>
      <c r="N326" s="528">
        <f>F326+240</f>
        <v>21492</v>
      </c>
      <c r="O326" s="256">
        <f t="shared" ref="O326" si="892">+N326*$X$1</f>
        <v>21492</v>
      </c>
      <c r="P326" s="528">
        <f>F326+200</f>
        <v>21452</v>
      </c>
      <c r="Q326" s="256">
        <f t="shared" ref="Q326" si="893">+P326*$X$1</f>
        <v>21452</v>
      </c>
      <c r="R326" s="528">
        <f>F326+170</f>
        <v>21422</v>
      </c>
      <c r="S326" s="256">
        <f t="shared" ref="S326" si="894">+R326*$X$1</f>
        <v>21422</v>
      </c>
      <c r="T326" s="528">
        <f>F326+140</f>
        <v>21392</v>
      </c>
      <c r="U326" s="256">
        <f t="shared" ref="U326" si="895">+T326*$X$1</f>
        <v>21392</v>
      </c>
      <c r="V326" s="528">
        <f>F326+110</f>
        <v>21362</v>
      </c>
      <c r="W326" s="256">
        <f t="shared" ref="W326" si="896">+V326*$X$1</f>
        <v>21362</v>
      </c>
      <c r="X326" s="228"/>
      <c r="Y326" s="229"/>
      <c r="Z326" s="229"/>
      <c r="AA326" s="230"/>
      <c r="AB326" s="178">
        <v>1032</v>
      </c>
      <c r="AC326" s="4"/>
      <c r="AD326" s="4"/>
      <c r="AE326" s="4"/>
      <c r="AF326" s="4"/>
      <c r="AG326" s="4"/>
      <c r="AH326" s="116"/>
      <c r="AI326" s="4"/>
      <c r="AJ326" s="4"/>
      <c r="AK326" s="4"/>
      <c r="AL326" s="4"/>
    </row>
    <row r="327" spans="1:38" s="1" customFormat="1" ht="12.6" customHeight="1" x14ac:dyDescent="0.2">
      <c r="A327" s="18"/>
      <c r="B327" s="657" t="s">
        <v>417</v>
      </c>
      <c r="C327" s="677"/>
      <c r="D327" s="677"/>
      <c r="E327" s="678"/>
      <c r="F327" s="321">
        <f>20.46*X2</f>
        <v>31508.400000000001</v>
      </c>
      <c r="G327" s="255">
        <f t="shared" ref="G327" si="897">+F327*$X$1</f>
        <v>31508.400000000001</v>
      </c>
      <c r="H327" s="68">
        <f>F327+820</f>
        <v>32328.400000000001</v>
      </c>
      <c r="I327" s="255">
        <f t="shared" ref="I327" si="898">+H327*$X$1</f>
        <v>32328.400000000001</v>
      </c>
      <c r="J327" s="520">
        <f>F327+380</f>
        <v>31888.400000000001</v>
      </c>
      <c r="K327" s="255">
        <f t="shared" ref="K327" si="899">+J327*$X$1</f>
        <v>31888.400000000001</v>
      </c>
      <c r="L327" s="520">
        <f>F327+310</f>
        <v>31818.400000000001</v>
      </c>
      <c r="M327" s="255">
        <f t="shared" ref="M327" si="900">+L327*$X$1</f>
        <v>31818.400000000001</v>
      </c>
      <c r="N327" s="520">
        <f>F327+260</f>
        <v>31768.400000000001</v>
      </c>
      <c r="O327" s="255">
        <f t="shared" ref="O327" si="901">+N327*$X$1</f>
        <v>31768.400000000001</v>
      </c>
      <c r="P327" s="520">
        <f>F327+220</f>
        <v>31728.400000000001</v>
      </c>
      <c r="Q327" s="255">
        <f t="shared" ref="Q327" si="902">+P327*$X$1</f>
        <v>31728.400000000001</v>
      </c>
      <c r="R327" s="520">
        <f>F327+190</f>
        <v>31698.400000000001</v>
      </c>
      <c r="S327" s="255">
        <f t="shared" ref="S327" si="903">+R327*$X$1</f>
        <v>31698.400000000001</v>
      </c>
      <c r="T327" s="520">
        <f>F327+160</f>
        <v>31668.400000000001</v>
      </c>
      <c r="U327" s="255">
        <f t="shared" ref="U327" si="904">+T327*$X$1</f>
        <v>31668.400000000001</v>
      </c>
      <c r="V327" s="520">
        <f>F327+130</f>
        <v>31638.400000000001</v>
      </c>
      <c r="W327" s="255">
        <f t="shared" ref="W327" si="905">+V327*$X$1</f>
        <v>31638.400000000001</v>
      </c>
      <c r="X327" s="221"/>
      <c r="Y327" s="223"/>
      <c r="Z327" s="223"/>
      <c r="AA327" s="222"/>
      <c r="AB327" s="178">
        <v>1034</v>
      </c>
      <c r="AC327" s="4"/>
      <c r="AD327" s="4"/>
      <c r="AE327" s="4"/>
      <c r="AF327" s="4"/>
      <c r="AG327" s="4"/>
      <c r="AH327" s="116"/>
      <c r="AI327" s="4"/>
      <c r="AJ327" s="4"/>
      <c r="AK327" s="4"/>
      <c r="AL327" s="4"/>
    </row>
    <row r="328" spans="1:38" ht="12.6" customHeight="1" x14ac:dyDescent="0.2">
      <c r="A328" s="17"/>
      <c r="B328" s="647" t="s">
        <v>381</v>
      </c>
      <c r="C328" s="648"/>
      <c r="D328" s="648"/>
      <c r="E328" s="648"/>
      <c r="F328" s="288">
        <v>10230</v>
      </c>
      <c r="G328" s="256">
        <f>+F328*$X$1</f>
        <v>10230</v>
      </c>
      <c r="H328" s="82">
        <f>F328+800</f>
        <v>11030</v>
      </c>
      <c r="I328" s="256">
        <f t="shared" ref="I328:I330" si="906">+H328*$X$1</f>
        <v>11030</v>
      </c>
      <c r="J328" s="528">
        <f>F328+360</f>
        <v>10590</v>
      </c>
      <c r="K328" s="256">
        <f t="shared" ref="K328:K330" si="907">+J328*$X$1</f>
        <v>10590</v>
      </c>
      <c r="L328" s="528">
        <f>F328+290</f>
        <v>10520</v>
      </c>
      <c r="M328" s="256">
        <f t="shared" ref="M328:M330" si="908">+L328*$X$1</f>
        <v>10520</v>
      </c>
      <c r="N328" s="528">
        <f>F328+240</f>
        <v>10470</v>
      </c>
      <c r="O328" s="256">
        <f t="shared" ref="O328:O330" si="909">+N328*$X$1</f>
        <v>10470</v>
      </c>
      <c r="P328" s="528">
        <f>F328+200</f>
        <v>10430</v>
      </c>
      <c r="Q328" s="256">
        <f t="shared" ref="Q328:Q330" si="910">+P328*$X$1</f>
        <v>10430</v>
      </c>
      <c r="R328" s="528">
        <f>F328+170</f>
        <v>10400</v>
      </c>
      <c r="S328" s="256">
        <f t="shared" ref="S328:S330" si="911">+R328*$X$1</f>
        <v>10400</v>
      </c>
      <c r="T328" s="528">
        <f>F328+140</f>
        <v>10370</v>
      </c>
      <c r="U328" s="256">
        <f t="shared" ref="U328:U330" si="912">+T328*$X$1</f>
        <v>10370</v>
      </c>
      <c r="V328" s="528">
        <f>F328+110</f>
        <v>10340</v>
      </c>
      <c r="W328" s="256">
        <f t="shared" ref="W328:W330" si="913">+V328*$X$1</f>
        <v>10340</v>
      </c>
      <c r="X328" s="660"/>
      <c r="Y328" s="620"/>
      <c r="Z328" s="620"/>
      <c r="AA328" s="622"/>
      <c r="AB328" s="178">
        <v>1040</v>
      </c>
      <c r="AC328" s="61"/>
    </row>
    <row r="329" spans="1:38" ht="12.6" customHeight="1" x14ac:dyDescent="0.2">
      <c r="A329" s="17"/>
      <c r="B329" s="654" t="s">
        <v>671</v>
      </c>
      <c r="C329" s="655"/>
      <c r="D329" s="655"/>
      <c r="E329" s="655"/>
      <c r="F329" s="321">
        <f>19.97*X2</f>
        <v>30753.8</v>
      </c>
      <c r="G329" s="255">
        <f>+F329*$X$1</f>
        <v>30753.8</v>
      </c>
      <c r="H329" s="68">
        <f>F329+800</f>
        <v>31553.8</v>
      </c>
      <c r="I329" s="255">
        <f t="shared" si="906"/>
        <v>31553.8</v>
      </c>
      <c r="J329" s="520">
        <f>F329+360</f>
        <v>31113.8</v>
      </c>
      <c r="K329" s="255">
        <f t="shared" si="907"/>
        <v>31113.8</v>
      </c>
      <c r="L329" s="520">
        <f>F329+290</f>
        <v>31043.8</v>
      </c>
      <c r="M329" s="255">
        <f t="shared" si="908"/>
        <v>31043.8</v>
      </c>
      <c r="N329" s="520">
        <f>F329+240</f>
        <v>30993.8</v>
      </c>
      <c r="O329" s="255">
        <f t="shared" si="909"/>
        <v>30993.8</v>
      </c>
      <c r="P329" s="520">
        <f>F329+200</f>
        <v>30953.8</v>
      </c>
      <c r="Q329" s="255">
        <f t="shared" si="910"/>
        <v>30953.8</v>
      </c>
      <c r="R329" s="520">
        <f>F329+170</f>
        <v>30923.8</v>
      </c>
      <c r="S329" s="255">
        <f t="shared" si="911"/>
        <v>30923.8</v>
      </c>
      <c r="T329" s="520">
        <f>F329+140</f>
        <v>30893.8</v>
      </c>
      <c r="U329" s="255">
        <f t="shared" si="912"/>
        <v>30893.8</v>
      </c>
      <c r="V329" s="520">
        <f>F329+110</f>
        <v>30863.8</v>
      </c>
      <c r="W329" s="255">
        <f t="shared" si="913"/>
        <v>30863.8</v>
      </c>
      <c r="X329" s="660"/>
      <c r="Y329" s="620"/>
      <c r="Z329" s="620"/>
      <c r="AA329" s="622"/>
      <c r="AB329" s="178">
        <v>1041</v>
      </c>
      <c r="AC329" s="61"/>
    </row>
    <row r="330" spans="1:38" ht="12.6" customHeight="1" x14ac:dyDescent="0.2">
      <c r="A330" s="17"/>
      <c r="B330" s="647" t="s">
        <v>670</v>
      </c>
      <c r="C330" s="648"/>
      <c r="D330" s="648"/>
      <c r="E330" s="648"/>
      <c r="F330" s="322">
        <f>12.6*X2</f>
        <v>19404</v>
      </c>
      <c r="G330" s="256">
        <f t="shared" ref="G330" si="914">+F330*$X$1</f>
        <v>19404</v>
      </c>
      <c r="H330" s="82">
        <f>F330+820</f>
        <v>20224</v>
      </c>
      <c r="I330" s="256">
        <f t="shared" si="906"/>
        <v>20224</v>
      </c>
      <c r="J330" s="528">
        <f>F330+380</f>
        <v>19784</v>
      </c>
      <c r="K330" s="256">
        <f t="shared" si="907"/>
        <v>19784</v>
      </c>
      <c r="L330" s="528">
        <f>F330+310</f>
        <v>19714</v>
      </c>
      <c r="M330" s="256">
        <f t="shared" si="908"/>
        <v>19714</v>
      </c>
      <c r="N330" s="528">
        <f>F330+260</f>
        <v>19664</v>
      </c>
      <c r="O330" s="256">
        <f t="shared" si="909"/>
        <v>19664</v>
      </c>
      <c r="P330" s="528">
        <f>F330+220</f>
        <v>19624</v>
      </c>
      <c r="Q330" s="256">
        <f t="shared" si="910"/>
        <v>19624</v>
      </c>
      <c r="R330" s="528">
        <f>F330+190</f>
        <v>19594</v>
      </c>
      <c r="S330" s="256">
        <f t="shared" si="911"/>
        <v>19594</v>
      </c>
      <c r="T330" s="528">
        <f>F330+160</f>
        <v>19564</v>
      </c>
      <c r="U330" s="256">
        <f t="shared" si="912"/>
        <v>19564</v>
      </c>
      <c r="V330" s="528">
        <f>F330+130</f>
        <v>19534</v>
      </c>
      <c r="W330" s="256">
        <f t="shared" si="913"/>
        <v>19534</v>
      </c>
      <c r="X330" s="660"/>
      <c r="Y330" s="620"/>
      <c r="Z330" s="620"/>
      <c r="AA330" s="622"/>
      <c r="AB330" s="178">
        <v>1042</v>
      </c>
    </row>
    <row r="331" spans="1:38" ht="12.6" customHeight="1" x14ac:dyDescent="0.2">
      <c r="A331" s="17"/>
      <c r="B331" s="654" t="s">
        <v>463</v>
      </c>
      <c r="C331" s="655"/>
      <c r="D331" s="655"/>
      <c r="E331" s="655"/>
      <c r="F331" s="289">
        <v>19100</v>
      </c>
      <c r="G331" s="255">
        <f t="shared" ref="G331:G332" si="915">+F331*$X$1</f>
        <v>19100</v>
      </c>
      <c r="H331" s="68">
        <f t="shared" ref="H331:H346" si="916">F331+800</f>
        <v>19900</v>
      </c>
      <c r="I331" s="255">
        <f t="shared" ref="I331:I347" si="917">+H331*$X$1</f>
        <v>19900</v>
      </c>
      <c r="J331" s="520">
        <f t="shared" ref="J331:J346" si="918">F331+360</f>
        <v>19460</v>
      </c>
      <c r="K331" s="255">
        <f t="shared" ref="K331:K347" si="919">+J331*$X$1</f>
        <v>19460</v>
      </c>
      <c r="L331" s="520">
        <f t="shared" ref="L331:L346" si="920">F331+290</f>
        <v>19390</v>
      </c>
      <c r="M331" s="255">
        <f t="shared" ref="M331:M347" si="921">+L331*$X$1</f>
        <v>19390</v>
      </c>
      <c r="N331" s="520">
        <f t="shared" ref="N331:N346" si="922">F331+240</f>
        <v>19340</v>
      </c>
      <c r="O331" s="255">
        <f t="shared" ref="O331:O347" si="923">+N331*$X$1</f>
        <v>19340</v>
      </c>
      <c r="P331" s="520">
        <f t="shared" ref="P331:P346" si="924">F331+200</f>
        <v>19300</v>
      </c>
      <c r="Q331" s="255">
        <f t="shared" ref="Q331:Q347" si="925">+P331*$X$1</f>
        <v>19300</v>
      </c>
      <c r="R331" s="520">
        <f t="shared" ref="R331:R346" si="926">F331+170</f>
        <v>19270</v>
      </c>
      <c r="S331" s="255">
        <f t="shared" ref="S331:S347" si="927">+R331*$X$1</f>
        <v>19270</v>
      </c>
      <c r="T331" s="520">
        <f t="shared" ref="T331:T346" si="928">F331+140</f>
        <v>19240</v>
      </c>
      <c r="U331" s="255">
        <f t="shared" ref="U331:U347" si="929">+T331*$X$1</f>
        <v>19240</v>
      </c>
      <c r="V331" s="520">
        <f t="shared" ref="V331:V346" si="930">F331+110</f>
        <v>19210</v>
      </c>
      <c r="W331" s="255">
        <f t="shared" ref="W331:W347" si="931">+V331*$X$1</f>
        <v>19210</v>
      </c>
      <c r="X331" s="660"/>
      <c r="Y331" s="620"/>
      <c r="Z331" s="620"/>
      <c r="AA331" s="622"/>
      <c r="AB331" s="178">
        <v>1043</v>
      </c>
      <c r="AC331" s="61"/>
    </row>
    <row r="332" spans="1:38" ht="12.6" customHeight="1" x14ac:dyDescent="0.2">
      <c r="A332" s="17"/>
      <c r="B332" s="647" t="s">
        <v>850</v>
      </c>
      <c r="C332" s="648"/>
      <c r="D332" s="648"/>
      <c r="E332" s="648"/>
      <c r="F332" s="288">
        <v>22950</v>
      </c>
      <c r="G332" s="256">
        <f t="shared" si="915"/>
        <v>22950</v>
      </c>
      <c r="H332" s="82">
        <f t="shared" si="916"/>
        <v>23750</v>
      </c>
      <c r="I332" s="256">
        <f t="shared" si="917"/>
        <v>23750</v>
      </c>
      <c r="J332" s="528">
        <f t="shared" si="918"/>
        <v>23310</v>
      </c>
      <c r="K332" s="256">
        <f t="shared" si="919"/>
        <v>23310</v>
      </c>
      <c r="L332" s="528">
        <f t="shared" si="920"/>
        <v>23240</v>
      </c>
      <c r="M332" s="256">
        <f t="shared" si="921"/>
        <v>23240</v>
      </c>
      <c r="N332" s="528">
        <f t="shared" si="922"/>
        <v>23190</v>
      </c>
      <c r="O332" s="256">
        <f t="shared" si="923"/>
        <v>23190</v>
      </c>
      <c r="P332" s="528">
        <f t="shared" si="924"/>
        <v>23150</v>
      </c>
      <c r="Q332" s="256">
        <f t="shared" si="925"/>
        <v>23150</v>
      </c>
      <c r="R332" s="528">
        <f t="shared" si="926"/>
        <v>23120</v>
      </c>
      <c r="S332" s="256">
        <f t="shared" si="927"/>
        <v>23120</v>
      </c>
      <c r="T332" s="528">
        <f t="shared" si="928"/>
        <v>23090</v>
      </c>
      <c r="U332" s="256">
        <f t="shared" si="929"/>
        <v>23090</v>
      </c>
      <c r="V332" s="528">
        <f t="shared" si="930"/>
        <v>23060</v>
      </c>
      <c r="W332" s="256">
        <f t="shared" si="931"/>
        <v>23060</v>
      </c>
      <c r="X332" s="660"/>
      <c r="Y332" s="620"/>
      <c r="Z332" s="620"/>
      <c r="AA332" s="622"/>
      <c r="AB332" s="178">
        <v>1044</v>
      </c>
      <c r="AC332" s="61"/>
    </row>
    <row r="333" spans="1:38" ht="12.6" customHeight="1" x14ac:dyDescent="0.2">
      <c r="A333" s="17"/>
      <c r="B333" s="654" t="s">
        <v>698</v>
      </c>
      <c r="C333" s="655"/>
      <c r="D333" s="655"/>
      <c r="E333" s="655"/>
      <c r="F333" s="289">
        <v>19910</v>
      </c>
      <c r="G333" s="255">
        <f>+F333*$X$1</f>
        <v>19910</v>
      </c>
      <c r="H333" s="68">
        <f t="shared" si="916"/>
        <v>20710</v>
      </c>
      <c r="I333" s="255">
        <f t="shared" si="917"/>
        <v>20710</v>
      </c>
      <c r="J333" s="520">
        <f t="shared" si="918"/>
        <v>20270</v>
      </c>
      <c r="K333" s="255">
        <f t="shared" si="919"/>
        <v>20270</v>
      </c>
      <c r="L333" s="520">
        <f t="shared" si="920"/>
        <v>20200</v>
      </c>
      <c r="M333" s="255">
        <f t="shared" si="921"/>
        <v>20200</v>
      </c>
      <c r="N333" s="520">
        <f t="shared" si="922"/>
        <v>20150</v>
      </c>
      <c r="O333" s="255">
        <f t="shared" si="923"/>
        <v>20150</v>
      </c>
      <c r="P333" s="520">
        <f t="shared" si="924"/>
        <v>20110</v>
      </c>
      <c r="Q333" s="255">
        <f t="shared" si="925"/>
        <v>20110</v>
      </c>
      <c r="R333" s="520">
        <f t="shared" si="926"/>
        <v>20080</v>
      </c>
      <c r="S333" s="255">
        <f t="shared" si="927"/>
        <v>20080</v>
      </c>
      <c r="T333" s="520">
        <f t="shared" si="928"/>
        <v>20050</v>
      </c>
      <c r="U333" s="255">
        <f t="shared" si="929"/>
        <v>20050</v>
      </c>
      <c r="V333" s="520">
        <f t="shared" si="930"/>
        <v>20020</v>
      </c>
      <c r="W333" s="255">
        <f t="shared" si="931"/>
        <v>20020</v>
      </c>
      <c r="X333" s="620"/>
      <c r="Y333" s="620"/>
      <c r="Z333" s="620"/>
      <c r="AA333" s="622"/>
      <c r="AB333" s="178">
        <v>1045</v>
      </c>
      <c r="AC333" s="61"/>
    </row>
    <row r="334" spans="1:38" ht="12.6" customHeight="1" x14ac:dyDescent="0.2">
      <c r="A334" s="17"/>
      <c r="B334" s="647" t="s">
        <v>1002</v>
      </c>
      <c r="C334" s="648"/>
      <c r="D334" s="648"/>
      <c r="E334" s="648"/>
      <c r="F334" s="288">
        <v>17450</v>
      </c>
      <c r="G334" s="256">
        <f>+F334*$X$1</f>
        <v>17450</v>
      </c>
      <c r="H334" s="82">
        <f t="shared" si="916"/>
        <v>18250</v>
      </c>
      <c r="I334" s="256">
        <f t="shared" si="917"/>
        <v>18250</v>
      </c>
      <c r="J334" s="528">
        <f t="shared" si="918"/>
        <v>17810</v>
      </c>
      <c r="K334" s="256">
        <f t="shared" si="919"/>
        <v>17810</v>
      </c>
      <c r="L334" s="528">
        <f t="shared" si="920"/>
        <v>17740</v>
      </c>
      <c r="M334" s="256">
        <f t="shared" si="921"/>
        <v>17740</v>
      </c>
      <c r="N334" s="528">
        <f t="shared" si="922"/>
        <v>17690</v>
      </c>
      <c r="O334" s="256">
        <f t="shared" si="923"/>
        <v>17690</v>
      </c>
      <c r="P334" s="528">
        <f t="shared" si="924"/>
        <v>17650</v>
      </c>
      <c r="Q334" s="256">
        <f t="shared" si="925"/>
        <v>17650</v>
      </c>
      <c r="R334" s="528">
        <f t="shared" si="926"/>
        <v>17620</v>
      </c>
      <c r="S334" s="256">
        <f t="shared" si="927"/>
        <v>17620</v>
      </c>
      <c r="T334" s="528">
        <f t="shared" si="928"/>
        <v>17590</v>
      </c>
      <c r="U334" s="256">
        <f t="shared" si="929"/>
        <v>17590</v>
      </c>
      <c r="V334" s="528">
        <f t="shared" si="930"/>
        <v>17560</v>
      </c>
      <c r="W334" s="256">
        <f t="shared" si="931"/>
        <v>17560</v>
      </c>
      <c r="X334" s="620"/>
      <c r="Y334" s="620"/>
      <c r="Z334" s="620"/>
      <c r="AA334" s="622"/>
      <c r="AB334" s="178">
        <v>1046</v>
      </c>
      <c r="AC334" s="61"/>
    </row>
    <row r="335" spans="1:38" ht="12.6" customHeight="1" x14ac:dyDescent="0.2">
      <c r="A335" s="17"/>
      <c r="B335" s="654" t="s">
        <v>495</v>
      </c>
      <c r="C335" s="655"/>
      <c r="D335" s="655"/>
      <c r="E335" s="655"/>
      <c r="F335" s="289">
        <v>11300</v>
      </c>
      <c r="G335" s="255">
        <f>+F335*$X$1</f>
        <v>11300</v>
      </c>
      <c r="H335" s="68">
        <f t="shared" si="916"/>
        <v>12100</v>
      </c>
      <c r="I335" s="255">
        <f t="shared" si="917"/>
        <v>12100</v>
      </c>
      <c r="J335" s="520">
        <f t="shared" si="918"/>
        <v>11660</v>
      </c>
      <c r="K335" s="255">
        <f t="shared" si="919"/>
        <v>11660</v>
      </c>
      <c r="L335" s="520">
        <f t="shared" si="920"/>
        <v>11590</v>
      </c>
      <c r="M335" s="255">
        <f t="shared" si="921"/>
        <v>11590</v>
      </c>
      <c r="N335" s="520">
        <f t="shared" si="922"/>
        <v>11540</v>
      </c>
      <c r="O335" s="255">
        <f t="shared" si="923"/>
        <v>11540</v>
      </c>
      <c r="P335" s="520">
        <f t="shared" si="924"/>
        <v>11500</v>
      </c>
      <c r="Q335" s="255">
        <f t="shared" si="925"/>
        <v>11500</v>
      </c>
      <c r="R335" s="520">
        <f t="shared" si="926"/>
        <v>11470</v>
      </c>
      <c r="S335" s="255">
        <f t="shared" si="927"/>
        <v>11470</v>
      </c>
      <c r="T335" s="520">
        <f t="shared" si="928"/>
        <v>11440</v>
      </c>
      <c r="U335" s="255">
        <f t="shared" si="929"/>
        <v>11440</v>
      </c>
      <c r="V335" s="520">
        <f t="shared" si="930"/>
        <v>11410</v>
      </c>
      <c r="W335" s="255">
        <f t="shared" si="931"/>
        <v>11410</v>
      </c>
      <c r="X335" s="660"/>
      <c r="Y335" s="620"/>
      <c r="Z335" s="620"/>
      <c r="AA335" s="622"/>
      <c r="AB335" s="178">
        <v>1048</v>
      </c>
      <c r="AC335" s="61"/>
    </row>
    <row r="336" spans="1:38" ht="12.6" customHeight="1" x14ac:dyDescent="0.2">
      <c r="A336" s="17"/>
      <c r="B336" s="647" t="s">
        <v>494</v>
      </c>
      <c r="C336" s="648"/>
      <c r="D336" s="648"/>
      <c r="E336" s="648"/>
      <c r="F336" s="288">
        <v>10290</v>
      </c>
      <c r="G336" s="256">
        <f>+F336*$X$1</f>
        <v>10290</v>
      </c>
      <c r="H336" s="82">
        <f t="shared" si="916"/>
        <v>11090</v>
      </c>
      <c r="I336" s="256">
        <f t="shared" si="917"/>
        <v>11090</v>
      </c>
      <c r="J336" s="528">
        <f t="shared" si="918"/>
        <v>10650</v>
      </c>
      <c r="K336" s="256">
        <f t="shared" si="919"/>
        <v>10650</v>
      </c>
      <c r="L336" s="528">
        <f t="shared" si="920"/>
        <v>10580</v>
      </c>
      <c r="M336" s="256">
        <f t="shared" si="921"/>
        <v>10580</v>
      </c>
      <c r="N336" s="528">
        <f t="shared" si="922"/>
        <v>10530</v>
      </c>
      <c r="O336" s="256">
        <f t="shared" si="923"/>
        <v>10530</v>
      </c>
      <c r="P336" s="528">
        <f t="shared" si="924"/>
        <v>10490</v>
      </c>
      <c r="Q336" s="256">
        <f t="shared" si="925"/>
        <v>10490</v>
      </c>
      <c r="R336" s="528">
        <f t="shared" si="926"/>
        <v>10460</v>
      </c>
      <c r="S336" s="256">
        <f t="shared" si="927"/>
        <v>10460</v>
      </c>
      <c r="T336" s="528">
        <f t="shared" si="928"/>
        <v>10430</v>
      </c>
      <c r="U336" s="256">
        <f t="shared" si="929"/>
        <v>10430</v>
      </c>
      <c r="V336" s="528">
        <f t="shared" si="930"/>
        <v>10400</v>
      </c>
      <c r="W336" s="256">
        <f t="shared" si="931"/>
        <v>10400</v>
      </c>
      <c r="X336" s="660"/>
      <c r="Y336" s="620"/>
      <c r="Z336" s="620"/>
      <c r="AA336" s="622"/>
      <c r="AB336" s="178">
        <v>1049</v>
      </c>
      <c r="AC336" s="61"/>
    </row>
    <row r="337" spans="1:29" ht="12.6" customHeight="1" x14ac:dyDescent="0.2">
      <c r="A337" s="17"/>
      <c r="B337" s="654" t="s">
        <v>496</v>
      </c>
      <c r="C337" s="655"/>
      <c r="D337" s="655"/>
      <c r="E337" s="655"/>
      <c r="F337" s="289">
        <v>10290</v>
      </c>
      <c r="G337" s="255">
        <f>+F337*$X$1</f>
        <v>10290</v>
      </c>
      <c r="H337" s="68">
        <f t="shared" si="916"/>
        <v>11090</v>
      </c>
      <c r="I337" s="255">
        <f t="shared" si="917"/>
        <v>11090</v>
      </c>
      <c r="J337" s="520">
        <f t="shared" si="918"/>
        <v>10650</v>
      </c>
      <c r="K337" s="255">
        <f t="shared" si="919"/>
        <v>10650</v>
      </c>
      <c r="L337" s="520">
        <f t="shared" si="920"/>
        <v>10580</v>
      </c>
      <c r="M337" s="255">
        <f t="shared" si="921"/>
        <v>10580</v>
      </c>
      <c r="N337" s="520">
        <f t="shared" si="922"/>
        <v>10530</v>
      </c>
      <c r="O337" s="255">
        <f t="shared" si="923"/>
        <v>10530</v>
      </c>
      <c r="P337" s="520">
        <f t="shared" si="924"/>
        <v>10490</v>
      </c>
      <c r="Q337" s="255">
        <f t="shared" si="925"/>
        <v>10490</v>
      </c>
      <c r="R337" s="520">
        <f t="shared" si="926"/>
        <v>10460</v>
      </c>
      <c r="S337" s="255">
        <f t="shared" si="927"/>
        <v>10460</v>
      </c>
      <c r="T337" s="520">
        <f t="shared" si="928"/>
        <v>10430</v>
      </c>
      <c r="U337" s="255">
        <f t="shared" si="929"/>
        <v>10430</v>
      </c>
      <c r="V337" s="520">
        <f t="shared" si="930"/>
        <v>10400</v>
      </c>
      <c r="W337" s="255">
        <f t="shared" si="931"/>
        <v>10400</v>
      </c>
      <c r="X337" s="660"/>
      <c r="Y337" s="620"/>
      <c r="Z337" s="620"/>
      <c r="AA337" s="622"/>
      <c r="AB337" s="178">
        <v>1050</v>
      </c>
      <c r="AC337" s="61"/>
    </row>
    <row r="338" spans="1:29" ht="12.6" customHeight="1" x14ac:dyDescent="0.2">
      <c r="A338" s="17"/>
      <c r="B338" s="640" t="s">
        <v>699</v>
      </c>
      <c r="C338" s="645"/>
      <c r="D338" s="645"/>
      <c r="E338" s="646"/>
      <c r="F338" s="322">
        <f>10.05*X2</f>
        <v>15477.000000000002</v>
      </c>
      <c r="G338" s="256">
        <f t="shared" ref="G338" si="932">+F338*$X$1</f>
        <v>15477.000000000002</v>
      </c>
      <c r="H338" s="82">
        <f t="shared" si="916"/>
        <v>16277.000000000002</v>
      </c>
      <c r="I338" s="256">
        <f t="shared" si="917"/>
        <v>16277.000000000002</v>
      </c>
      <c r="J338" s="528">
        <f t="shared" si="918"/>
        <v>15837.000000000002</v>
      </c>
      <c r="K338" s="256">
        <f t="shared" si="919"/>
        <v>15837.000000000002</v>
      </c>
      <c r="L338" s="528">
        <f t="shared" si="920"/>
        <v>15767.000000000002</v>
      </c>
      <c r="M338" s="256">
        <f t="shared" si="921"/>
        <v>15767.000000000002</v>
      </c>
      <c r="N338" s="528">
        <f t="shared" si="922"/>
        <v>15717.000000000002</v>
      </c>
      <c r="O338" s="256">
        <f t="shared" si="923"/>
        <v>15717.000000000002</v>
      </c>
      <c r="P338" s="528">
        <f t="shared" si="924"/>
        <v>15677.000000000002</v>
      </c>
      <c r="Q338" s="256">
        <f t="shared" si="925"/>
        <v>15677.000000000002</v>
      </c>
      <c r="R338" s="528">
        <f t="shared" si="926"/>
        <v>15647.000000000002</v>
      </c>
      <c r="S338" s="256">
        <f t="shared" si="927"/>
        <v>15647.000000000002</v>
      </c>
      <c r="T338" s="528">
        <f t="shared" si="928"/>
        <v>15617.000000000002</v>
      </c>
      <c r="U338" s="256">
        <f t="shared" si="929"/>
        <v>15617.000000000002</v>
      </c>
      <c r="V338" s="528">
        <f t="shared" si="930"/>
        <v>15587.000000000002</v>
      </c>
      <c r="W338" s="256">
        <f t="shared" si="931"/>
        <v>15587.000000000002</v>
      </c>
      <c r="X338" s="660"/>
      <c r="Y338" s="620"/>
      <c r="Z338" s="620"/>
      <c r="AA338" s="622"/>
      <c r="AB338" s="178">
        <v>1052</v>
      </c>
      <c r="AC338" s="61"/>
    </row>
    <row r="339" spans="1:29" ht="12.6" customHeight="1" x14ac:dyDescent="0.2">
      <c r="A339" s="17"/>
      <c r="B339" s="657" t="s">
        <v>409</v>
      </c>
      <c r="C339" s="658"/>
      <c r="D339" s="658"/>
      <c r="E339" s="659"/>
      <c r="F339" s="321">
        <f>21.22*X2</f>
        <v>32678.799999999999</v>
      </c>
      <c r="G339" s="255">
        <f>+F339*$X$1</f>
        <v>32678.799999999999</v>
      </c>
      <c r="H339" s="68">
        <f t="shared" si="916"/>
        <v>33478.800000000003</v>
      </c>
      <c r="I339" s="255">
        <f t="shared" si="917"/>
        <v>33478.800000000003</v>
      </c>
      <c r="J339" s="520">
        <f t="shared" si="918"/>
        <v>33038.800000000003</v>
      </c>
      <c r="K339" s="255">
        <f t="shared" si="919"/>
        <v>33038.800000000003</v>
      </c>
      <c r="L339" s="520">
        <f t="shared" si="920"/>
        <v>32968.800000000003</v>
      </c>
      <c r="M339" s="255">
        <f t="shared" si="921"/>
        <v>32968.800000000003</v>
      </c>
      <c r="N339" s="520">
        <f t="shared" si="922"/>
        <v>32918.800000000003</v>
      </c>
      <c r="O339" s="255">
        <f t="shared" si="923"/>
        <v>32918.800000000003</v>
      </c>
      <c r="P339" s="520">
        <f t="shared" si="924"/>
        <v>32878.800000000003</v>
      </c>
      <c r="Q339" s="255">
        <f t="shared" si="925"/>
        <v>32878.800000000003</v>
      </c>
      <c r="R339" s="520">
        <f t="shared" si="926"/>
        <v>32848.800000000003</v>
      </c>
      <c r="S339" s="255">
        <f t="shared" si="927"/>
        <v>32848.800000000003</v>
      </c>
      <c r="T339" s="520">
        <f t="shared" si="928"/>
        <v>32818.800000000003</v>
      </c>
      <c r="U339" s="255">
        <f t="shared" si="929"/>
        <v>32818.800000000003</v>
      </c>
      <c r="V339" s="520">
        <f t="shared" si="930"/>
        <v>32788.800000000003</v>
      </c>
      <c r="W339" s="255">
        <f t="shared" si="931"/>
        <v>32788.800000000003</v>
      </c>
      <c r="X339" s="660"/>
      <c r="Y339" s="620"/>
      <c r="Z339" s="620"/>
      <c r="AA339" s="622"/>
      <c r="AB339" s="178">
        <v>1053</v>
      </c>
      <c r="AC339" s="61"/>
    </row>
    <row r="340" spans="1:29" ht="12.6" customHeight="1" x14ac:dyDescent="0.2">
      <c r="A340" s="17"/>
      <c r="B340" s="640" t="s">
        <v>743</v>
      </c>
      <c r="C340" s="645"/>
      <c r="D340" s="645"/>
      <c r="E340" s="646"/>
      <c r="F340" s="322">
        <f>7.55*X2</f>
        <v>11627</v>
      </c>
      <c r="G340" s="256">
        <f t="shared" ref="G340" si="933">+F340*$X$1</f>
        <v>11627</v>
      </c>
      <c r="H340" s="82">
        <f t="shared" si="916"/>
        <v>12427</v>
      </c>
      <c r="I340" s="256">
        <f t="shared" si="917"/>
        <v>12427</v>
      </c>
      <c r="J340" s="528">
        <f t="shared" si="918"/>
        <v>11987</v>
      </c>
      <c r="K340" s="256">
        <f t="shared" si="919"/>
        <v>11987</v>
      </c>
      <c r="L340" s="528">
        <f t="shared" si="920"/>
        <v>11917</v>
      </c>
      <c r="M340" s="256">
        <f t="shared" si="921"/>
        <v>11917</v>
      </c>
      <c r="N340" s="528">
        <f t="shared" si="922"/>
        <v>11867</v>
      </c>
      <c r="O340" s="256">
        <f t="shared" si="923"/>
        <v>11867</v>
      </c>
      <c r="P340" s="528">
        <f t="shared" si="924"/>
        <v>11827</v>
      </c>
      <c r="Q340" s="256">
        <f t="shared" si="925"/>
        <v>11827</v>
      </c>
      <c r="R340" s="528">
        <f t="shared" si="926"/>
        <v>11797</v>
      </c>
      <c r="S340" s="256">
        <f t="shared" si="927"/>
        <v>11797</v>
      </c>
      <c r="T340" s="528">
        <f t="shared" si="928"/>
        <v>11767</v>
      </c>
      <c r="U340" s="256">
        <f t="shared" si="929"/>
        <v>11767</v>
      </c>
      <c r="V340" s="528">
        <f t="shared" si="930"/>
        <v>11737</v>
      </c>
      <c r="W340" s="256">
        <f t="shared" si="931"/>
        <v>11737</v>
      </c>
      <c r="X340" s="660"/>
      <c r="Y340" s="620"/>
      <c r="Z340" s="620"/>
      <c r="AA340" s="622"/>
      <c r="AB340" s="178">
        <v>1054</v>
      </c>
      <c r="AC340" s="61"/>
    </row>
    <row r="341" spans="1:29" ht="12.6" customHeight="1" x14ac:dyDescent="0.2">
      <c r="A341" s="17"/>
      <c r="B341" s="657" t="s">
        <v>797</v>
      </c>
      <c r="C341" s="658"/>
      <c r="D341" s="658"/>
      <c r="E341" s="659"/>
      <c r="F341" s="321">
        <f>20.8*X2</f>
        <v>32032</v>
      </c>
      <c r="G341" s="255">
        <f t="shared" ref="G341" si="934">+F341*$X$1</f>
        <v>32032</v>
      </c>
      <c r="H341" s="68">
        <f t="shared" si="916"/>
        <v>32832</v>
      </c>
      <c r="I341" s="255">
        <f t="shared" si="917"/>
        <v>32832</v>
      </c>
      <c r="J341" s="520">
        <f t="shared" si="918"/>
        <v>32392</v>
      </c>
      <c r="K341" s="255">
        <f t="shared" si="919"/>
        <v>32392</v>
      </c>
      <c r="L341" s="520">
        <f t="shared" si="920"/>
        <v>32322</v>
      </c>
      <c r="M341" s="255">
        <f t="shared" si="921"/>
        <v>32322</v>
      </c>
      <c r="N341" s="520">
        <f t="shared" si="922"/>
        <v>32272</v>
      </c>
      <c r="O341" s="255">
        <f t="shared" si="923"/>
        <v>32272</v>
      </c>
      <c r="P341" s="520">
        <f t="shared" si="924"/>
        <v>32232</v>
      </c>
      <c r="Q341" s="255">
        <f t="shared" si="925"/>
        <v>32232</v>
      </c>
      <c r="R341" s="520">
        <f t="shared" si="926"/>
        <v>32202</v>
      </c>
      <c r="S341" s="255">
        <f t="shared" si="927"/>
        <v>32202</v>
      </c>
      <c r="T341" s="520">
        <f t="shared" si="928"/>
        <v>32172</v>
      </c>
      <c r="U341" s="255">
        <f t="shared" si="929"/>
        <v>32172</v>
      </c>
      <c r="V341" s="520">
        <f t="shared" si="930"/>
        <v>32142</v>
      </c>
      <c r="W341" s="255">
        <f t="shared" si="931"/>
        <v>32142</v>
      </c>
      <c r="X341" s="660"/>
      <c r="Y341" s="620"/>
      <c r="Z341" s="620"/>
      <c r="AA341" s="622"/>
      <c r="AB341" s="178">
        <v>1056</v>
      </c>
      <c r="AC341" s="61"/>
    </row>
    <row r="342" spans="1:29" ht="12.6" customHeight="1" x14ac:dyDescent="0.2">
      <c r="A342" s="17"/>
      <c r="B342" s="647" t="s">
        <v>536</v>
      </c>
      <c r="C342" s="648"/>
      <c r="D342" s="648"/>
      <c r="E342" s="648"/>
      <c r="F342" s="288">
        <v>19350</v>
      </c>
      <c r="G342" s="256">
        <f>+F342*$X$1</f>
        <v>19350</v>
      </c>
      <c r="H342" s="82">
        <f t="shared" si="916"/>
        <v>20150</v>
      </c>
      <c r="I342" s="256">
        <f t="shared" si="917"/>
        <v>20150</v>
      </c>
      <c r="J342" s="528">
        <f t="shared" si="918"/>
        <v>19710</v>
      </c>
      <c r="K342" s="256">
        <f t="shared" si="919"/>
        <v>19710</v>
      </c>
      <c r="L342" s="528">
        <f t="shared" si="920"/>
        <v>19640</v>
      </c>
      <c r="M342" s="256">
        <f t="shared" si="921"/>
        <v>19640</v>
      </c>
      <c r="N342" s="528">
        <f t="shared" si="922"/>
        <v>19590</v>
      </c>
      <c r="O342" s="256">
        <f t="shared" si="923"/>
        <v>19590</v>
      </c>
      <c r="P342" s="528">
        <f t="shared" si="924"/>
        <v>19550</v>
      </c>
      <c r="Q342" s="256">
        <f t="shared" si="925"/>
        <v>19550</v>
      </c>
      <c r="R342" s="528">
        <f t="shared" si="926"/>
        <v>19520</v>
      </c>
      <c r="S342" s="256">
        <f t="shared" si="927"/>
        <v>19520</v>
      </c>
      <c r="T342" s="528">
        <f t="shared" si="928"/>
        <v>19490</v>
      </c>
      <c r="U342" s="256">
        <f t="shared" si="929"/>
        <v>19490</v>
      </c>
      <c r="V342" s="528">
        <f t="shared" si="930"/>
        <v>19460</v>
      </c>
      <c r="W342" s="256">
        <f t="shared" si="931"/>
        <v>19460</v>
      </c>
      <c r="X342" s="660"/>
      <c r="Y342" s="620"/>
      <c r="Z342" s="620"/>
      <c r="AA342" s="622"/>
      <c r="AB342" s="178">
        <v>1057</v>
      </c>
    </row>
    <row r="343" spans="1:29" ht="12.6" customHeight="1" x14ac:dyDescent="0.2">
      <c r="A343" s="17"/>
      <c r="B343" s="626" t="s">
        <v>841</v>
      </c>
      <c r="C343" s="977"/>
      <c r="D343" s="977"/>
      <c r="E343" s="978"/>
      <c r="F343" s="321">
        <f>10.63*X2</f>
        <v>16370.2</v>
      </c>
      <c r="G343" s="255">
        <f t="shared" ref="G343:G344" si="935">+F343*$X$1</f>
        <v>16370.2</v>
      </c>
      <c r="H343" s="68">
        <f t="shared" si="916"/>
        <v>17170.2</v>
      </c>
      <c r="I343" s="255">
        <f t="shared" si="917"/>
        <v>17170.2</v>
      </c>
      <c r="J343" s="520">
        <f t="shared" si="918"/>
        <v>16730.2</v>
      </c>
      <c r="K343" s="255">
        <f t="shared" si="919"/>
        <v>16730.2</v>
      </c>
      <c r="L343" s="520">
        <f t="shared" si="920"/>
        <v>16660.2</v>
      </c>
      <c r="M343" s="255">
        <f t="shared" si="921"/>
        <v>16660.2</v>
      </c>
      <c r="N343" s="520">
        <f t="shared" si="922"/>
        <v>16610.2</v>
      </c>
      <c r="O343" s="255">
        <f t="shared" si="923"/>
        <v>16610.2</v>
      </c>
      <c r="P343" s="520">
        <f t="shared" si="924"/>
        <v>16570.2</v>
      </c>
      <c r="Q343" s="255">
        <f t="shared" si="925"/>
        <v>16570.2</v>
      </c>
      <c r="R343" s="520">
        <f t="shared" si="926"/>
        <v>16540.2</v>
      </c>
      <c r="S343" s="255">
        <f t="shared" si="927"/>
        <v>16540.2</v>
      </c>
      <c r="T343" s="520">
        <f t="shared" si="928"/>
        <v>16510.2</v>
      </c>
      <c r="U343" s="255">
        <f t="shared" si="929"/>
        <v>16510.2</v>
      </c>
      <c r="V343" s="520">
        <f t="shared" si="930"/>
        <v>16480.2</v>
      </c>
      <c r="W343" s="255">
        <f t="shared" si="931"/>
        <v>16480.2</v>
      </c>
      <c r="X343" s="660"/>
      <c r="Y343" s="620"/>
      <c r="Z343" s="620"/>
      <c r="AA343" s="622"/>
      <c r="AB343" s="178">
        <v>1059</v>
      </c>
      <c r="AC343" s="61"/>
    </row>
    <row r="344" spans="1:29" ht="12.6" customHeight="1" x14ac:dyDescent="0.2">
      <c r="A344" s="17"/>
      <c r="B344" s="626" t="s">
        <v>921</v>
      </c>
      <c r="C344" s="977"/>
      <c r="D344" s="977"/>
      <c r="E344" s="978"/>
      <c r="F344" s="322">
        <f>19.4*X2</f>
        <v>29875.999999999996</v>
      </c>
      <c r="G344" s="256">
        <f t="shared" si="935"/>
        <v>29875.999999999996</v>
      </c>
      <c r="H344" s="82">
        <f t="shared" si="916"/>
        <v>30675.999999999996</v>
      </c>
      <c r="I344" s="256">
        <f t="shared" si="917"/>
        <v>30675.999999999996</v>
      </c>
      <c r="J344" s="528">
        <f t="shared" si="918"/>
        <v>30235.999999999996</v>
      </c>
      <c r="K344" s="256">
        <f t="shared" si="919"/>
        <v>30235.999999999996</v>
      </c>
      <c r="L344" s="528">
        <f t="shared" si="920"/>
        <v>30165.999999999996</v>
      </c>
      <c r="M344" s="256">
        <f t="shared" si="921"/>
        <v>30165.999999999996</v>
      </c>
      <c r="N344" s="528">
        <f t="shared" si="922"/>
        <v>30115.999999999996</v>
      </c>
      <c r="O344" s="256">
        <f t="shared" si="923"/>
        <v>30115.999999999996</v>
      </c>
      <c r="P344" s="528">
        <f t="shared" si="924"/>
        <v>30075.999999999996</v>
      </c>
      <c r="Q344" s="256">
        <f t="shared" si="925"/>
        <v>30075.999999999996</v>
      </c>
      <c r="R344" s="528">
        <f t="shared" si="926"/>
        <v>30045.999999999996</v>
      </c>
      <c r="S344" s="256">
        <f t="shared" si="927"/>
        <v>30045.999999999996</v>
      </c>
      <c r="T344" s="528">
        <f t="shared" si="928"/>
        <v>30015.999999999996</v>
      </c>
      <c r="U344" s="256">
        <f t="shared" si="929"/>
        <v>30015.999999999996</v>
      </c>
      <c r="V344" s="528">
        <f t="shared" si="930"/>
        <v>29985.999999999996</v>
      </c>
      <c r="W344" s="256">
        <f t="shared" si="931"/>
        <v>29985.999999999996</v>
      </c>
      <c r="X344" s="660"/>
      <c r="Y344" s="620"/>
      <c r="Z344" s="620"/>
      <c r="AA344" s="622"/>
      <c r="AB344" s="178">
        <v>1062</v>
      </c>
      <c r="AC344" s="61"/>
    </row>
    <row r="345" spans="1:29" ht="12.6" customHeight="1" x14ac:dyDescent="0.2">
      <c r="A345" s="17"/>
      <c r="B345" s="654" t="s">
        <v>379</v>
      </c>
      <c r="C345" s="655"/>
      <c r="D345" s="655"/>
      <c r="E345" s="655"/>
      <c r="F345" s="324">
        <f>12.77*X2</f>
        <v>19665.8</v>
      </c>
      <c r="G345" s="270">
        <f t="shared" ref="G345:G346" si="936">+F345*$X$1</f>
        <v>19665.8</v>
      </c>
      <c r="H345" s="68">
        <f t="shared" si="916"/>
        <v>20465.8</v>
      </c>
      <c r="I345" s="255">
        <f t="shared" si="917"/>
        <v>20465.8</v>
      </c>
      <c r="J345" s="520">
        <f t="shared" si="918"/>
        <v>20025.8</v>
      </c>
      <c r="K345" s="255">
        <f t="shared" si="919"/>
        <v>20025.8</v>
      </c>
      <c r="L345" s="520">
        <f t="shared" si="920"/>
        <v>19955.8</v>
      </c>
      <c r="M345" s="255">
        <f t="shared" si="921"/>
        <v>19955.8</v>
      </c>
      <c r="N345" s="520">
        <f t="shared" si="922"/>
        <v>19905.8</v>
      </c>
      <c r="O345" s="255">
        <f t="shared" si="923"/>
        <v>19905.8</v>
      </c>
      <c r="P345" s="520">
        <f t="shared" si="924"/>
        <v>19865.8</v>
      </c>
      <c r="Q345" s="255">
        <f t="shared" si="925"/>
        <v>19865.8</v>
      </c>
      <c r="R345" s="520">
        <f t="shared" si="926"/>
        <v>19835.8</v>
      </c>
      <c r="S345" s="255">
        <f t="shared" si="927"/>
        <v>19835.8</v>
      </c>
      <c r="T345" s="520">
        <f t="shared" si="928"/>
        <v>19805.8</v>
      </c>
      <c r="U345" s="255">
        <f t="shared" si="929"/>
        <v>19805.8</v>
      </c>
      <c r="V345" s="520">
        <f t="shared" si="930"/>
        <v>19775.8</v>
      </c>
      <c r="W345" s="255">
        <f t="shared" si="931"/>
        <v>19775.8</v>
      </c>
      <c r="X345" s="660"/>
      <c r="Y345" s="620"/>
      <c r="Z345" s="620"/>
      <c r="AA345" s="622"/>
      <c r="AB345" s="178">
        <v>1064</v>
      </c>
      <c r="AC345" s="61"/>
    </row>
    <row r="346" spans="1:29" ht="12.6" customHeight="1" x14ac:dyDescent="0.2">
      <c r="A346" s="17"/>
      <c r="B346" s="640" t="s">
        <v>918</v>
      </c>
      <c r="C346" s="645"/>
      <c r="D346" s="645"/>
      <c r="E346" s="646"/>
      <c r="F346" s="322">
        <f>16.6*X2</f>
        <v>25564.000000000004</v>
      </c>
      <c r="G346" s="256">
        <f t="shared" si="936"/>
        <v>25564.000000000004</v>
      </c>
      <c r="H346" s="82">
        <f t="shared" si="916"/>
        <v>26364.000000000004</v>
      </c>
      <c r="I346" s="256">
        <f t="shared" si="917"/>
        <v>26364.000000000004</v>
      </c>
      <c r="J346" s="528">
        <f t="shared" si="918"/>
        <v>25924.000000000004</v>
      </c>
      <c r="K346" s="256">
        <f t="shared" si="919"/>
        <v>25924.000000000004</v>
      </c>
      <c r="L346" s="528">
        <f t="shared" si="920"/>
        <v>25854.000000000004</v>
      </c>
      <c r="M346" s="256">
        <f t="shared" si="921"/>
        <v>25854.000000000004</v>
      </c>
      <c r="N346" s="528">
        <f t="shared" si="922"/>
        <v>25804.000000000004</v>
      </c>
      <c r="O346" s="256">
        <f t="shared" si="923"/>
        <v>25804.000000000004</v>
      </c>
      <c r="P346" s="528">
        <f t="shared" si="924"/>
        <v>25764.000000000004</v>
      </c>
      <c r="Q346" s="256">
        <f t="shared" si="925"/>
        <v>25764.000000000004</v>
      </c>
      <c r="R346" s="528">
        <f t="shared" si="926"/>
        <v>25734.000000000004</v>
      </c>
      <c r="S346" s="256">
        <f t="shared" si="927"/>
        <v>25734.000000000004</v>
      </c>
      <c r="T346" s="528">
        <f t="shared" si="928"/>
        <v>25704.000000000004</v>
      </c>
      <c r="U346" s="256">
        <f t="shared" si="929"/>
        <v>25704.000000000004</v>
      </c>
      <c r="V346" s="528">
        <f t="shared" si="930"/>
        <v>25674.000000000004</v>
      </c>
      <c r="W346" s="256">
        <f t="shared" si="931"/>
        <v>25674.000000000004</v>
      </c>
      <c r="X346" s="660"/>
      <c r="Y346" s="620"/>
      <c r="Z346" s="620"/>
      <c r="AA346" s="622"/>
      <c r="AB346" s="178">
        <v>1065</v>
      </c>
      <c r="AC346" s="61"/>
    </row>
    <row r="347" spans="1:29" ht="12.6" customHeight="1" x14ac:dyDescent="0.2">
      <c r="A347" s="17"/>
      <c r="B347" s="657" t="s">
        <v>798</v>
      </c>
      <c r="C347" s="677"/>
      <c r="D347" s="677"/>
      <c r="E347" s="678"/>
      <c r="F347" s="321">
        <f>4.2*X2</f>
        <v>6468</v>
      </c>
      <c r="G347" s="255">
        <f>+F347*$X$1</f>
        <v>6468</v>
      </c>
      <c r="H347" s="68">
        <f>F347+820</f>
        <v>7288</v>
      </c>
      <c r="I347" s="255">
        <f t="shared" si="917"/>
        <v>7288</v>
      </c>
      <c r="J347" s="520">
        <f>F347+380</f>
        <v>6848</v>
      </c>
      <c r="K347" s="255">
        <f t="shared" si="919"/>
        <v>6848</v>
      </c>
      <c r="L347" s="520">
        <f>F347+310</f>
        <v>6778</v>
      </c>
      <c r="M347" s="255">
        <f t="shared" si="921"/>
        <v>6778</v>
      </c>
      <c r="N347" s="520">
        <f>F347+260</f>
        <v>6728</v>
      </c>
      <c r="O347" s="255">
        <f t="shared" si="923"/>
        <v>6728</v>
      </c>
      <c r="P347" s="520">
        <f>F347+220</f>
        <v>6688</v>
      </c>
      <c r="Q347" s="255">
        <f t="shared" si="925"/>
        <v>6688</v>
      </c>
      <c r="R347" s="520">
        <f>F347+190</f>
        <v>6658</v>
      </c>
      <c r="S347" s="255">
        <f t="shared" si="927"/>
        <v>6658</v>
      </c>
      <c r="T347" s="520">
        <f>F347+160</f>
        <v>6628</v>
      </c>
      <c r="U347" s="255">
        <f t="shared" si="929"/>
        <v>6628</v>
      </c>
      <c r="V347" s="520">
        <f>F347+130</f>
        <v>6598</v>
      </c>
      <c r="W347" s="255">
        <f t="shared" si="931"/>
        <v>6598</v>
      </c>
      <c r="X347" s="466"/>
      <c r="Y347" s="472"/>
      <c r="Z347" s="472"/>
      <c r="AA347" s="467"/>
      <c r="AB347" s="178">
        <v>1066</v>
      </c>
    </row>
    <row r="348" spans="1:29" ht="12.6" customHeight="1" x14ac:dyDescent="0.2">
      <c r="A348" s="17"/>
      <c r="B348" s="626" t="s">
        <v>917</v>
      </c>
      <c r="C348" s="977"/>
      <c r="D348" s="977"/>
      <c r="E348" s="978"/>
      <c r="F348" s="322">
        <f>21.21*X2</f>
        <v>32663.4</v>
      </c>
      <c r="G348" s="256">
        <f t="shared" ref="G348:G349" si="937">+F348*$X$1</f>
        <v>32663.4</v>
      </c>
      <c r="H348" s="82">
        <f>F348+800</f>
        <v>33463.4</v>
      </c>
      <c r="I348" s="256">
        <f t="shared" ref="I348:I350" si="938">+H348*$X$1</f>
        <v>33463.4</v>
      </c>
      <c r="J348" s="528">
        <f>F348+360</f>
        <v>33023.4</v>
      </c>
      <c r="K348" s="256">
        <f t="shared" ref="K348:K350" si="939">+J348*$X$1</f>
        <v>33023.4</v>
      </c>
      <c r="L348" s="528">
        <f>F348+290</f>
        <v>32953.4</v>
      </c>
      <c r="M348" s="256">
        <f t="shared" ref="M348:M350" si="940">+L348*$X$1</f>
        <v>32953.4</v>
      </c>
      <c r="N348" s="528">
        <f>F348+240</f>
        <v>32903.4</v>
      </c>
      <c r="O348" s="256">
        <f t="shared" ref="O348:O350" si="941">+N348*$X$1</f>
        <v>32903.4</v>
      </c>
      <c r="P348" s="528">
        <f>F348+200</f>
        <v>32863.4</v>
      </c>
      <c r="Q348" s="256">
        <f t="shared" ref="Q348:Q350" si="942">+P348*$X$1</f>
        <v>32863.4</v>
      </c>
      <c r="R348" s="528">
        <f>F348+170</f>
        <v>32833.4</v>
      </c>
      <c r="S348" s="256">
        <f t="shared" ref="S348:S350" si="943">+R348*$X$1</f>
        <v>32833.4</v>
      </c>
      <c r="T348" s="528">
        <f>F348+140</f>
        <v>32803.4</v>
      </c>
      <c r="U348" s="256">
        <f t="shared" ref="U348:U350" si="944">+T348*$X$1</f>
        <v>32803.4</v>
      </c>
      <c r="V348" s="528">
        <f>F348+110</f>
        <v>32773.4</v>
      </c>
      <c r="W348" s="256">
        <f t="shared" ref="W348:W350" si="945">+V348*$X$1</f>
        <v>32773.4</v>
      </c>
      <c r="X348" s="660"/>
      <c r="Y348" s="620"/>
      <c r="Z348" s="620"/>
      <c r="AA348" s="622"/>
      <c r="AB348" s="178">
        <v>1070</v>
      </c>
      <c r="AC348" s="61"/>
    </row>
    <row r="349" spans="1:29" ht="12.6" customHeight="1" x14ac:dyDescent="0.2">
      <c r="A349" s="17"/>
      <c r="B349" s="626" t="s">
        <v>919</v>
      </c>
      <c r="C349" s="977"/>
      <c r="D349" s="977"/>
      <c r="E349" s="978"/>
      <c r="F349" s="321">
        <f>23.7*X2</f>
        <v>36498</v>
      </c>
      <c r="G349" s="255">
        <f t="shared" si="937"/>
        <v>36498</v>
      </c>
      <c r="H349" s="68">
        <f>F349+800</f>
        <v>37298</v>
      </c>
      <c r="I349" s="255">
        <f t="shared" si="938"/>
        <v>37298</v>
      </c>
      <c r="J349" s="520">
        <f>F349+360</f>
        <v>36858</v>
      </c>
      <c r="K349" s="255">
        <f t="shared" si="939"/>
        <v>36858</v>
      </c>
      <c r="L349" s="520">
        <f>F349+290</f>
        <v>36788</v>
      </c>
      <c r="M349" s="255">
        <f t="shared" si="940"/>
        <v>36788</v>
      </c>
      <c r="N349" s="520">
        <f>F349+240</f>
        <v>36738</v>
      </c>
      <c r="O349" s="255">
        <f t="shared" si="941"/>
        <v>36738</v>
      </c>
      <c r="P349" s="520">
        <f>F349+200</f>
        <v>36698</v>
      </c>
      <c r="Q349" s="255">
        <f t="shared" si="942"/>
        <v>36698</v>
      </c>
      <c r="R349" s="520">
        <f>F349+170</f>
        <v>36668</v>
      </c>
      <c r="S349" s="255">
        <f t="shared" si="943"/>
        <v>36668</v>
      </c>
      <c r="T349" s="520">
        <f>F349+140</f>
        <v>36638</v>
      </c>
      <c r="U349" s="255">
        <f t="shared" si="944"/>
        <v>36638</v>
      </c>
      <c r="V349" s="520">
        <f>F349+110</f>
        <v>36608</v>
      </c>
      <c r="W349" s="255">
        <f t="shared" si="945"/>
        <v>36608</v>
      </c>
      <c r="X349" s="660"/>
      <c r="Y349" s="620"/>
      <c r="Z349" s="620"/>
      <c r="AA349" s="622"/>
      <c r="AB349" s="178">
        <v>1073</v>
      </c>
      <c r="AC349" s="61"/>
    </row>
    <row r="350" spans="1:29" ht="12.6" customHeight="1" x14ac:dyDescent="0.2">
      <c r="A350" s="17"/>
      <c r="B350" s="640" t="s">
        <v>192</v>
      </c>
      <c r="C350" s="641"/>
      <c r="D350" s="641"/>
      <c r="E350" s="642"/>
      <c r="F350" s="322">
        <f>12.16*X2</f>
        <v>18726.400000000001</v>
      </c>
      <c r="G350" s="256">
        <f>+F350*$X$1</f>
        <v>18726.400000000001</v>
      </c>
      <c r="H350" s="528">
        <f>F350+800</f>
        <v>19526.400000000001</v>
      </c>
      <c r="I350" s="256">
        <f t="shared" si="938"/>
        <v>19526.400000000001</v>
      </c>
      <c r="J350" s="528">
        <f>F350+360</f>
        <v>19086.400000000001</v>
      </c>
      <c r="K350" s="256">
        <f t="shared" si="939"/>
        <v>19086.400000000001</v>
      </c>
      <c r="L350" s="528">
        <f>F350+310</f>
        <v>19036.400000000001</v>
      </c>
      <c r="M350" s="256">
        <f t="shared" si="940"/>
        <v>19036.400000000001</v>
      </c>
      <c r="N350" s="528">
        <f>F350+270</f>
        <v>18996.400000000001</v>
      </c>
      <c r="O350" s="256">
        <f t="shared" si="941"/>
        <v>18996.400000000001</v>
      </c>
      <c r="P350" s="528">
        <f>F350+230</f>
        <v>18956.400000000001</v>
      </c>
      <c r="Q350" s="256">
        <f t="shared" si="942"/>
        <v>18956.400000000001</v>
      </c>
      <c r="R350" s="528">
        <f>F350+200</f>
        <v>18926.400000000001</v>
      </c>
      <c r="S350" s="256">
        <f t="shared" si="943"/>
        <v>18926.400000000001</v>
      </c>
      <c r="T350" s="92">
        <f>F350+175</f>
        <v>18901.400000000001</v>
      </c>
      <c r="U350" s="269">
        <f t="shared" si="944"/>
        <v>18901.400000000001</v>
      </c>
      <c r="V350" s="92">
        <f>F350+150</f>
        <v>18876.400000000001</v>
      </c>
      <c r="W350" s="269">
        <f t="shared" si="945"/>
        <v>18876.400000000001</v>
      </c>
      <c r="X350" s="165"/>
      <c r="Y350" s="168"/>
      <c r="Z350" s="168"/>
      <c r="AA350" s="167"/>
      <c r="AB350" s="178">
        <v>1075</v>
      </c>
    </row>
    <row r="351" spans="1:29" ht="12.6" customHeight="1" x14ac:dyDescent="0.2">
      <c r="A351" s="17"/>
      <c r="B351" s="635" t="s">
        <v>899</v>
      </c>
      <c r="C351" s="636"/>
      <c r="D351" s="636"/>
      <c r="E351" s="636"/>
      <c r="F351" s="324">
        <f>8.78*X2</f>
        <v>13521.199999999999</v>
      </c>
      <c r="G351" s="270">
        <f t="shared" ref="G351" si="946">+F351*$X$1</f>
        <v>13521.199999999999</v>
      </c>
      <c r="H351" s="68">
        <f>F351+820</f>
        <v>14341.199999999999</v>
      </c>
      <c r="I351" s="255">
        <f t="shared" ref="I351:I353" si="947">+H351*$X$1</f>
        <v>14341.199999999999</v>
      </c>
      <c r="J351" s="520">
        <f>F351+380</f>
        <v>13901.199999999999</v>
      </c>
      <c r="K351" s="255">
        <f t="shared" ref="K351:K353" si="948">+J351*$X$1</f>
        <v>13901.199999999999</v>
      </c>
      <c r="L351" s="520">
        <f>F351+310</f>
        <v>13831.199999999999</v>
      </c>
      <c r="M351" s="255">
        <f t="shared" ref="M351:M353" si="949">+L351*$X$1</f>
        <v>13831.199999999999</v>
      </c>
      <c r="N351" s="520">
        <f>F351+260</f>
        <v>13781.199999999999</v>
      </c>
      <c r="O351" s="255">
        <f t="shared" ref="O351:O353" si="950">+N351*$X$1</f>
        <v>13781.199999999999</v>
      </c>
      <c r="P351" s="520">
        <f>F351+220</f>
        <v>13741.199999999999</v>
      </c>
      <c r="Q351" s="255">
        <f t="shared" ref="Q351:Q353" si="951">+P351*$X$1</f>
        <v>13741.199999999999</v>
      </c>
      <c r="R351" s="520">
        <f>F351+190</f>
        <v>13711.199999999999</v>
      </c>
      <c r="S351" s="255">
        <f t="shared" ref="S351:S353" si="952">+R351*$X$1</f>
        <v>13711.199999999999</v>
      </c>
      <c r="T351" s="520">
        <f>F351+160</f>
        <v>13681.199999999999</v>
      </c>
      <c r="U351" s="255">
        <f t="shared" ref="U351:U353" si="953">+T351*$X$1</f>
        <v>13681.199999999999</v>
      </c>
      <c r="V351" s="520">
        <f>F351+130</f>
        <v>13651.199999999999</v>
      </c>
      <c r="W351" s="255">
        <f t="shared" ref="W351:W353" si="954">+V351*$X$1</f>
        <v>13651.199999999999</v>
      </c>
      <c r="X351" s="660"/>
      <c r="Y351" s="620"/>
      <c r="Z351" s="620"/>
      <c r="AA351" s="622"/>
      <c r="AB351" s="178">
        <v>1077</v>
      </c>
    </row>
    <row r="352" spans="1:29" ht="12.6" customHeight="1" x14ac:dyDescent="0.2">
      <c r="A352" s="17"/>
      <c r="B352" s="647" t="s">
        <v>343</v>
      </c>
      <c r="C352" s="923"/>
      <c r="D352" s="923"/>
      <c r="E352" s="923"/>
      <c r="F352" s="323">
        <f>6.03*X2</f>
        <v>9286.2000000000007</v>
      </c>
      <c r="G352" s="280">
        <f t="shared" ref="G352" si="955">+F352*$X$1</f>
        <v>9286.2000000000007</v>
      </c>
      <c r="H352" s="82">
        <f>F352+820</f>
        <v>10106.200000000001</v>
      </c>
      <c r="I352" s="256">
        <f t="shared" si="947"/>
        <v>10106.200000000001</v>
      </c>
      <c r="J352" s="528">
        <f>F352+380</f>
        <v>9666.2000000000007</v>
      </c>
      <c r="K352" s="256">
        <f t="shared" si="948"/>
        <v>9666.2000000000007</v>
      </c>
      <c r="L352" s="528">
        <f>F352+310</f>
        <v>9596.2000000000007</v>
      </c>
      <c r="M352" s="256">
        <f t="shared" si="949"/>
        <v>9596.2000000000007</v>
      </c>
      <c r="N352" s="528">
        <f>F352+260</f>
        <v>9546.2000000000007</v>
      </c>
      <c r="O352" s="256">
        <f t="shared" si="950"/>
        <v>9546.2000000000007</v>
      </c>
      <c r="P352" s="528">
        <f>F352+220</f>
        <v>9506.2000000000007</v>
      </c>
      <c r="Q352" s="256">
        <f t="shared" si="951"/>
        <v>9506.2000000000007</v>
      </c>
      <c r="R352" s="528">
        <f>F352+190</f>
        <v>9476.2000000000007</v>
      </c>
      <c r="S352" s="256">
        <f t="shared" si="952"/>
        <v>9476.2000000000007</v>
      </c>
      <c r="T352" s="528">
        <f>F352+160</f>
        <v>9446.2000000000007</v>
      </c>
      <c r="U352" s="256">
        <f t="shared" si="953"/>
        <v>9446.2000000000007</v>
      </c>
      <c r="V352" s="528">
        <f>F352+130</f>
        <v>9416.2000000000007</v>
      </c>
      <c r="W352" s="256">
        <f t="shared" si="954"/>
        <v>9416.2000000000007</v>
      </c>
      <c r="X352" s="660"/>
      <c r="Y352" s="620"/>
      <c r="Z352" s="620"/>
      <c r="AA352" s="622"/>
      <c r="AB352" s="178">
        <v>1078</v>
      </c>
    </row>
    <row r="353" spans="1:30" ht="12.6" customHeight="1" x14ac:dyDescent="0.2">
      <c r="A353" s="17"/>
      <c r="B353" s="686" t="s">
        <v>345</v>
      </c>
      <c r="C353" s="687"/>
      <c r="D353" s="687"/>
      <c r="E353" s="687"/>
      <c r="F353" s="324">
        <f>5.02*X2</f>
        <v>7730.7999999999993</v>
      </c>
      <c r="G353" s="270">
        <f t="shared" ref="G353" si="956">+F353*$X$1</f>
        <v>7730.7999999999993</v>
      </c>
      <c r="H353" s="82">
        <f>F353+820</f>
        <v>8550.7999999999993</v>
      </c>
      <c r="I353" s="255">
        <f t="shared" si="947"/>
        <v>8550.7999999999993</v>
      </c>
      <c r="J353" s="520">
        <f>F353+380</f>
        <v>8110.7999999999993</v>
      </c>
      <c r="K353" s="255">
        <f t="shared" si="948"/>
        <v>8110.7999999999993</v>
      </c>
      <c r="L353" s="520">
        <f>F353+310</f>
        <v>8040.7999999999993</v>
      </c>
      <c r="M353" s="255">
        <f t="shared" si="949"/>
        <v>8040.7999999999993</v>
      </c>
      <c r="N353" s="520">
        <f>F353+260</f>
        <v>7990.7999999999993</v>
      </c>
      <c r="O353" s="255">
        <f t="shared" si="950"/>
        <v>7990.7999999999993</v>
      </c>
      <c r="P353" s="520">
        <f>F353+220</f>
        <v>7950.7999999999993</v>
      </c>
      <c r="Q353" s="255">
        <f t="shared" si="951"/>
        <v>7950.7999999999993</v>
      </c>
      <c r="R353" s="520">
        <f>F353+190</f>
        <v>7920.7999999999993</v>
      </c>
      <c r="S353" s="255">
        <f t="shared" si="952"/>
        <v>7920.7999999999993</v>
      </c>
      <c r="T353" s="520">
        <f>F353+160</f>
        <v>7890.7999999999993</v>
      </c>
      <c r="U353" s="255">
        <f t="shared" si="953"/>
        <v>7890.7999999999993</v>
      </c>
      <c r="V353" s="520">
        <f>F353+130</f>
        <v>7860.7999999999993</v>
      </c>
      <c r="W353" s="255">
        <f t="shared" si="954"/>
        <v>7860.7999999999993</v>
      </c>
      <c r="X353" s="620"/>
      <c r="Y353" s="620"/>
      <c r="Z353" s="620"/>
      <c r="AA353" s="622"/>
      <c r="AB353" s="178">
        <v>1079</v>
      </c>
    </row>
    <row r="354" spans="1:30" ht="12.6" customHeight="1" x14ac:dyDescent="0.2">
      <c r="A354" s="17"/>
      <c r="B354" s="647" t="s">
        <v>461</v>
      </c>
      <c r="C354" s="648"/>
      <c r="D354" s="648"/>
      <c r="E354" s="648"/>
      <c r="F354" s="288">
        <v>16950</v>
      </c>
      <c r="G354" s="256">
        <f>+F354*$X$1</f>
        <v>16950</v>
      </c>
      <c r="H354" s="82">
        <f>F354+800</f>
        <v>17750</v>
      </c>
      <c r="I354" s="256">
        <f t="shared" ref="I354:I358" si="957">+H354*$X$1</f>
        <v>17750</v>
      </c>
      <c r="J354" s="528">
        <f>F354+360</f>
        <v>17310</v>
      </c>
      <c r="K354" s="256">
        <f t="shared" ref="K354:K358" si="958">+J354*$X$1</f>
        <v>17310</v>
      </c>
      <c r="L354" s="528">
        <f>F354+290</f>
        <v>17240</v>
      </c>
      <c r="M354" s="256">
        <f t="shared" ref="M354:M357" si="959">+L354*$X$1</f>
        <v>17240</v>
      </c>
      <c r="N354" s="528">
        <f>F354+240</f>
        <v>17190</v>
      </c>
      <c r="O354" s="256">
        <f t="shared" ref="O354:O357" si="960">+N354*$X$1</f>
        <v>17190</v>
      </c>
      <c r="P354" s="528">
        <f>F354+200</f>
        <v>17150</v>
      </c>
      <c r="Q354" s="256">
        <f t="shared" ref="Q354:Q357" si="961">+P354*$X$1</f>
        <v>17150</v>
      </c>
      <c r="R354" s="528">
        <f>F354+170</f>
        <v>17120</v>
      </c>
      <c r="S354" s="256">
        <f t="shared" ref="S354:S357" si="962">+R354*$X$1</f>
        <v>17120</v>
      </c>
      <c r="T354" s="528">
        <f>F354+140</f>
        <v>17090</v>
      </c>
      <c r="U354" s="256">
        <f t="shared" ref="U354:U357" si="963">+T354*$X$1</f>
        <v>17090</v>
      </c>
      <c r="V354" s="528">
        <f>F354+110</f>
        <v>17060</v>
      </c>
      <c r="W354" s="256">
        <f t="shared" ref="W354:W357" si="964">+V354*$X$1</f>
        <v>17060</v>
      </c>
      <c r="X354" s="620"/>
      <c r="Y354" s="620"/>
      <c r="Z354" s="620"/>
      <c r="AA354" s="622"/>
      <c r="AB354" s="178">
        <v>1080</v>
      </c>
      <c r="AC354" s="61"/>
    </row>
    <row r="355" spans="1:30" ht="12.6" customHeight="1" x14ac:dyDescent="0.2">
      <c r="A355" s="17"/>
      <c r="B355" s="654" t="s">
        <v>462</v>
      </c>
      <c r="C355" s="655"/>
      <c r="D355" s="655"/>
      <c r="E355" s="655"/>
      <c r="F355" s="289">
        <v>14910</v>
      </c>
      <c r="G355" s="255">
        <f>+F355*$X$1</f>
        <v>14910</v>
      </c>
      <c r="H355" s="82">
        <f>F355+800</f>
        <v>15710</v>
      </c>
      <c r="I355" s="255">
        <f t="shared" si="957"/>
        <v>15710</v>
      </c>
      <c r="J355" s="520">
        <f>F355+360</f>
        <v>15270</v>
      </c>
      <c r="K355" s="255">
        <f t="shared" si="958"/>
        <v>15270</v>
      </c>
      <c r="L355" s="520">
        <f>F355+290</f>
        <v>15200</v>
      </c>
      <c r="M355" s="255">
        <f t="shared" si="959"/>
        <v>15200</v>
      </c>
      <c r="N355" s="520">
        <f>F355+240</f>
        <v>15150</v>
      </c>
      <c r="O355" s="255">
        <f t="shared" si="960"/>
        <v>15150</v>
      </c>
      <c r="P355" s="520">
        <f>F355+200</f>
        <v>15110</v>
      </c>
      <c r="Q355" s="255">
        <f t="shared" si="961"/>
        <v>15110</v>
      </c>
      <c r="R355" s="520">
        <f>F355+170</f>
        <v>15080</v>
      </c>
      <c r="S355" s="255">
        <f t="shared" si="962"/>
        <v>15080</v>
      </c>
      <c r="T355" s="520">
        <f>F355+140</f>
        <v>15050</v>
      </c>
      <c r="U355" s="255">
        <f t="shared" si="963"/>
        <v>15050</v>
      </c>
      <c r="V355" s="520">
        <f>F355+110</f>
        <v>15020</v>
      </c>
      <c r="W355" s="255">
        <f t="shared" si="964"/>
        <v>15020</v>
      </c>
      <c r="X355" s="620"/>
      <c r="Y355" s="620"/>
      <c r="Z355" s="620"/>
      <c r="AA355" s="622"/>
      <c r="AB355" s="178">
        <v>1081</v>
      </c>
      <c r="AC355" s="61"/>
    </row>
    <row r="356" spans="1:30" ht="12.6" customHeight="1" x14ac:dyDescent="0.2">
      <c r="A356" s="17"/>
      <c r="B356" s="647" t="s">
        <v>383</v>
      </c>
      <c r="C356" s="648"/>
      <c r="D356" s="648"/>
      <c r="E356" s="648"/>
      <c r="F356" s="288">
        <v>14950</v>
      </c>
      <c r="G356" s="256">
        <f>+F356*$X$1</f>
        <v>14950</v>
      </c>
      <c r="H356" s="82">
        <f>F356+800</f>
        <v>15750</v>
      </c>
      <c r="I356" s="256">
        <f t="shared" si="957"/>
        <v>15750</v>
      </c>
      <c r="J356" s="528">
        <f>F356+360</f>
        <v>15310</v>
      </c>
      <c r="K356" s="256">
        <f t="shared" si="958"/>
        <v>15310</v>
      </c>
      <c r="L356" s="528">
        <f>F356+290</f>
        <v>15240</v>
      </c>
      <c r="M356" s="256">
        <f t="shared" si="959"/>
        <v>15240</v>
      </c>
      <c r="N356" s="528">
        <f>F356+240</f>
        <v>15190</v>
      </c>
      <c r="O356" s="256">
        <f t="shared" si="960"/>
        <v>15190</v>
      </c>
      <c r="P356" s="528">
        <f>F356+200</f>
        <v>15150</v>
      </c>
      <c r="Q356" s="256">
        <f t="shared" si="961"/>
        <v>15150</v>
      </c>
      <c r="R356" s="528">
        <f>F356+170</f>
        <v>15120</v>
      </c>
      <c r="S356" s="256">
        <f t="shared" si="962"/>
        <v>15120</v>
      </c>
      <c r="T356" s="528">
        <f>F356+140</f>
        <v>15090</v>
      </c>
      <c r="U356" s="256">
        <f t="shared" si="963"/>
        <v>15090</v>
      </c>
      <c r="V356" s="528">
        <f>F356+110</f>
        <v>15060</v>
      </c>
      <c r="W356" s="256">
        <f t="shared" si="964"/>
        <v>15060</v>
      </c>
      <c r="X356" s="620"/>
      <c r="Y356" s="620"/>
      <c r="Z356" s="620"/>
      <c r="AA356" s="622"/>
      <c r="AB356" s="178">
        <v>1083</v>
      </c>
      <c r="AC356" s="61"/>
    </row>
    <row r="357" spans="1:30" ht="12.6" customHeight="1" x14ac:dyDescent="0.2">
      <c r="A357" s="17"/>
      <c r="B357" s="635" t="s">
        <v>915</v>
      </c>
      <c r="C357" s="636"/>
      <c r="D357" s="636"/>
      <c r="E357" s="636"/>
      <c r="F357" s="324">
        <f>8.53*X2</f>
        <v>13136.199999999999</v>
      </c>
      <c r="G357" s="270">
        <f t="shared" ref="G357:G358" si="965">+F357*$X$1</f>
        <v>13136.199999999999</v>
      </c>
      <c r="H357" s="82">
        <f>F357+820</f>
        <v>13956.199999999999</v>
      </c>
      <c r="I357" s="255">
        <f t="shared" si="957"/>
        <v>13956.199999999999</v>
      </c>
      <c r="J357" s="520">
        <f>F357+380</f>
        <v>13516.199999999999</v>
      </c>
      <c r="K357" s="255">
        <f t="shared" si="958"/>
        <v>13516.199999999999</v>
      </c>
      <c r="L357" s="520">
        <f>F357+310</f>
        <v>13446.199999999999</v>
      </c>
      <c r="M357" s="255">
        <f t="shared" si="959"/>
        <v>13446.199999999999</v>
      </c>
      <c r="N357" s="520">
        <f>F357+260</f>
        <v>13396.199999999999</v>
      </c>
      <c r="O357" s="255">
        <f t="shared" si="960"/>
        <v>13396.199999999999</v>
      </c>
      <c r="P357" s="520">
        <f>F357+220</f>
        <v>13356.199999999999</v>
      </c>
      <c r="Q357" s="255">
        <f t="shared" si="961"/>
        <v>13356.199999999999</v>
      </c>
      <c r="R357" s="520">
        <f>F357+190</f>
        <v>13326.199999999999</v>
      </c>
      <c r="S357" s="255">
        <f t="shared" si="962"/>
        <v>13326.199999999999</v>
      </c>
      <c r="T357" s="520">
        <f>F357+160</f>
        <v>13296.199999999999</v>
      </c>
      <c r="U357" s="255">
        <f t="shared" si="963"/>
        <v>13296.199999999999</v>
      </c>
      <c r="V357" s="520">
        <f>F357+130</f>
        <v>13266.199999999999</v>
      </c>
      <c r="W357" s="255">
        <f t="shared" si="964"/>
        <v>13266.199999999999</v>
      </c>
      <c r="X357" s="660"/>
      <c r="Y357" s="620"/>
      <c r="Z357" s="620"/>
      <c r="AA357" s="622"/>
      <c r="AB357" s="178">
        <v>1087</v>
      </c>
    </row>
    <row r="358" spans="1:30" ht="12.6" customHeight="1" x14ac:dyDescent="0.2">
      <c r="A358" s="17"/>
      <c r="B358" s="647" t="s">
        <v>1034</v>
      </c>
      <c r="C358" s="923"/>
      <c r="D358" s="923"/>
      <c r="E358" s="923"/>
      <c r="F358" s="323">
        <f>23.2*X2</f>
        <v>35728</v>
      </c>
      <c r="G358" s="280">
        <f t="shared" si="965"/>
        <v>35728</v>
      </c>
      <c r="H358" s="528">
        <f>F358+850</f>
        <v>36578</v>
      </c>
      <c r="I358" s="256">
        <f t="shared" si="957"/>
        <v>36578</v>
      </c>
      <c r="J358" s="528">
        <f>F358+400</f>
        <v>36128</v>
      </c>
      <c r="K358" s="256">
        <f t="shared" si="958"/>
        <v>36128</v>
      </c>
      <c r="L358" s="528">
        <f>F358+330</f>
        <v>36058</v>
      </c>
      <c r="M358" s="256">
        <f>+L358*$X$1</f>
        <v>36058</v>
      </c>
      <c r="N358" s="528">
        <f>F358+290</f>
        <v>36018</v>
      </c>
      <c r="O358" s="256">
        <f>+N358*$X$1</f>
        <v>36018</v>
      </c>
      <c r="P358" s="528">
        <f>F358+250</f>
        <v>35978</v>
      </c>
      <c r="Q358" s="256">
        <f>+P358*$X$1</f>
        <v>35978</v>
      </c>
      <c r="R358" s="528">
        <f>F358+230</f>
        <v>35958</v>
      </c>
      <c r="S358" s="256">
        <f>+R358*$X$1</f>
        <v>35958</v>
      </c>
      <c r="T358" s="92">
        <f>F358+200</f>
        <v>35928</v>
      </c>
      <c r="U358" s="269">
        <f>+T358*$X$1</f>
        <v>35928</v>
      </c>
      <c r="V358" s="92">
        <f>F358+160</f>
        <v>35888</v>
      </c>
      <c r="W358" s="256">
        <f>+V358*$X$1</f>
        <v>35888</v>
      </c>
      <c r="X358" s="660"/>
      <c r="Y358" s="620"/>
      <c r="Z358" s="620"/>
      <c r="AA358" s="622"/>
      <c r="AB358" s="178">
        <v>1106</v>
      </c>
    </row>
    <row r="359" spans="1:30" ht="12.6" customHeight="1" x14ac:dyDescent="0.2">
      <c r="A359" s="17"/>
      <c r="B359" s="635" t="s">
        <v>1035</v>
      </c>
      <c r="C359" s="636"/>
      <c r="D359" s="636"/>
      <c r="E359" s="636"/>
      <c r="F359" s="431">
        <v>43650</v>
      </c>
      <c r="G359" s="255">
        <f>+F359*$X$1</f>
        <v>43650</v>
      </c>
      <c r="H359" s="528">
        <f>F359+850</f>
        <v>44500</v>
      </c>
      <c r="I359" s="255">
        <f t="shared" ref="I359:I360" si="966">+H359*$X$1</f>
        <v>44500</v>
      </c>
      <c r="J359" s="520">
        <f>F359+400</f>
        <v>44050</v>
      </c>
      <c r="K359" s="255">
        <f t="shared" ref="K359:K361" si="967">+J359*$X$1</f>
        <v>44050</v>
      </c>
      <c r="L359" s="520">
        <f>F359+330</f>
        <v>43980</v>
      </c>
      <c r="M359" s="255">
        <f>+L359*$X$1</f>
        <v>43980</v>
      </c>
      <c r="N359" s="520">
        <f>F359+290</f>
        <v>43940</v>
      </c>
      <c r="O359" s="255">
        <f>+N359*$X$1</f>
        <v>43940</v>
      </c>
      <c r="P359" s="520">
        <f>F359+250</f>
        <v>43900</v>
      </c>
      <c r="Q359" s="255">
        <f>+P359*$X$1</f>
        <v>43900</v>
      </c>
      <c r="R359" s="520">
        <f>F359+230</f>
        <v>43880</v>
      </c>
      <c r="S359" s="255">
        <f>+R359*$X$1</f>
        <v>43880</v>
      </c>
      <c r="T359" s="93">
        <f>F359+200</f>
        <v>43850</v>
      </c>
      <c r="U359" s="234">
        <f>+T359*$X$1</f>
        <v>43850</v>
      </c>
      <c r="V359" s="93">
        <f>F359+160</f>
        <v>43810</v>
      </c>
      <c r="W359" s="255">
        <f>+V359*$X$1</f>
        <v>43810</v>
      </c>
      <c r="X359" s="660"/>
      <c r="Y359" s="620"/>
      <c r="Z359" s="620"/>
      <c r="AA359" s="622"/>
      <c r="AB359" s="178">
        <v>1107</v>
      </c>
    </row>
    <row r="360" spans="1:30" ht="12.6" customHeight="1" x14ac:dyDescent="0.2">
      <c r="A360" s="17"/>
      <c r="B360" s="647" t="s">
        <v>1033</v>
      </c>
      <c r="C360" s="923"/>
      <c r="D360" s="923"/>
      <c r="E360" s="923"/>
      <c r="F360" s="323">
        <f>18.98*X2</f>
        <v>29229.200000000001</v>
      </c>
      <c r="G360" s="280">
        <f t="shared" ref="G360" si="968">+F360*$X$1</f>
        <v>29229.200000000001</v>
      </c>
      <c r="H360" s="528">
        <f>F360+850</f>
        <v>30079.200000000001</v>
      </c>
      <c r="I360" s="256">
        <f t="shared" si="966"/>
        <v>30079.200000000001</v>
      </c>
      <c r="J360" s="528">
        <f>F360+400</f>
        <v>29629.200000000001</v>
      </c>
      <c r="K360" s="256">
        <f t="shared" si="967"/>
        <v>29629.200000000001</v>
      </c>
      <c r="L360" s="528">
        <f>F360+330</f>
        <v>29559.200000000001</v>
      </c>
      <c r="M360" s="256">
        <f>+L360*$X$1</f>
        <v>29559.200000000001</v>
      </c>
      <c r="N360" s="528">
        <f>F360+290</f>
        <v>29519.200000000001</v>
      </c>
      <c r="O360" s="256">
        <f>+N360*$X$1</f>
        <v>29519.200000000001</v>
      </c>
      <c r="P360" s="528">
        <f>F360+250</f>
        <v>29479.200000000001</v>
      </c>
      <c r="Q360" s="256">
        <f>+P360*$X$1</f>
        <v>29479.200000000001</v>
      </c>
      <c r="R360" s="528">
        <f>F360+230</f>
        <v>29459.200000000001</v>
      </c>
      <c r="S360" s="256">
        <f>+R360*$X$1</f>
        <v>29459.200000000001</v>
      </c>
      <c r="T360" s="92">
        <f>F360+200</f>
        <v>29429.200000000001</v>
      </c>
      <c r="U360" s="269">
        <f>+T360*$X$1</f>
        <v>29429.200000000001</v>
      </c>
      <c r="V360" s="92">
        <f>F360+160</f>
        <v>29389.200000000001</v>
      </c>
      <c r="W360" s="256">
        <f>+V360*$X$1</f>
        <v>29389.200000000001</v>
      </c>
      <c r="X360" s="660"/>
      <c r="Y360" s="620"/>
      <c r="Z360" s="620"/>
      <c r="AA360" s="622"/>
      <c r="AB360" s="178">
        <v>1110</v>
      </c>
    </row>
    <row r="361" spans="1:30" ht="12.6" customHeight="1" x14ac:dyDescent="0.2">
      <c r="A361" s="17"/>
      <c r="B361" s="686" t="s">
        <v>710</v>
      </c>
      <c r="C361" s="687"/>
      <c r="D361" s="687"/>
      <c r="E361" s="687"/>
      <c r="F361" s="321">
        <f>2.3*X2</f>
        <v>3541.9999999999995</v>
      </c>
      <c r="G361" s="255">
        <f t="shared" ref="G361" si="969">+F361*$X$1</f>
        <v>3541.9999999999995</v>
      </c>
      <c r="H361" s="520">
        <f>F361+800</f>
        <v>4342</v>
      </c>
      <c r="I361" s="255">
        <f t="shared" ref="I361" si="970">+H361*$X$1</f>
        <v>4342</v>
      </c>
      <c r="J361" s="68">
        <f t="shared" ref="J361" si="971">F361+300</f>
        <v>3841.9999999999995</v>
      </c>
      <c r="K361" s="255">
        <f t="shared" si="967"/>
        <v>3841.9999999999995</v>
      </c>
      <c r="L361" s="520">
        <f>F361+230</f>
        <v>3771.9999999999995</v>
      </c>
      <c r="M361" s="255">
        <f t="shared" ref="M361" si="972">+L361*$X$1</f>
        <v>3771.9999999999995</v>
      </c>
      <c r="N361" s="520">
        <f t="shared" ref="N361" si="973">F361+180</f>
        <v>3721.9999999999995</v>
      </c>
      <c r="O361" s="255">
        <f t="shared" ref="O361" si="974">+N361*$X$1</f>
        <v>3721.9999999999995</v>
      </c>
      <c r="P361" s="520">
        <f>F361+150</f>
        <v>3691.9999999999995</v>
      </c>
      <c r="Q361" s="255">
        <f t="shared" ref="Q361" si="975">+P361*$X$1</f>
        <v>3691.9999999999995</v>
      </c>
      <c r="R361" s="520">
        <f t="shared" ref="R361" si="976">F361+120</f>
        <v>3661.9999999999995</v>
      </c>
      <c r="S361" s="255">
        <f t="shared" ref="S361" si="977">+R361*$X$1</f>
        <v>3661.9999999999995</v>
      </c>
      <c r="T361" s="520">
        <f t="shared" ref="T361" si="978">F361+100</f>
        <v>3641.9999999999995</v>
      </c>
      <c r="U361" s="255">
        <f t="shared" ref="U361" si="979">+T361*$X$1</f>
        <v>3641.9999999999995</v>
      </c>
      <c r="V361" s="520">
        <f>F361+80</f>
        <v>3621.9999999999995</v>
      </c>
      <c r="W361" s="255">
        <f t="shared" ref="W361" si="980">+V361*$X$1</f>
        <v>3621.9999999999995</v>
      </c>
      <c r="X361" s="661"/>
      <c r="Y361" s="730"/>
      <c r="Z361" s="730"/>
      <c r="AA361" s="731"/>
      <c r="AB361" s="336">
        <v>2130</v>
      </c>
      <c r="AC361" s="62"/>
    </row>
    <row r="362" spans="1:30" ht="12.6" customHeight="1" x14ac:dyDescent="0.2">
      <c r="A362" s="17"/>
      <c r="B362" s="652" t="s">
        <v>711</v>
      </c>
      <c r="C362" s="698"/>
      <c r="D362" s="698"/>
      <c r="E362" s="698"/>
      <c r="F362" s="322">
        <f>2*X2</f>
        <v>3080</v>
      </c>
      <c r="G362" s="256">
        <f t="shared" ref="G362" si="981">+F362*$X$1</f>
        <v>3080</v>
      </c>
      <c r="H362" s="528">
        <f>F362+800</f>
        <v>3880</v>
      </c>
      <c r="I362" s="256">
        <f t="shared" ref="I362" si="982">+H362*$X$1</f>
        <v>3880</v>
      </c>
      <c r="J362" s="82">
        <f>F362+300</f>
        <v>3380</v>
      </c>
      <c r="K362" s="256">
        <f t="shared" ref="K362" si="983">+J362*$X$1</f>
        <v>3380</v>
      </c>
      <c r="L362" s="528"/>
      <c r="M362" s="256"/>
      <c r="N362" s="528"/>
      <c r="O362" s="256"/>
      <c r="P362" s="528"/>
      <c r="Q362" s="256"/>
      <c r="R362" s="528"/>
      <c r="S362" s="256"/>
      <c r="T362" s="528"/>
      <c r="U362" s="256"/>
      <c r="V362" s="528"/>
      <c r="W362" s="256"/>
      <c r="X362" s="661"/>
      <c r="Y362" s="730"/>
      <c r="Z362" s="730"/>
      <c r="AA362" s="731"/>
      <c r="AB362" s="336">
        <v>2131</v>
      </c>
      <c r="AC362" s="62"/>
    </row>
    <row r="363" spans="1:30" ht="12.6" customHeight="1" x14ac:dyDescent="0.2">
      <c r="A363" s="94"/>
      <c r="B363" s="654" t="s">
        <v>193</v>
      </c>
      <c r="C363" s="655"/>
      <c r="D363" s="655"/>
      <c r="E363" s="655"/>
      <c r="F363" s="321">
        <f>0.41*X2</f>
        <v>631.4</v>
      </c>
      <c r="G363" s="255">
        <f t="shared" ref="G363:G364" si="984">+F363*$X$1</f>
        <v>631.4</v>
      </c>
      <c r="H363" s="251"/>
      <c r="I363" s="300"/>
      <c r="J363" s="520"/>
      <c r="K363" s="255"/>
      <c r="L363" s="520">
        <f>F363+240</f>
        <v>871.4</v>
      </c>
      <c r="M363" s="255">
        <f t="shared" ref="M363" si="985">+L363*$X$1</f>
        <v>871.4</v>
      </c>
      <c r="N363" s="520">
        <f>F363+150</f>
        <v>781.4</v>
      </c>
      <c r="O363" s="255">
        <f t="shared" ref="O363" si="986">+N363*$X$1</f>
        <v>781.4</v>
      </c>
      <c r="P363" s="520">
        <f>F363+110</f>
        <v>741.4</v>
      </c>
      <c r="Q363" s="255">
        <f t="shared" ref="Q363" si="987">+P363*$X$1</f>
        <v>741.4</v>
      </c>
      <c r="R363" s="520">
        <f>F363+90</f>
        <v>721.4</v>
      </c>
      <c r="S363" s="255">
        <f t="shared" ref="S363" si="988">+R363*$X$1</f>
        <v>721.4</v>
      </c>
      <c r="T363" s="93">
        <f>F363+75</f>
        <v>706.4</v>
      </c>
      <c r="U363" s="234">
        <f t="shared" ref="U363" si="989">+T363*$X$1</f>
        <v>706.4</v>
      </c>
      <c r="V363" s="93">
        <f>F363+65</f>
        <v>696.4</v>
      </c>
      <c r="W363" s="234">
        <f t="shared" ref="W363" si="990">+V363*$X$1</f>
        <v>696.4</v>
      </c>
      <c r="X363" s="121"/>
      <c r="Y363" s="119"/>
      <c r="Z363" s="119"/>
      <c r="AA363" s="119"/>
      <c r="AB363" s="336">
        <v>2145</v>
      </c>
      <c r="AC363" s="62"/>
    </row>
    <row r="364" spans="1:30" ht="12.6" customHeight="1" x14ac:dyDescent="0.25">
      <c r="A364" s="115"/>
      <c r="B364" s="647" t="s">
        <v>833</v>
      </c>
      <c r="C364" s="648"/>
      <c r="D364" s="648"/>
      <c r="E364" s="648"/>
      <c r="F364" s="322">
        <v>170</v>
      </c>
      <c r="G364" s="256">
        <f t="shared" si="984"/>
        <v>170</v>
      </c>
      <c r="H364" s="250"/>
      <c r="I364" s="301"/>
      <c r="J364" s="460"/>
      <c r="K364" s="256"/>
      <c r="L364" s="461"/>
      <c r="M364" s="256"/>
      <c r="N364" s="461"/>
      <c r="O364" s="462"/>
      <c r="P364" s="250"/>
      <c r="Q364" s="301"/>
      <c r="R364" s="461"/>
      <c r="S364" s="462"/>
      <c r="T364" s="461"/>
      <c r="U364" s="462"/>
      <c r="V364" s="461"/>
      <c r="W364" s="462"/>
      <c r="X364" s="119"/>
      <c r="Y364" s="119"/>
      <c r="Z364" s="119"/>
      <c r="AA364" s="119"/>
      <c r="AB364" s="178">
        <v>2147</v>
      </c>
    </row>
    <row r="365" spans="1:30" ht="12.6" customHeight="1" x14ac:dyDescent="0.2">
      <c r="A365" s="17"/>
      <c r="B365" s="654" t="s">
        <v>194</v>
      </c>
      <c r="C365" s="655"/>
      <c r="D365" s="655"/>
      <c r="E365" s="655"/>
      <c r="F365" s="321">
        <v>51</v>
      </c>
      <c r="G365" s="255">
        <f t="shared" ref="G365:G369" si="991">+F365*$X$1</f>
        <v>51</v>
      </c>
      <c r="H365" s="251"/>
      <c r="I365" s="300"/>
      <c r="J365" s="520">
        <f>F365+280</f>
        <v>331</v>
      </c>
      <c r="K365" s="255">
        <f t="shared" ref="K365" si="992">+J365*$X$1</f>
        <v>331</v>
      </c>
      <c r="L365" s="520">
        <f>F365+240</f>
        <v>291</v>
      </c>
      <c r="M365" s="255">
        <f t="shared" ref="M365" si="993">+L365*$X$1</f>
        <v>291</v>
      </c>
      <c r="N365" s="520">
        <f>F365+150</f>
        <v>201</v>
      </c>
      <c r="O365" s="255">
        <f t="shared" ref="O365" si="994">+N365*$X$1</f>
        <v>201</v>
      </c>
      <c r="P365" s="520">
        <f>F365+110</f>
        <v>161</v>
      </c>
      <c r="Q365" s="255">
        <f t="shared" ref="Q365" si="995">+P365*$X$1</f>
        <v>161</v>
      </c>
      <c r="R365" s="520">
        <f>F365+90</f>
        <v>141</v>
      </c>
      <c r="S365" s="255">
        <f t="shared" ref="S365" si="996">+R365*$X$1</f>
        <v>141</v>
      </c>
      <c r="T365" s="93">
        <f>F365+75</f>
        <v>126</v>
      </c>
      <c r="U365" s="234">
        <f t="shared" ref="U365" si="997">+T365*$X$1</f>
        <v>126</v>
      </c>
      <c r="V365" s="93">
        <f>F365+65</f>
        <v>116</v>
      </c>
      <c r="W365" s="234">
        <f t="shared" ref="W365" si="998">+V365*$X$1</f>
        <v>116</v>
      </c>
      <c r="X365" s="119"/>
      <c r="Y365" s="119"/>
      <c r="Z365" s="119"/>
      <c r="AA365" s="119"/>
      <c r="AB365" s="336">
        <v>2149</v>
      </c>
    </row>
    <row r="366" spans="1:30" ht="12.6" customHeight="1" x14ac:dyDescent="0.25">
      <c r="A366" s="115"/>
      <c r="B366" s="647" t="s">
        <v>195</v>
      </c>
      <c r="C366" s="648"/>
      <c r="D366" s="648"/>
      <c r="E366" s="648"/>
      <c r="F366" s="322">
        <f>0.85*X2</f>
        <v>1309</v>
      </c>
      <c r="G366" s="256">
        <f t="shared" si="991"/>
        <v>1309</v>
      </c>
      <c r="H366" s="250"/>
      <c r="I366" s="301"/>
      <c r="J366" s="460"/>
      <c r="K366" s="256"/>
      <c r="L366" s="461"/>
      <c r="M366" s="256"/>
      <c r="N366" s="461"/>
      <c r="O366" s="462"/>
      <c r="P366" s="250"/>
      <c r="Q366" s="301"/>
      <c r="R366" s="461"/>
      <c r="S366" s="462"/>
      <c r="T366" s="461"/>
      <c r="U366" s="462"/>
      <c r="V366" s="461"/>
      <c r="W366" s="462"/>
      <c r="X366" s="119"/>
      <c r="Y366" s="119"/>
      <c r="Z366" s="119"/>
      <c r="AA366" s="119"/>
      <c r="AB366" s="178">
        <v>2151</v>
      </c>
    </row>
    <row r="367" spans="1:30" ht="12.6" customHeight="1" x14ac:dyDescent="0.2">
      <c r="A367" s="17"/>
      <c r="B367" s="686" t="s">
        <v>196</v>
      </c>
      <c r="C367" s="761"/>
      <c r="D367" s="761"/>
      <c r="E367" s="761"/>
      <c r="F367" s="324">
        <f>0.5*X2</f>
        <v>770</v>
      </c>
      <c r="G367" s="270">
        <f t="shared" si="991"/>
        <v>770</v>
      </c>
      <c r="H367" s="405"/>
      <c r="I367" s="571"/>
      <c r="J367" s="93"/>
      <c r="K367" s="270"/>
      <c r="L367" s="520">
        <f t="shared" ref="L367:L388" si="999">F367+240</f>
        <v>1010</v>
      </c>
      <c r="M367" s="255">
        <f t="shared" ref="M367" si="1000">+L367*$X$1</f>
        <v>1010</v>
      </c>
      <c r="N367" s="520">
        <f t="shared" ref="N367:N388" si="1001">F367+150</f>
        <v>920</v>
      </c>
      <c r="O367" s="255">
        <f t="shared" ref="O367" si="1002">+N367*$X$1</f>
        <v>920</v>
      </c>
      <c r="P367" s="520">
        <f t="shared" ref="P367:P373" si="1003">F367+110</f>
        <v>880</v>
      </c>
      <c r="Q367" s="255">
        <f t="shared" ref="Q367" si="1004">+P367*$X$1</f>
        <v>880</v>
      </c>
      <c r="R367" s="520">
        <f t="shared" ref="R367:R373" si="1005">F367+90</f>
        <v>860</v>
      </c>
      <c r="S367" s="255">
        <f t="shared" ref="S367" si="1006">+R367*$X$1</f>
        <v>860</v>
      </c>
      <c r="T367" s="93">
        <f t="shared" ref="T367:T373" si="1007">F367+75</f>
        <v>845</v>
      </c>
      <c r="U367" s="234">
        <f t="shared" ref="U367" si="1008">+T367*$X$1</f>
        <v>845</v>
      </c>
      <c r="V367" s="93">
        <f t="shared" ref="V367:V373" si="1009">F367+65</f>
        <v>835</v>
      </c>
      <c r="W367" s="234">
        <f t="shared" ref="W367" si="1010">+V367*$X$1</f>
        <v>835</v>
      </c>
      <c r="X367" s="119"/>
      <c r="Y367" s="119"/>
      <c r="Z367" s="119"/>
      <c r="AA367" s="119"/>
      <c r="AB367" s="350">
        <v>2153</v>
      </c>
      <c r="AC367" s="62"/>
    </row>
    <row r="368" spans="1:30" ht="12.6" customHeight="1" x14ac:dyDescent="0.2">
      <c r="A368" s="17"/>
      <c r="B368" s="647" t="s">
        <v>337</v>
      </c>
      <c r="C368" s="648"/>
      <c r="D368" s="648"/>
      <c r="E368" s="648"/>
      <c r="F368" s="322">
        <f>0.43*X2</f>
        <v>662.2</v>
      </c>
      <c r="G368" s="256">
        <f t="shared" si="991"/>
        <v>662.2</v>
      </c>
      <c r="H368" s="250"/>
      <c r="I368" s="301"/>
      <c r="J368" s="528"/>
      <c r="K368" s="256"/>
      <c r="L368" s="528">
        <f t="shared" si="999"/>
        <v>902.2</v>
      </c>
      <c r="M368" s="256">
        <f t="shared" ref="M368:M373" si="1011">+L368*$X$1</f>
        <v>902.2</v>
      </c>
      <c r="N368" s="528">
        <f t="shared" si="1001"/>
        <v>812.2</v>
      </c>
      <c r="O368" s="256">
        <f t="shared" ref="O368:O373" si="1012">+N368*$X$1</f>
        <v>812.2</v>
      </c>
      <c r="P368" s="528">
        <f t="shared" si="1003"/>
        <v>772.2</v>
      </c>
      <c r="Q368" s="256">
        <f t="shared" ref="Q368:Q373" si="1013">+P368*$X$1</f>
        <v>772.2</v>
      </c>
      <c r="R368" s="528">
        <f t="shared" si="1005"/>
        <v>752.2</v>
      </c>
      <c r="S368" s="256">
        <f t="shared" ref="S368:S373" si="1014">+R368*$X$1</f>
        <v>752.2</v>
      </c>
      <c r="T368" s="92">
        <f t="shared" si="1007"/>
        <v>737.2</v>
      </c>
      <c r="U368" s="269">
        <f t="shared" ref="U368:U373" si="1015">+T368*$X$1</f>
        <v>737.2</v>
      </c>
      <c r="V368" s="92">
        <f t="shared" si="1009"/>
        <v>727.2</v>
      </c>
      <c r="W368" s="269">
        <f t="shared" ref="W368:W373" si="1016">+V368*$X$1</f>
        <v>727.2</v>
      </c>
      <c r="X368" s="119"/>
      <c r="Y368" s="126"/>
      <c r="Z368" s="126"/>
      <c r="AA368" s="126"/>
      <c r="AB368" s="349">
        <v>2154</v>
      </c>
      <c r="AC368" s="21"/>
      <c r="AD368" s="21"/>
    </row>
    <row r="369" spans="1:34" ht="12.6" customHeight="1" x14ac:dyDescent="0.2">
      <c r="A369" s="17"/>
      <c r="B369" s="654" t="s">
        <v>338</v>
      </c>
      <c r="C369" s="655"/>
      <c r="D369" s="655"/>
      <c r="E369" s="655"/>
      <c r="F369" s="321">
        <f>0.503*X2</f>
        <v>774.62</v>
      </c>
      <c r="G369" s="255">
        <f t="shared" si="991"/>
        <v>774.62</v>
      </c>
      <c r="H369" s="251"/>
      <c r="I369" s="300"/>
      <c r="J369" s="520"/>
      <c r="K369" s="255"/>
      <c r="L369" s="520">
        <f t="shared" si="999"/>
        <v>1014.62</v>
      </c>
      <c r="M369" s="255">
        <f t="shared" si="1011"/>
        <v>1014.62</v>
      </c>
      <c r="N369" s="520">
        <f t="shared" si="1001"/>
        <v>924.62</v>
      </c>
      <c r="O369" s="255">
        <f t="shared" si="1012"/>
        <v>924.62</v>
      </c>
      <c r="P369" s="520">
        <f t="shared" si="1003"/>
        <v>884.62</v>
      </c>
      <c r="Q369" s="255">
        <f t="shared" si="1013"/>
        <v>884.62</v>
      </c>
      <c r="R369" s="520">
        <f t="shared" si="1005"/>
        <v>864.62</v>
      </c>
      <c r="S369" s="255">
        <f t="shared" si="1014"/>
        <v>864.62</v>
      </c>
      <c r="T369" s="93">
        <f t="shared" si="1007"/>
        <v>849.62</v>
      </c>
      <c r="U369" s="234">
        <f t="shared" si="1015"/>
        <v>849.62</v>
      </c>
      <c r="V369" s="93">
        <f t="shared" si="1009"/>
        <v>839.62</v>
      </c>
      <c r="W369" s="234">
        <f t="shared" si="1016"/>
        <v>839.62</v>
      </c>
      <c r="X369" s="138"/>
      <c r="Y369" s="119"/>
      <c r="Z369" s="126"/>
      <c r="AA369" s="126"/>
      <c r="AB369" s="349">
        <v>2156</v>
      </c>
      <c r="AC369" s="21"/>
      <c r="AD369" s="21"/>
    </row>
    <row r="370" spans="1:34" ht="12.6" customHeight="1" x14ac:dyDescent="0.2">
      <c r="A370" s="17"/>
      <c r="B370" s="640" t="s">
        <v>197</v>
      </c>
      <c r="C370" s="641"/>
      <c r="D370" s="641"/>
      <c r="E370" s="642"/>
      <c r="F370" s="322">
        <f>0.428*X2</f>
        <v>659.12</v>
      </c>
      <c r="G370" s="256">
        <f t="shared" ref="G370" si="1017">+F370*$X$1</f>
        <v>659.12</v>
      </c>
      <c r="H370" s="250"/>
      <c r="I370" s="301"/>
      <c r="J370" s="528"/>
      <c r="K370" s="256"/>
      <c r="L370" s="528">
        <f t="shared" si="999"/>
        <v>899.12</v>
      </c>
      <c r="M370" s="256">
        <f t="shared" si="1011"/>
        <v>899.12</v>
      </c>
      <c r="N370" s="528">
        <f t="shared" si="1001"/>
        <v>809.12</v>
      </c>
      <c r="O370" s="256">
        <f t="shared" si="1012"/>
        <v>809.12</v>
      </c>
      <c r="P370" s="528">
        <f t="shared" si="1003"/>
        <v>769.12</v>
      </c>
      <c r="Q370" s="256">
        <f t="shared" si="1013"/>
        <v>769.12</v>
      </c>
      <c r="R370" s="528">
        <f t="shared" si="1005"/>
        <v>749.12</v>
      </c>
      <c r="S370" s="256">
        <f t="shared" si="1014"/>
        <v>749.12</v>
      </c>
      <c r="T370" s="92">
        <f t="shared" si="1007"/>
        <v>734.12</v>
      </c>
      <c r="U370" s="269">
        <f t="shared" si="1015"/>
        <v>734.12</v>
      </c>
      <c r="V370" s="92">
        <f t="shared" si="1009"/>
        <v>724.12</v>
      </c>
      <c r="W370" s="269">
        <f t="shared" si="1016"/>
        <v>724.12</v>
      </c>
      <c r="X370" s="119"/>
      <c r="Y370" s="126"/>
      <c r="Z370" s="126"/>
      <c r="AA370" s="126"/>
      <c r="AB370" s="349">
        <v>2160</v>
      </c>
      <c r="AC370" s="21"/>
      <c r="AD370" s="21"/>
      <c r="AH370" s="61"/>
    </row>
    <row r="371" spans="1:34" ht="12.6" customHeight="1" x14ac:dyDescent="0.2">
      <c r="A371" s="88"/>
      <c r="B371" s="719" t="s">
        <v>198</v>
      </c>
      <c r="C371" s="720"/>
      <c r="D371" s="720"/>
      <c r="E371" s="721"/>
      <c r="F371" s="321">
        <f>0.466*X2</f>
        <v>717.64</v>
      </c>
      <c r="G371" s="234">
        <f t="shared" ref="G371" si="1018">+F371*$X$1</f>
        <v>717.64</v>
      </c>
      <c r="H371" s="520"/>
      <c r="I371" s="520"/>
      <c r="J371" s="110"/>
      <c r="K371" s="255"/>
      <c r="L371" s="520">
        <f t="shared" si="999"/>
        <v>957.64</v>
      </c>
      <c r="M371" s="255">
        <f t="shared" si="1011"/>
        <v>957.64</v>
      </c>
      <c r="N371" s="520">
        <f t="shared" si="1001"/>
        <v>867.64</v>
      </c>
      <c r="O371" s="255">
        <f t="shared" si="1012"/>
        <v>867.64</v>
      </c>
      <c r="P371" s="520">
        <f t="shared" si="1003"/>
        <v>827.64</v>
      </c>
      <c r="Q371" s="255">
        <f t="shared" si="1013"/>
        <v>827.64</v>
      </c>
      <c r="R371" s="520">
        <f t="shared" si="1005"/>
        <v>807.64</v>
      </c>
      <c r="S371" s="255">
        <f t="shared" si="1014"/>
        <v>807.64</v>
      </c>
      <c r="T371" s="93">
        <f t="shared" si="1007"/>
        <v>792.64</v>
      </c>
      <c r="U371" s="234">
        <f t="shared" si="1015"/>
        <v>792.64</v>
      </c>
      <c r="V371" s="93">
        <f t="shared" si="1009"/>
        <v>782.64</v>
      </c>
      <c r="W371" s="234">
        <f t="shared" si="1016"/>
        <v>782.64</v>
      </c>
      <c r="X371" s="119"/>
      <c r="Y371" s="126"/>
      <c r="Z371" s="126"/>
      <c r="AA371" s="126"/>
      <c r="AB371" s="336">
        <v>2174</v>
      </c>
      <c r="AC371" s="63"/>
      <c r="AD371" s="21"/>
    </row>
    <row r="372" spans="1:34" ht="12.6" customHeight="1" x14ac:dyDescent="0.2">
      <c r="A372" s="88"/>
      <c r="B372" s="1147" t="s">
        <v>199</v>
      </c>
      <c r="C372" s="1148"/>
      <c r="D372" s="1148"/>
      <c r="E372" s="1149"/>
      <c r="F372" s="322">
        <f>0.466*X2</f>
        <v>717.64</v>
      </c>
      <c r="G372" s="269">
        <f>+F372*$X$1</f>
        <v>717.64</v>
      </c>
      <c r="H372" s="528"/>
      <c r="I372" s="528"/>
      <c r="J372" s="109"/>
      <c r="K372" s="256"/>
      <c r="L372" s="528">
        <f t="shared" si="999"/>
        <v>957.64</v>
      </c>
      <c r="M372" s="256">
        <f t="shared" si="1011"/>
        <v>957.64</v>
      </c>
      <c r="N372" s="528">
        <f t="shared" si="1001"/>
        <v>867.64</v>
      </c>
      <c r="O372" s="256">
        <f t="shared" si="1012"/>
        <v>867.64</v>
      </c>
      <c r="P372" s="528">
        <f t="shared" si="1003"/>
        <v>827.64</v>
      </c>
      <c r="Q372" s="256">
        <f t="shared" si="1013"/>
        <v>827.64</v>
      </c>
      <c r="R372" s="528">
        <f t="shared" si="1005"/>
        <v>807.64</v>
      </c>
      <c r="S372" s="256">
        <f t="shared" si="1014"/>
        <v>807.64</v>
      </c>
      <c r="T372" s="92">
        <f t="shared" si="1007"/>
        <v>792.64</v>
      </c>
      <c r="U372" s="269">
        <f t="shared" si="1015"/>
        <v>792.64</v>
      </c>
      <c r="V372" s="92">
        <f t="shared" si="1009"/>
        <v>782.64</v>
      </c>
      <c r="W372" s="269">
        <f t="shared" si="1016"/>
        <v>782.64</v>
      </c>
      <c r="X372" s="119"/>
      <c r="Y372" s="126"/>
      <c r="Z372" s="126"/>
      <c r="AA372" s="126"/>
      <c r="AB372" s="336" t="s">
        <v>302</v>
      </c>
      <c r="AC372" s="63"/>
      <c r="AD372" s="21"/>
    </row>
    <row r="373" spans="1:34" ht="12.6" customHeight="1" x14ac:dyDescent="0.2">
      <c r="A373" s="88"/>
      <c r="B373" s="654" t="s">
        <v>599</v>
      </c>
      <c r="C373" s="655"/>
      <c r="D373" s="655"/>
      <c r="E373" s="655"/>
      <c r="F373" s="321">
        <f>0.484*X2</f>
        <v>745.36</v>
      </c>
      <c r="G373" s="234">
        <f>+F373*$X$1</f>
        <v>745.36</v>
      </c>
      <c r="H373" s="520"/>
      <c r="I373" s="520"/>
      <c r="J373" s="110"/>
      <c r="K373" s="255"/>
      <c r="L373" s="520">
        <f t="shared" si="999"/>
        <v>985.36</v>
      </c>
      <c r="M373" s="255">
        <f t="shared" si="1011"/>
        <v>985.36</v>
      </c>
      <c r="N373" s="520">
        <f t="shared" si="1001"/>
        <v>895.36</v>
      </c>
      <c r="O373" s="255">
        <f t="shared" si="1012"/>
        <v>895.36</v>
      </c>
      <c r="P373" s="520">
        <f t="shared" si="1003"/>
        <v>855.36</v>
      </c>
      <c r="Q373" s="255">
        <f t="shared" si="1013"/>
        <v>855.36</v>
      </c>
      <c r="R373" s="520">
        <f t="shared" si="1005"/>
        <v>835.36</v>
      </c>
      <c r="S373" s="255">
        <f t="shared" si="1014"/>
        <v>835.36</v>
      </c>
      <c r="T373" s="93">
        <f t="shared" si="1007"/>
        <v>820.36</v>
      </c>
      <c r="U373" s="234">
        <f t="shared" si="1015"/>
        <v>820.36</v>
      </c>
      <c r="V373" s="93">
        <f t="shared" si="1009"/>
        <v>810.36</v>
      </c>
      <c r="W373" s="234">
        <f t="shared" si="1016"/>
        <v>810.36</v>
      </c>
      <c r="X373" s="119"/>
      <c r="Y373" s="126"/>
      <c r="Z373" s="126"/>
      <c r="AA373" s="126"/>
      <c r="AB373" s="336">
        <v>2180</v>
      </c>
      <c r="AC373" s="21"/>
      <c r="AD373" s="21"/>
    </row>
    <row r="374" spans="1:34" ht="12" customHeight="1" x14ac:dyDescent="0.2">
      <c r="A374" s="170"/>
      <c r="B374" s="1144" t="s">
        <v>200</v>
      </c>
      <c r="C374" s="1154"/>
      <c r="D374" s="1154"/>
      <c r="E374" s="1155"/>
      <c r="F374" s="451">
        <f>0.32*X2</f>
        <v>492.8</v>
      </c>
      <c r="G374" s="515">
        <f>+F374*$X$1</f>
        <v>492.8</v>
      </c>
      <c r="H374" s="617"/>
      <c r="I374" s="617"/>
      <c r="J374" s="570"/>
      <c r="K374" s="447"/>
      <c r="L374" s="617">
        <f t="shared" si="999"/>
        <v>732.8</v>
      </c>
      <c r="M374" s="447">
        <f t="shared" ref="M374:M387" si="1019">+L374*$X$1</f>
        <v>732.8</v>
      </c>
      <c r="N374" s="617">
        <f t="shared" si="1001"/>
        <v>642.79999999999995</v>
      </c>
      <c r="O374" s="447">
        <f t="shared" ref="O374:O387" si="1020">+N374*$X$1</f>
        <v>642.79999999999995</v>
      </c>
      <c r="P374" s="617"/>
      <c r="Q374" s="447"/>
      <c r="R374" s="617"/>
      <c r="S374" s="447"/>
      <c r="T374" s="516"/>
      <c r="U374" s="515"/>
      <c r="V374" s="516"/>
      <c r="W374" s="515"/>
      <c r="X374" s="119"/>
      <c r="Y374" s="119"/>
      <c r="Z374" s="119"/>
      <c r="AA374" s="119"/>
      <c r="AB374" s="336">
        <v>2184</v>
      </c>
    </row>
    <row r="375" spans="1:34" ht="12" customHeight="1" x14ac:dyDescent="0.2">
      <c r="A375" s="170"/>
      <c r="B375" s="657" t="s">
        <v>201</v>
      </c>
      <c r="C375" s="677"/>
      <c r="D375" s="677"/>
      <c r="E375" s="678"/>
      <c r="F375" s="321">
        <f>0.633*X2</f>
        <v>974.82</v>
      </c>
      <c r="G375" s="234">
        <f>+F375*$X$1</f>
        <v>974.82</v>
      </c>
      <c r="H375" s="520"/>
      <c r="I375" s="520"/>
      <c r="J375" s="110"/>
      <c r="K375" s="255"/>
      <c r="L375" s="520">
        <f t="shared" si="999"/>
        <v>1214.8200000000002</v>
      </c>
      <c r="M375" s="255">
        <f t="shared" si="1019"/>
        <v>1214.8200000000002</v>
      </c>
      <c r="N375" s="520">
        <f t="shared" si="1001"/>
        <v>1124.8200000000002</v>
      </c>
      <c r="O375" s="255">
        <f t="shared" si="1020"/>
        <v>1124.8200000000002</v>
      </c>
      <c r="P375" s="520">
        <f t="shared" ref="P375:P388" si="1021">F375+110</f>
        <v>1084.8200000000002</v>
      </c>
      <c r="Q375" s="255">
        <f t="shared" ref="Q375" si="1022">+P375*$X$1</f>
        <v>1084.8200000000002</v>
      </c>
      <c r="R375" s="520">
        <f t="shared" ref="R375:R388" si="1023">F375+90</f>
        <v>1064.8200000000002</v>
      </c>
      <c r="S375" s="255">
        <f t="shared" ref="S375" si="1024">+R375*$X$1</f>
        <v>1064.8200000000002</v>
      </c>
      <c r="T375" s="93">
        <f>F375+75</f>
        <v>1049.8200000000002</v>
      </c>
      <c r="U375" s="234">
        <f t="shared" ref="U375" si="1025">+T375*$X$1</f>
        <v>1049.8200000000002</v>
      </c>
      <c r="V375" s="93">
        <f>F375+65</f>
        <v>1039.8200000000002</v>
      </c>
      <c r="W375" s="234">
        <f t="shared" ref="W375" si="1026">+V375*$X$1</f>
        <v>1039.8200000000002</v>
      </c>
      <c r="X375" s="119"/>
      <c r="Y375" s="119"/>
      <c r="Z375" s="119"/>
      <c r="AA375" s="119"/>
      <c r="AB375" s="336" t="s">
        <v>202</v>
      </c>
    </row>
    <row r="376" spans="1:34" ht="12" customHeight="1" x14ac:dyDescent="0.2">
      <c r="A376" s="88"/>
      <c r="B376" s="640" t="s">
        <v>203</v>
      </c>
      <c r="C376" s="641"/>
      <c r="D376" s="641"/>
      <c r="E376" s="642"/>
      <c r="F376" s="322">
        <f>0.335*X2</f>
        <v>515.9</v>
      </c>
      <c r="G376" s="269">
        <f>+F376*$X$1</f>
        <v>515.9</v>
      </c>
      <c r="H376" s="528"/>
      <c r="I376" s="528"/>
      <c r="J376" s="109"/>
      <c r="K376" s="256"/>
      <c r="L376" s="528">
        <f t="shared" si="999"/>
        <v>755.9</v>
      </c>
      <c r="M376" s="256">
        <f t="shared" ref="M376:M377" si="1027">+L376*$X$1</f>
        <v>755.9</v>
      </c>
      <c r="N376" s="528">
        <f t="shared" si="1001"/>
        <v>665.9</v>
      </c>
      <c r="O376" s="256">
        <f t="shared" ref="O376:O377" si="1028">+N376*$X$1</f>
        <v>665.9</v>
      </c>
      <c r="P376" s="528">
        <f t="shared" si="1021"/>
        <v>625.9</v>
      </c>
      <c r="Q376" s="256">
        <f t="shared" ref="Q376:Q377" si="1029">+P376*$X$1</f>
        <v>625.9</v>
      </c>
      <c r="R376" s="528">
        <f t="shared" si="1023"/>
        <v>605.9</v>
      </c>
      <c r="S376" s="256">
        <f t="shared" ref="S376:S377" si="1030">+R376*$X$1</f>
        <v>605.9</v>
      </c>
      <c r="T376" s="92">
        <f>F376+75</f>
        <v>590.9</v>
      </c>
      <c r="U376" s="269">
        <f t="shared" ref="U376" si="1031">+T376*$X$1</f>
        <v>590.9</v>
      </c>
      <c r="V376" s="92"/>
      <c r="W376" s="269"/>
      <c r="X376" s="119"/>
      <c r="Y376" s="119"/>
      <c r="Z376" s="119"/>
      <c r="AA376" s="119"/>
      <c r="AB376" s="336">
        <v>2189</v>
      </c>
    </row>
    <row r="377" spans="1:34" ht="12.6" customHeight="1" x14ac:dyDescent="0.2">
      <c r="A377" s="88"/>
      <c r="B377" s="657" t="s">
        <v>204</v>
      </c>
      <c r="C377" s="677"/>
      <c r="D377" s="677"/>
      <c r="E377" s="678"/>
      <c r="F377" s="321">
        <f>0.54*X2</f>
        <v>831.6</v>
      </c>
      <c r="G377" s="234">
        <f t="shared" ref="G377" si="1032">+F377*$X$1</f>
        <v>831.6</v>
      </c>
      <c r="H377" s="520"/>
      <c r="I377" s="520"/>
      <c r="J377" s="110"/>
      <c r="K377" s="255"/>
      <c r="L377" s="520">
        <f t="shared" si="999"/>
        <v>1071.5999999999999</v>
      </c>
      <c r="M377" s="255">
        <f t="shared" si="1027"/>
        <v>1071.5999999999999</v>
      </c>
      <c r="N377" s="520">
        <f t="shared" si="1001"/>
        <v>981.6</v>
      </c>
      <c r="O377" s="255">
        <f t="shared" si="1028"/>
        <v>981.6</v>
      </c>
      <c r="P377" s="520">
        <f t="shared" si="1021"/>
        <v>941.6</v>
      </c>
      <c r="Q377" s="255">
        <f t="shared" si="1029"/>
        <v>941.6</v>
      </c>
      <c r="R377" s="520">
        <f t="shared" si="1023"/>
        <v>921.6</v>
      </c>
      <c r="S377" s="255">
        <f t="shared" si="1030"/>
        <v>921.6</v>
      </c>
      <c r="T377" s="93"/>
      <c r="U377" s="234"/>
      <c r="V377" s="93"/>
      <c r="W377" s="234"/>
      <c r="X377" s="119"/>
      <c r="Y377" s="119"/>
      <c r="Z377" s="119"/>
      <c r="AA377" s="119"/>
      <c r="AB377" s="336">
        <v>2190</v>
      </c>
    </row>
    <row r="378" spans="1:34" ht="12.6" customHeight="1" x14ac:dyDescent="0.2">
      <c r="A378" s="17"/>
      <c r="B378" s="647" t="s">
        <v>205</v>
      </c>
      <c r="C378" s="648"/>
      <c r="D378" s="648"/>
      <c r="E378" s="648"/>
      <c r="F378" s="322">
        <f>0.503*X2</f>
        <v>774.62</v>
      </c>
      <c r="G378" s="269">
        <f>+F378*$X$1</f>
        <v>774.62</v>
      </c>
      <c r="H378" s="528"/>
      <c r="I378" s="528"/>
      <c r="J378" s="109"/>
      <c r="K378" s="256"/>
      <c r="L378" s="528">
        <f t="shared" si="999"/>
        <v>1014.62</v>
      </c>
      <c r="M378" s="256">
        <f t="shared" si="1019"/>
        <v>1014.62</v>
      </c>
      <c r="N378" s="528">
        <f t="shared" si="1001"/>
        <v>924.62</v>
      </c>
      <c r="O378" s="256">
        <f t="shared" si="1020"/>
        <v>924.62</v>
      </c>
      <c r="P378" s="528">
        <f t="shared" si="1021"/>
        <v>884.62</v>
      </c>
      <c r="Q378" s="256">
        <f t="shared" ref="Q378:Q387" si="1033">+P378*$X$1</f>
        <v>884.62</v>
      </c>
      <c r="R378" s="528">
        <f t="shared" si="1023"/>
        <v>864.62</v>
      </c>
      <c r="S378" s="256">
        <f t="shared" ref="S378:S387" si="1034">+R378*$X$1</f>
        <v>864.62</v>
      </c>
      <c r="T378" s="92">
        <f t="shared" ref="T378:T388" si="1035">F378+75</f>
        <v>849.62</v>
      </c>
      <c r="U378" s="269">
        <f t="shared" ref="U378:U387" si="1036">+T378*$X$1</f>
        <v>849.62</v>
      </c>
      <c r="V378" s="92">
        <f t="shared" ref="V378:V386" si="1037">F378+65</f>
        <v>839.62</v>
      </c>
      <c r="W378" s="269">
        <f t="shared" ref="W378:W386" si="1038">+V378*$X$1</f>
        <v>839.62</v>
      </c>
      <c r="X378" s="119"/>
      <c r="Y378" s="119"/>
      <c r="Z378" s="119"/>
      <c r="AA378" s="119"/>
      <c r="AB378" s="336">
        <v>2194</v>
      </c>
    </row>
    <row r="379" spans="1:34" ht="12.6" customHeight="1" x14ac:dyDescent="0.2">
      <c r="A379" s="17"/>
      <c r="B379" s="1151" t="s">
        <v>206</v>
      </c>
      <c r="C379" s="1152"/>
      <c r="D379" s="1152"/>
      <c r="E379" s="1153"/>
      <c r="F379" s="321">
        <f>0.596*X2</f>
        <v>917.83999999999992</v>
      </c>
      <c r="G379" s="234">
        <f>+F379*$X$1</f>
        <v>917.83999999999992</v>
      </c>
      <c r="H379" s="520"/>
      <c r="I379" s="520"/>
      <c r="J379" s="110"/>
      <c r="K379" s="255"/>
      <c r="L379" s="520">
        <f t="shared" si="999"/>
        <v>1157.8399999999999</v>
      </c>
      <c r="M379" s="255">
        <f t="shared" si="1019"/>
        <v>1157.8399999999999</v>
      </c>
      <c r="N379" s="520">
        <f t="shared" si="1001"/>
        <v>1067.8399999999999</v>
      </c>
      <c r="O379" s="255">
        <f t="shared" si="1020"/>
        <v>1067.8399999999999</v>
      </c>
      <c r="P379" s="520">
        <f t="shared" si="1021"/>
        <v>1027.8399999999999</v>
      </c>
      <c r="Q379" s="255">
        <f t="shared" si="1033"/>
        <v>1027.8399999999999</v>
      </c>
      <c r="R379" s="520">
        <f t="shared" si="1023"/>
        <v>1007.8399999999999</v>
      </c>
      <c r="S379" s="255">
        <f t="shared" si="1034"/>
        <v>1007.8399999999999</v>
      </c>
      <c r="T379" s="93">
        <f t="shared" si="1035"/>
        <v>992.83999999999992</v>
      </c>
      <c r="U379" s="234">
        <f t="shared" si="1036"/>
        <v>992.83999999999992</v>
      </c>
      <c r="V379" s="93">
        <f t="shared" si="1037"/>
        <v>982.83999999999992</v>
      </c>
      <c r="W379" s="234">
        <f t="shared" si="1038"/>
        <v>982.83999999999992</v>
      </c>
      <c r="X379" s="119"/>
      <c r="Y379" s="119"/>
      <c r="Z379" s="119"/>
      <c r="AA379" s="119"/>
      <c r="AB379" s="336">
        <v>2195</v>
      </c>
    </row>
    <row r="380" spans="1:34" ht="12.6" customHeight="1" x14ac:dyDescent="0.2">
      <c r="A380" s="94"/>
      <c r="B380" s="647" t="s">
        <v>293</v>
      </c>
      <c r="C380" s="688"/>
      <c r="D380" s="688"/>
      <c r="E380" s="688"/>
      <c r="F380" s="322">
        <f>0.37*X2</f>
        <v>569.79999999999995</v>
      </c>
      <c r="G380" s="269">
        <f>+F380*$X$1</f>
        <v>569.79999999999995</v>
      </c>
      <c r="H380" s="528"/>
      <c r="I380" s="528"/>
      <c r="J380" s="528"/>
      <c r="K380" s="256"/>
      <c r="L380" s="528">
        <f t="shared" si="999"/>
        <v>809.8</v>
      </c>
      <c r="M380" s="256">
        <f t="shared" si="1019"/>
        <v>809.8</v>
      </c>
      <c r="N380" s="528">
        <f t="shared" si="1001"/>
        <v>719.8</v>
      </c>
      <c r="O380" s="256">
        <f t="shared" si="1020"/>
        <v>719.8</v>
      </c>
      <c r="P380" s="528">
        <f t="shared" si="1021"/>
        <v>679.8</v>
      </c>
      <c r="Q380" s="256">
        <f t="shared" si="1033"/>
        <v>679.8</v>
      </c>
      <c r="R380" s="528">
        <f t="shared" si="1023"/>
        <v>659.8</v>
      </c>
      <c r="S380" s="256">
        <f t="shared" si="1034"/>
        <v>659.8</v>
      </c>
      <c r="T380" s="92">
        <f t="shared" si="1035"/>
        <v>644.79999999999995</v>
      </c>
      <c r="U380" s="269">
        <f t="shared" si="1036"/>
        <v>644.79999999999995</v>
      </c>
      <c r="V380" s="92">
        <f t="shared" si="1037"/>
        <v>634.79999999999995</v>
      </c>
      <c r="W380" s="269">
        <f t="shared" si="1038"/>
        <v>634.79999999999995</v>
      </c>
      <c r="X380" s="140"/>
      <c r="Y380" s="119"/>
      <c r="Z380" s="119"/>
      <c r="AA380" s="119"/>
      <c r="AB380" s="336">
        <v>2202</v>
      </c>
    </row>
    <row r="381" spans="1:34" ht="12.6" customHeight="1" x14ac:dyDescent="0.2">
      <c r="A381" s="94"/>
      <c r="B381" s="654" t="s">
        <v>294</v>
      </c>
      <c r="C381" s="725"/>
      <c r="D381" s="725"/>
      <c r="E381" s="725"/>
      <c r="F381" s="321">
        <f>0.37*X2</f>
        <v>569.79999999999995</v>
      </c>
      <c r="G381" s="234">
        <f t="shared" ref="G381:G385" si="1039">+F381*$X$1</f>
        <v>569.79999999999995</v>
      </c>
      <c r="H381" s="520"/>
      <c r="I381" s="520"/>
      <c r="J381" s="520"/>
      <c r="K381" s="255"/>
      <c r="L381" s="520">
        <f t="shared" si="999"/>
        <v>809.8</v>
      </c>
      <c r="M381" s="255">
        <f t="shared" si="1019"/>
        <v>809.8</v>
      </c>
      <c r="N381" s="520">
        <f t="shared" si="1001"/>
        <v>719.8</v>
      </c>
      <c r="O381" s="255">
        <f t="shared" si="1020"/>
        <v>719.8</v>
      </c>
      <c r="P381" s="520">
        <f t="shared" si="1021"/>
        <v>679.8</v>
      </c>
      <c r="Q381" s="255">
        <f t="shared" si="1033"/>
        <v>679.8</v>
      </c>
      <c r="R381" s="520">
        <f t="shared" si="1023"/>
        <v>659.8</v>
      </c>
      <c r="S381" s="255">
        <f t="shared" si="1034"/>
        <v>659.8</v>
      </c>
      <c r="T381" s="93">
        <f t="shared" si="1035"/>
        <v>644.79999999999995</v>
      </c>
      <c r="U381" s="234">
        <f t="shared" si="1036"/>
        <v>644.79999999999995</v>
      </c>
      <c r="V381" s="93">
        <f t="shared" si="1037"/>
        <v>634.79999999999995</v>
      </c>
      <c r="W381" s="234">
        <f t="shared" si="1038"/>
        <v>634.79999999999995</v>
      </c>
      <c r="X381" s="119"/>
      <c r="Y381" s="119"/>
      <c r="Z381" s="119"/>
      <c r="AA381" s="119"/>
      <c r="AB381" s="336" t="s">
        <v>207</v>
      </c>
    </row>
    <row r="382" spans="1:34" ht="12.6" customHeight="1" x14ac:dyDescent="0.2">
      <c r="A382" s="94"/>
      <c r="B382" s="647" t="s">
        <v>295</v>
      </c>
      <c r="C382" s="688"/>
      <c r="D382" s="688"/>
      <c r="E382" s="688"/>
      <c r="F382" s="322">
        <f>0.37*X2</f>
        <v>569.79999999999995</v>
      </c>
      <c r="G382" s="269">
        <f t="shared" ref="G382:G386" si="1040">+F382*$X$1</f>
        <v>569.79999999999995</v>
      </c>
      <c r="H382" s="528"/>
      <c r="I382" s="528"/>
      <c r="J382" s="528"/>
      <c r="K382" s="280"/>
      <c r="L382" s="528">
        <f t="shared" si="999"/>
        <v>809.8</v>
      </c>
      <c r="M382" s="256">
        <f t="shared" si="1019"/>
        <v>809.8</v>
      </c>
      <c r="N382" s="528">
        <f t="shared" si="1001"/>
        <v>719.8</v>
      </c>
      <c r="O382" s="256">
        <f t="shared" si="1020"/>
        <v>719.8</v>
      </c>
      <c r="P382" s="528">
        <f t="shared" si="1021"/>
        <v>679.8</v>
      </c>
      <c r="Q382" s="256">
        <f t="shared" si="1033"/>
        <v>679.8</v>
      </c>
      <c r="R382" s="528">
        <f t="shared" si="1023"/>
        <v>659.8</v>
      </c>
      <c r="S382" s="256">
        <f t="shared" si="1034"/>
        <v>659.8</v>
      </c>
      <c r="T382" s="92">
        <f t="shared" si="1035"/>
        <v>644.79999999999995</v>
      </c>
      <c r="U382" s="269">
        <f t="shared" si="1036"/>
        <v>644.79999999999995</v>
      </c>
      <c r="V382" s="92">
        <f t="shared" si="1037"/>
        <v>634.79999999999995</v>
      </c>
      <c r="W382" s="269">
        <f t="shared" si="1038"/>
        <v>634.79999999999995</v>
      </c>
      <c r="X382" s="119"/>
      <c r="Y382" s="119"/>
      <c r="Z382" s="119"/>
      <c r="AA382" s="119"/>
      <c r="AB382" s="336" t="s">
        <v>208</v>
      </c>
    </row>
    <row r="383" spans="1:34" ht="12.6" customHeight="1" x14ac:dyDescent="0.2">
      <c r="A383" s="94"/>
      <c r="B383" s="654" t="s">
        <v>738</v>
      </c>
      <c r="C383" s="725"/>
      <c r="D383" s="725"/>
      <c r="E383" s="725"/>
      <c r="F383" s="321">
        <f>0.37*X2</f>
        <v>569.79999999999995</v>
      </c>
      <c r="G383" s="234">
        <f t="shared" ref="G383" si="1041">+F383*$X$1</f>
        <v>569.79999999999995</v>
      </c>
      <c r="H383" s="520"/>
      <c r="I383" s="520"/>
      <c r="J383" s="520"/>
      <c r="K383" s="270"/>
      <c r="L383" s="520">
        <f t="shared" si="999"/>
        <v>809.8</v>
      </c>
      <c r="M383" s="255">
        <f t="shared" si="1019"/>
        <v>809.8</v>
      </c>
      <c r="N383" s="520">
        <f t="shared" si="1001"/>
        <v>719.8</v>
      </c>
      <c r="O383" s="255">
        <f t="shared" si="1020"/>
        <v>719.8</v>
      </c>
      <c r="P383" s="520">
        <f t="shared" si="1021"/>
        <v>679.8</v>
      </c>
      <c r="Q383" s="255">
        <f t="shared" si="1033"/>
        <v>679.8</v>
      </c>
      <c r="R383" s="520">
        <f t="shared" si="1023"/>
        <v>659.8</v>
      </c>
      <c r="S383" s="255">
        <f t="shared" si="1034"/>
        <v>659.8</v>
      </c>
      <c r="T383" s="93">
        <f t="shared" si="1035"/>
        <v>644.79999999999995</v>
      </c>
      <c r="U383" s="234">
        <f t="shared" si="1036"/>
        <v>644.79999999999995</v>
      </c>
      <c r="V383" s="93">
        <f t="shared" si="1037"/>
        <v>634.79999999999995</v>
      </c>
      <c r="W383" s="234">
        <f t="shared" si="1038"/>
        <v>634.79999999999995</v>
      </c>
      <c r="X383" s="119"/>
      <c r="Y383" s="119"/>
      <c r="Z383" s="119"/>
      <c r="AA383" s="119"/>
      <c r="AB383" s="432" t="s">
        <v>737</v>
      </c>
    </row>
    <row r="384" spans="1:34" ht="12.6" customHeight="1" x14ac:dyDescent="0.2">
      <c r="A384" s="94"/>
      <c r="B384" s="726" t="s">
        <v>561</v>
      </c>
      <c r="C384" s="1141"/>
      <c r="D384" s="1141"/>
      <c r="E384" s="1142"/>
      <c r="F384" s="322">
        <f>0.47*X2</f>
        <v>723.8</v>
      </c>
      <c r="G384" s="269">
        <f t="shared" si="1040"/>
        <v>723.8</v>
      </c>
      <c r="H384" s="528"/>
      <c r="I384" s="528"/>
      <c r="J384" s="528"/>
      <c r="K384" s="256"/>
      <c r="L384" s="528">
        <f t="shared" si="999"/>
        <v>963.8</v>
      </c>
      <c r="M384" s="256">
        <f t="shared" si="1019"/>
        <v>963.8</v>
      </c>
      <c r="N384" s="528">
        <f t="shared" si="1001"/>
        <v>873.8</v>
      </c>
      <c r="O384" s="256">
        <f t="shared" si="1020"/>
        <v>873.8</v>
      </c>
      <c r="P384" s="528">
        <f t="shared" si="1021"/>
        <v>833.8</v>
      </c>
      <c r="Q384" s="256">
        <f t="shared" si="1033"/>
        <v>833.8</v>
      </c>
      <c r="R384" s="528">
        <f t="shared" si="1023"/>
        <v>813.8</v>
      </c>
      <c r="S384" s="256">
        <f t="shared" si="1034"/>
        <v>813.8</v>
      </c>
      <c r="T384" s="92">
        <f t="shared" si="1035"/>
        <v>798.8</v>
      </c>
      <c r="U384" s="269">
        <f t="shared" si="1036"/>
        <v>798.8</v>
      </c>
      <c r="V384" s="92">
        <f t="shared" si="1037"/>
        <v>788.8</v>
      </c>
      <c r="W384" s="269">
        <f t="shared" si="1038"/>
        <v>788.8</v>
      </c>
      <c r="X384" s="632"/>
      <c r="Y384" s="632"/>
      <c r="Z384" s="632"/>
      <c r="AA384" s="634"/>
      <c r="AB384" s="336" t="s">
        <v>565</v>
      </c>
      <c r="AC384" s="62"/>
      <c r="AE384" s="80"/>
    </row>
    <row r="385" spans="1:34" ht="12.6" customHeight="1" x14ac:dyDescent="0.2">
      <c r="A385" s="94"/>
      <c r="B385" s="722" t="s">
        <v>209</v>
      </c>
      <c r="C385" s="1138"/>
      <c r="D385" s="1138"/>
      <c r="E385" s="1139"/>
      <c r="F385" s="321">
        <f>0.55*X2</f>
        <v>847.00000000000011</v>
      </c>
      <c r="G385" s="234">
        <f t="shared" si="1039"/>
        <v>847.00000000000011</v>
      </c>
      <c r="H385" s="520"/>
      <c r="I385" s="520"/>
      <c r="J385" s="520"/>
      <c r="K385" s="255"/>
      <c r="L385" s="520">
        <f t="shared" si="999"/>
        <v>1087</v>
      </c>
      <c r="M385" s="255">
        <f t="shared" si="1019"/>
        <v>1087</v>
      </c>
      <c r="N385" s="520">
        <f t="shared" si="1001"/>
        <v>997.00000000000011</v>
      </c>
      <c r="O385" s="255">
        <f t="shared" si="1020"/>
        <v>997.00000000000011</v>
      </c>
      <c r="P385" s="520">
        <f t="shared" si="1021"/>
        <v>957.00000000000011</v>
      </c>
      <c r="Q385" s="255">
        <f t="shared" si="1033"/>
        <v>957.00000000000011</v>
      </c>
      <c r="R385" s="520">
        <f t="shared" si="1023"/>
        <v>937.00000000000011</v>
      </c>
      <c r="S385" s="255">
        <f t="shared" si="1034"/>
        <v>937.00000000000011</v>
      </c>
      <c r="T385" s="93">
        <f t="shared" si="1035"/>
        <v>922.00000000000011</v>
      </c>
      <c r="U385" s="234">
        <f t="shared" si="1036"/>
        <v>922.00000000000011</v>
      </c>
      <c r="V385" s="93">
        <f t="shared" si="1037"/>
        <v>912.00000000000011</v>
      </c>
      <c r="W385" s="234">
        <f t="shared" si="1038"/>
        <v>912.00000000000011</v>
      </c>
      <c r="X385" s="632"/>
      <c r="Y385" s="632"/>
      <c r="Z385" s="632"/>
      <c r="AA385" s="634"/>
      <c r="AB385" s="336" t="s">
        <v>210</v>
      </c>
      <c r="AC385" s="62"/>
      <c r="AE385" s="80"/>
    </row>
    <row r="386" spans="1:34" ht="12.6" customHeight="1" x14ac:dyDescent="0.2">
      <c r="A386" s="88"/>
      <c r="B386" s="726" t="s">
        <v>211</v>
      </c>
      <c r="C386" s="1183"/>
      <c r="D386" s="1183"/>
      <c r="E386" s="1184"/>
      <c r="F386" s="322">
        <f>0.596*X2</f>
        <v>917.83999999999992</v>
      </c>
      <c r="G386" s="269">
        <f t="shared" si="1040"/>
        <v>917.83999999999992</v>
      </c>
      <c r="H386" s="528"/>
      <c r="I386" s="528"/>
      <c r="J386" s="528"/>
      <c r="K386" s="256"/>
      <c r="L386" s="528">
        <f t="shared" si="999"/>
        <v>1157.8399999999999</v>
      </c>
      <c r="M386" s="256">
        <f t="shared" si="1019"/>
        <v>1157.8399999999999</v>
      </c>
      <c r="N386" s="528">
        <f t="shared" si="1001"/>
        <v>1067.8399999999999</v>
      </c>
      <c r="O386" s="256">
        <f t="shared" si="1020"/>
        <v>1067.8399999999999</v>
      </c>
      <c r="P386" s="528">
        <f t="shared" si="1021"/>
        <v>1027.8399999999999</v>
      </c>
      <c r="Q386" s="256">
        <f t="shared" si="1033"/>
        <v>1027.8399999999999</v>
      </c>
      <c r="R386" s="528">
        <f t="shared" si="1023"/>
        <v>1007.8399999999999</v>
      </c>
      <c r="S386" s="256">
        <f t="shared" si="1034"/>
        <v>1007.8399999999999</v>
      </c>
      <c r="T386" s="92">
        <f t="shared" si="1035"/>
        <v>992.83999999999992</v>
      </c>
      <c r="U386" s="269">
        <f t="shared" si="1036"/>
        <v>992.83999999999992</v>
      </c>
      <c r="V386" s="92">
        <f t="shared" si="1037"/>
        <v>982.83999999999992</v>
      </c>
      <c r="W386" s="269">
        <f t="shared" si="1038"/>
        <v>982.83999999999992</v>
      </c>
      <c r="X386" s="156"/>
      <c r="Y386" s="119"/>
      <c r="Z386" s="119"/>
      <c r="AA386" s="119"/>
      <c r="AB386" s="336">
        <v>2203</v>
      </c>
      <c r="AC386" s="210"/>
    </row>
    <row r="387" spans="1:34" ht="12.6" customHeight="1" x14ac:dyDescent="0.2">
      <c r="A387" s="88"/>
      <c r="B387" s="699" t="s">
        <v>212</v>
      </c>
      <c r="C387" s="1140"/>
      <c r="D387" s="1140"/>
      <c r="E387" s="1140"/>
      <c r="F387" s="321">
        <f>0.708*X2</f>
        <v>1090.32</v>
      </c>
      <c r="G387" s="234">
        <f>+F387*$X$1</f>
        <v>1090.32</v>
      </c>
      <c r="H387" s="520"/>
      <c r="I387" s="520"/>
      <c r="J387" s="520"/>
      <c r="K387" s="255"/>
      <c r="L387" s="520">
        <f t="shared" si="999"/>
        <v>1330.32</v>
      </c>
      <c r="M387" s="255">
        <f t="shared" si="1019"/>
        <v>1330.32</v>
      </c>
      <c r="N387" s="520">
        <f t="shared" si="1001"/>
        <v>1240.32</v>
      </c>
      <c r="O387" s="255">
        <f t="shared" si="1020"/>
        <v>1240.32</v>
      </c>
      <c r="P387" s="520">
        <f t="shared" si="1021"/>
        <v>1200.32</v>
      </c>
      <c r="Q387" s="255">
        <f t="shared" si="1033"/>
        <v>1200.32</v>
      </c>
      <c r="R387" s="520">
        <f t="shared" si="1023"/>
        <v>1180.32</v>
      </c>
      <c r="S387" s="255">
        <f t="shared" si="1034"/>
        <v>1180.32</v>
      </c>
      <c r="T387" s="93">
        <f t="shared" si="1035"/>
        <v>1165.32</v>
      </c>
      <c r="U387" s="234">
        <f t="shared" si="1036"/>
        <v>1165.32</v>
      </c>
      <c r="V387" s="93"/>
      <c r="W387" s="234"/>
      <c r="X387" s="157"/>
      <c r="Y387" s="122"/>
      <c r="Z387" s="122"/>
      <c r="AA387" s="125"/>
      <c r="AB387" s="336">
        <v>2205</v>
      </c>
      <c r="AC387" s="62"/>
    </row>
    <row r="388" spans="1:34" ht="12.6" customHeight="1" x14ac:dyDescent="0.2">
      <c r="A388" s="88"/>
      <c r="B388" s="647" t="s">
        <v>213</v>
      </c>
      <c r="C388" s="688"/>
      <c r="D388" s="688"/>
      <c r="E388" s="688"/>
      <c r="F388" s="322">
        <f>0.428*X2</f>
        <v>659.12</v>
      </c>
      <c r="G388" s="269">
        <f>+F388*$X$1</f>
        <v>659.12</v>
      </c>
      <c r="H388" s="528"/>
      <c r="I388" s="528"/>
      <c r="J388" s="528"/>
      <c r="K388" s="256"/>
      <c r="L388" s="528">
        <f t="shared" si="999"/>
        <v>899.12</v>
      </c>
      <c r="M388" s="256">
        <f t="shared" ref="M388" si="1042">+L388*$X$1</f>
        <v>899.12</v>
      </c>
      <c r="N388" s="528">
        <f t="shared" si="1001"/>
        <v>809.12</v>
      </c>
      <c r="O388" s="256">
        <f t="shared" ref="O388" si="1043">+N388*$X$1</f>
        <v>809.12</v>
      </c>
      <c r="P388" s="528">
        <f t="shared" si="1021"/>
        <v>769.12</v>
      </c>
      <c r="Q388" s="256">
        <f t="shared" ref="Q388" si="1044">+P388*$X$1</f>
        <v>769.12</v>
      </c>
      <c r="R388" s="528">
        <f t="shared" si="1023"/>
        <v>749.12</v>
      </c>
      <c r="S388" s="256">
        <f t="shared" ref="S388" si="1045">+R388*$X$1</f>
        <v>749.12</v>
      </c>
      <c r="T388" s="92">
        <f t="shared" si="1035"/>
        <v>734.12</v>
      </c>
      <c r="U388" s="269">
        <f t="shared" ref="U388" si="1046">+T388*$X$1</f>
        <v>734.12</v>
      </c>
      <c r="V388" s="92">
        <f>F388+65</f>
        <v>724.12</v>
      </c>
      <c r="W388" s="269">
        <f t="shared" ref="W388" si="1047">+V388*$X$1</f>
        <v>724.12</v>
      </c>
      <c r="X388" s="122"/>
      <c r="Y388" s="122"/>
      <c r="Z388" s="122"/>
      <c r="AA388" s="125"/>
      <c r="AB388" s="336">
        <v>2207</v>
      </c>
    </row>
    <row r="389" spans="1:34" ht="12.6" customHeight="1" x14ac:dyDescent="0.2">
      <c r="A389" s="94"/>
      <c r="B389" s="691" t="s">
        <v>323</v>
      </c>
      <c r="C389" s="692"/>
      <c r="D389" s="692"/>
      <c r="E389" s="692"/>
      <c r="F389" s="451">
        <v>1350</v>
      </c>
      <c r="G389" s="447">
        <f>+F389*$X$1</f>
        <v>1350</v>
      </c>
      <c r="H389" s="617">
        <f>F389+700</f>
        <v>2050</v>
      </c>
      <c r="I389" s="447">
        <f t="shared" ref="I389" si="1048">+H389*$X$1</f>
        <v>2050</v>
      </c>
      <c r="J389" s="617">
        <f>F389+220</f>
        <v>1570</v>
      </c>
      <c r="K389" s="447">
        <f t="shared" ref="K389" si="1049">+J389*$X$1</f>
        <v>1570</v>
      </c>
      <c r="L389" s="617">
        <f>F389+170</f>
        <v>1520</v>
      </c>
      <c r="M389" s="447">
        <f t="shared" ref="M389:M393" si="1050">+L389*$X$1</f>
        <v>1520</v>
      </c>
      <c r="N389" s="617">
        <f>F389+130</f>
        <v>1480</v>
      </c>
      <c r="O389" s="447">
        <f>+N389*$X$1</f>
        <v>1480</v>
      </c>
      <c r="P389" s="449"/>
      <c r="Q389" s="1165" t="s">
        <v>138</v>
      </c>
      <c r="R389" s="1166"/>
      <c r="S389" s="1166"/>
      <c r="T389" s="1166"/>
      <c r="U389" s="1166"/>
      <c r="V389" s="1166"/>
      <c r="W389" s="1167"/>
      <c r="X389" s="637"/>
      <c r="Y389" s="632"/>
      <c r="Z389" s="632"/>
      <c r="AA389" s="634"/>
      <c r="AB389" s="336">
        <v>2222</v>
      </c>
    </row>
    <row r="390" spans="1:34" ht="12.6" customHeight="1" x14ac:dyDescent="0.2">
      <c r="A390" s="17"/>
      <c r="B390" s="722" t="s">
        <v>605</v>
      </c>
      <c r="C390" s="723"/>
      <c r="D390" s="723"/>
      <c r="E390" s="724"/>
      <c r="F390" s="324">
        <f>0.501*X2</f>
        <v>771.54</v>
      </c>
      <c r="G390" s="255">
        <f t="shared" ref="G390" si="1051">+F390*$X$1</f>
        <v>771.54</v>
      </c>
      <c r="H390" s="251"/>
      <c r="I390" s="251"/>
      <c r="J390" s="520"/>
      <c r="K390" s="520"/>
      <c r="L390" s="520">
        <f>F390+240</f>
        <v>1011.54</v>
      </c>
      <c r="M390" s="255">
        <f t="shared" si="1050"/>
        <v>1011.54</v>
      </c>
      <c r="N390" s="520">
        <f>F390+150</f>
        <v>921.54</v>
      </c>
      <c r="O390" s="255">
        <f t="shared" ref="O390:O393" si="1052">+N390*$X$1</f>
        <v>921.54</v>
      </c>
      <c r="P390" s="520">
        <f>F390+110</f>
        <v>881.54</v>
      </c>
      <c r="Q390" s="255">
        <f t="shared" ref="Q390:Q393" si="1053">+P390*$X$1</f>
        <v>881.54</v>
      </c>
      <c r="R390" s="520">
        <f>F390+90</f>
        <v>861.54</v>
      </c>
      <c r="S390" s="255">
        <f t="shared" ref="S390:S393" si="1054">+R390*$X$1</f>
        <v>861.54</v>
      </c>
      <c r="T390" s="93">
        <f>F390+75</f>
        <v>846.54</v>
      </c>
      <c r="U390" s="234">
        <f t="shared" ref="U390:U393" si="1055">+T390*$X$1</f>
        <v>846.54</v>
      </c>
      <c r="V390" s="93">
        <f>F390+65</f>
        <v>836.54</v>
      </c>
      <c r="W390" s="234">
        <f t="shared" ref="W390:W393" si="1056">+V390*$X$1</f>
        <v>836.54</v>
      </c>
      <c r="X390" s="374"/>
      <c r="Y390" s="373"/>
      <c r="Z390" s="373"/>
      <c r="AA390" s="374"/>
      <c r="AB390" s="336">
        <v>2231</v>
      </c>
      <c r="AC390" s="62"/>
    </row>
    <row r="391" spans="1:34" ht="12.6" customHeight="1" x14ac:dyDescent="0.2">
      <c r="A391" s="17"/>
      <c r="B391" s="726" t="s">
        <v>613</v>
      </c>
      <c r="C391" s="727"/>
      <c r="D391" s="727"/>
      <c r="E391" s="728"/>
      <c r="F391" s="323">
        <f>0.536*X2</f>
        <v>825.44</v>
      </c>
      <c r="G391" s="256">
        <f t="shared" ref="G391" si="1057">+F391*$X$1</f>
        <v>825.44</v>
      </c>
      <c r="H391" s="250"/>
      <c r="I391" s="250"/>
      <c r="J391" s="528"/>
      <c r="K391" s="528"/>
      <c r="L391" s="528">
        <f>F391+240</f>
        <v>1065.44</v>
      </c>
      <c r="M391" s="256">
        <f t="shared" si="1050"/>
        <v>1065.44</v>
      </c>
      <c r="N391" s="528">
        <f>F391+150</f>
        <v>975.44</v>
      </c>
      <c r="O391" s="256">
        <f t="shared" si="1052"/>
        <v>975.44</v>
      </c>
      <c r="P391" s="528">
        <f>F391+110</f>
        <v>935.44</v>
      </c>
      <c r="Q391" s="256">
        <f t="shared" si="1053"/>
        <v>935.44</v>
      </c>
      <c r="R391" s="528">
        <f>F391+90</f>
        <v>915.44</v>
      </c>
      <c r="S391" s="256">
        <f t="shared" si="1054"/>
        <v>915.44</v>
      </c>
      <c r="T391" s="92">
        <f>F391+75</f>
        <v>900.44</v>
      </c>
      <c r="U391" s="269">
        <f t="shared" si="1055"/>
        <v>900.44</v>
      </c>
      <c r="V391" s="92">
        <f>F391+65</f>
        <v>890.44</v>
      </c>
      <c r="W391" s="269">
        <f t="shared" si="1056"/>
        <v>890.44</v>
      </c>
      <c r="X391" s="379"/>
      <c r="Y391" s="378"/>
      <c r="Z391" s="378"/>
      <c r="AA391" s="379"/>
      <c r="AB391" s="336">
        <v>2232</v>
      </c>
      <c r="AC391" s="62"/>
    </row>
    <row r="392" spans="1:34" ht="12.6" customHeight="1" x14ac:dyDescent="0.2">
      <c r="A392" s="17"/>
      <c r="B392" s="722" t="s">
        <v>676</v>
      </c>
      <c r="C392" s="723"/>
      <c r="D392" s="723"/>
      <c r="E392" s="724"/>
      <c r="F392" s="324">
        <f>0.98*X2</f>
        <v>1509.2</v>
      </c>
      <c r="G392" s="255">
        <f t="shared" ref="G392" si="1058">+F392*$X$1</f>
        <v>1509.2</v>
      </c>
      <c r="H392" s="251"/>
      <c r="I392" s="251"/>
      <c r="J392" s="520"/>
      <c r="K392" s="520"/>
      <c r="L392" s="520">
        <f>F392+240</f>
        <v>1749.2</v>
      </c>
      <c r="M392" s="255">
        <f t="shared" si="1050"/>
        <v>1749.2</v>
      </c>
      <c r="N392" s="520">
        <f>F392+150</f>
        <v>1659.2</v>
      </c>
      <c r="O392" s="255">
        <f t="shared" si="1052"/>
        <v>1659.2</v>
      </c>
      <c r="P392" s="520">
        <f>F392+110</f>
        <v>1619.2</v>
      </c>
      <c r="Q392" s="255">
        <f t="shared" si="1053"/>
        <v>1619.2</v>
      </c>
      <c r="R392" s="520">
        <f>F392+90</f>
        <v>1599.2</v>
      </c>
      <c r="S392" s="255">
        <f t="shared" si="1054"/>
        <v>1599.2</v>
      </c>
      <c r="T392" s="93">
        <f>F392+75</f>
        <v>1584.2</v>
      </c>
      <c r="U392" s="234">
        <f t="shared" si="1055"/>
        <v>1584.2</v>
      </c>
      <c r="V392" s="93">
        <f>F392+65</f>
        <v>1574.2</v>
      </c>
      <c r="W392" s="234">
        <f t="shared" si="1056"/>
        <v>1574.2</v>
      </c>
      <c r="X392" s="379"/>
      <c r="Y392" s="378"/>
      <c r="Z392" s="378"/>
      <c r="AA392" s="379"/>
      <c r="AB392" s="336">
        <v>2233</v>
      </c>
      <c r="AC392" s="62"/>
    </row>
    <row r="393" spans="1:34" ht="12.6" customHeight="1" x14ac:dyDescent="0.2">
      <c r="A393" s="88"/>
      <c r="B393" s="691" t="s">
        <v>677</v>
      </c>
      <c r="C393" s="1150"/>
      <c r="D393" s="1150"/>
      <c r="E393" s="1150"/>
      <c r="F393" s="451">
        <f>0.25*X2</f>
        <v>385</v>
      </c>
      <c r="G393" s="447">
        <f t="shared" ref="G393:G394" si="1059">+F393*$X$1</f>
        <v>385</v>
      </c>
      <c r="H393" s="617"/>
      <c r="I393" s="447"/>
      <c r="J393" s="617"/>
      <c r="K393" s="447"/>
      <c r="L393" s="617">
        <f>F393+360</f>
        <v>745</v>
      </c>
      <c r="M393" s="447">
        <f t="shared" si="1050"/>
        <v>745</v>
      </c>
      <c r="N393" s="617">
        <f>F393+225</f>
        <v>610</v>
      </c>
      <c r="O393" s="447">
        <f t="shared" si="1052"/>
        <v>610</v>
      </c>
      <c r="P393" s="617">
        <f>F393+165</f>
        <v>550</v>
      </c>
      <c r="Q393" s="447">
        <f t="shared" si="1053"/>
        <v>550</v>
      </c>
      <c r="R393" s="617">
        <f>F393+135</f>
        <v>520</v>
      </c>
      <c r="S393" s="447">
        <f t="shared" si="1054"/>
        <v>520</v>
      </c>
      <c r="T393" s="516">
        <f>F393+110</f>
        <v>495</v>
      </c>
      <c r="U393" s="515">
        <f t="shared" si="1055"/>
        <v>495</v>
      </c>
      <c r="V393" s="516">
        <f>F393+100</f>
        <v>485</v>
      </c>
      <c r="W393" s="515">
        <f t="shared" si="1056"/>
        <v>485</v>
      </c>
      <c r="X393" s="126"/>
      <c r="Y393" s="122"/>
      <c r="Z393" s="122"/>
      <c r="AA393" s="125"/>
      <c r="AB393" s="336">
        <v>2234</v>
      </c>
    </row>
    <row r="394" spans="1:34" ht="12.6" customHeight="1" x14ac:dyDescent="0.2">
      <c r="A394" s="88"/>
      <c r="B394" s="654" t="s">
        <v>678</v>
      </c>
      <c r="C394" s="775"/>
      <c r="D394" s="775"/>
      <c r="E394" s="775"/>
      <c r="F394" s="321">
        <f>0.447*X2</f>
        <v>688.38</v>
      </c>
      <c r="G394" s="255">
        <f t="shared" si="1059"/>
        <v>688.38</v>
      </c>
      <c r="H394" s="251"/>
      <c r="I394" s="300"/>
      <c r="J394" s="520"/>
      <c r="K394" s="255"/>
      <c r="L394" s="520">
        <f>F394+360</f>
        <v>1048.3800000000001</v>
      </c>
      <c r="M394" s="255">
        <f t="shared" ref="M394" si="1060">+L394*$X$1</f>
        <v>1048.3800000000001</v>
      </c>
      <c r="N394" s="520">
        <f>F394+225</f>
        <v>913.38</v>
      </c>
      <c r="O394" s="255">
        <f t="shared" ref="O394" si="1061">+N394*$X$1</f>
        <v>913.38</v>
      </c>
      <c r="P394" s="520">
        <f>F394+165</f>
        <v>853.38</v>
      </c>
      <c r="Q394" s="255">
        <f t="shared" ref="Q394" si="1062">+P394*$X$1</f>
        <v>853.38</v>
      </c>
      <c r="R394" s="520">
        <f>F394+135</f>
        <v>823.38</v>
      </c>
      <c r="S394" s="255">
        <f t="shared" ref="S394" si="1063">+R394*$X$1</f>
        <v>823.38</v>
      </c>
      <c r="T394" s="93">
        <f>F394+110</f>
        <v>798.38</v>
      </c>
      <c r="U394" s="234">
        <f t="shared" ref="U394" si="1064">+T394*$X$1</f>
        <v>798.38</v>
      </c>
      <c r="V394" s="93">
        <f>F394+100</f>
        <v>788.38</v>
      </c>
      <c r="W394" s="234">
        <f t="shared" ref="W394" si="1065">+V394*$X$1</f>
        <v>788.38</v>
      </c>
      <c r="X394" s="126"/>
      <c r="Y394" s="122"/>
      <c r="Z394" s="122"/>
      <c r="AA394" s="125"/>
      <c r="AB394" s="336" t="s">
        <v>214</v>
      </c>
    </row>
    <row r="395" spans="1:34" s="4" customFormat="1" ht="12.6" customHeight="1" x14ac:dyDescent="0.2">
      <c r="A395" s="18"/>
      <c r="B395" s="16"/>
      <c r="C395" s="12"/>
      <c r="D395" s="12"/>
      <c r="E395" s="12"/>
      <c r="F395" s="55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7"/>
      <c r="B398" s="679" t="s">
        <v>11</v>
      </c>
      <c r="C398" s="708" t="s">
        <v>12</v>
      </c>
      <c r="D398" s="709"/>
      <c r="E398" s="709"/>
      <c r="F398" s="674" t="s">
        <v>13</v>
      </c>
      <c r="G398" s="674" t="s">
        <v>13</v>
      </c>
      <c r="H398" s="670" t="s">
        <v>701</v>
      </c>
      <c r="I398" s="670"/>
      <c r="J398" s="671"/>
      <c r="K398" s="671"/>
      <c r="L398" s="671"/>
      <c r="M398" s="671"/>
      <c r="N398" s="671"/>
      <c r="O398" s="671"/>
      <c r="P398" s="671"/>
      <c r="Q398" s="671"/>
      <c r="R398" s="671"/>
      <c r="S398" s="671"/>
      <c r="T398" s="671"/>
      <c r="U398" s="671"/>
      <c r="V398" s="671"/>
      <c r="W398" s="671"/>
      <c r="X398" s="752" t="s">
        <v>14</v>
      </c>
      <c r="Y398" s="752"/>
      <c r="Z398" s="752"/>
      <c r="AA398" s="752"/>
      <c r="AB398" s="777" t="s">
        <v>15</v>
      </c>
      <c r="AE398" s="61"/>
      <c r="AF398" s="759" t="s">
        <v>3</v>
      </c>
      <c r="AG398" s="760"/>
      <c r="AH398" s="760"/>
    </row>
    <row r="399" spans="1:34" ht="12" customHeight="1" x14ac:dyDescent="0.2">
      <c r="A399" s="17"/>
      <c r="B399" s="679"/>
      <c r="C399" s="709"/>
      <c r="D399" s="709"/>
      <c r="E399" s="709"/>
      <c r="F399" s="675"/>
      <c r="G399" s="675"/>
      <c r="H399" s="404"/>
      <c r="I399" s="396" t="s">
        <v>260</v>
      </c>
      <c r="J399" s="398"/>
      <c r="K399" s="396" t="s">
        <v>17</v>
      </c>
      <c r="L399" s="399"/>
      <c r="M399" s="399" t="s">
        <v>18</v>
      </c>
      <c r="N399" s="399"/>
      <c r="O399" s="396" t="s">
        <v>19</v>
      </c>
      <c r="P399" s="399"/>
      <c r="Q399" s="399" t="s">
        <v>261</v>
      </c>
      <c r="R399" s="399"/>
      <c r="S399" s="399" t="s">
        <v>20</v>
      </c>
      <c r="T399" s="399"/>
      <c r="U399" s="399" t="s">
        <v>21</v>
      </c>
      <c r="V399" s="399"/>
      <c r="W399" s="399" t="s">
        <v>22</v>
      </c>
      <c r="X399" s="752"/>
      <c r="Y399" s="752"/>
      <c r="Z399" s="752"/>
      <c r="AA399" s="752"/>
      <c r="AB399" s="778"/>
    </row>
    <row r="400" spans="1:34" ht="12.6" customHeight="1" x14ac:dyDescent="0.2">
      <c r="A400" s="17"/>
      <c r="B400" s="722" t="s">
        <v>706</v>
      </c>
      <c r="C400" s="723"/>
      <c r="D400" s="723"/>
      <c r="E400" s="724"/>
      <c r="F400" s="324">
        <f>0.34*X2</f>
        <v>523.6</v>
      </c>
      <c r="G400" s="255">
        <f>+F400*$X$1</f>
        <v>523.6</v>
      </c>
      <c r="H400" s="251"/>
      <c r="I400" s="251"/>
      <c r="J400" s="520"/>
      <c r="K400" s="520"/>
      <c r="L400" s="520">
        <f>F400+240</f>
        <v>763.6</v>
      </c>
      <c r="M400" s="255">
        <f t="shared" ref="M400" si="1066">+L400*$X$1</f>
        <v>763.6</v>
      </c>
      <c r="N400" s="520">
        <f>F400+150</f>
        <v>673.6</v>
      </c>
      <c r="O400" s="255">
        <f t="shared" ref="O400" si="1067">+N400*$X$1</f>
        <v>673.6</v>
      </c>
      <c r="P400" s="520">
        <f>F400+110</f>
        <v>633.6</v>
      </c>
      <c r="Q400" s="255">
        <f t="shared" ref="Q400" si="1068">+P400*$X$1</f>
        <v>633.6</v>
      </c>
      <c r="R400" s="520">
        <f>F400+90</f>
        <v>613.6</v>
      </c>
      <c r="S400" s="255">
        <f t="shared" ref="S400" si="1069">+R400*$X$1</f>
        <v>613.6</v>
      </c>
      <c r="T400" s="93">
        <f>F400+75</f>
        <v>598.6</v>
      </c>
      <c r="U400" s="234">
        <f t="shared" ref="U400" si="1070">+T400*$X$1</f>
        <v>598.6</v>
      </c>
      <c r="V400" s="93">
        <f>F400+65</f>
        <v>588.6</v>
      </c>
      <c r="W400" s="234">
        <f t="shared" ref="W400" si="1071">+V400*$X$1</f>
        <v>588.6</v>
      </c>
      <c r="X400" s="393"/>
      <c r="Y400" s="394"/>
      <c r="Z400" s="394"/>
      <c r="AA400" s="393"/>
      <c r="AB400" s="336">
        <v>2235</v>
      </c>
      <c r="AC400" s="62"/>
    </row>
    <row r="401" spans="1:29" ht="12.6" customHeight="1" x14ac:dyDescent="0.2">
      <c r="A401" s="17"/>
      <c r="B401" s="726" t="s">
        <v>735</v>
      </c>
      <c r="C401" s="727"/>
      <c r="D401" s="727"/>
      <c r="E401" s="728"/>
      <c r="F401" s="323">
        <f>0.667*X2</f>
        <v>1027.18</v>
      </c>
      <c r="G401" s="256">
        <f t="shared" ref="G401" si="1072">+F401*$X$1</f>
        <v>1027.18</v>
      </c>
      <c r="H401" s="250"/>
      <c r="I401" s="250"/>
      <c r="J401" s="528"/>
      <c r="K401" s="528"/>
      <c r="L401" s="528">
        <f>F401+240</f>
        <v>1267.18</v>
      </c>
      <c r="M401" s="256">
        <f t="shared" ref="M401:M402" si="1073">+L401*$X$1</f>
        <v>1267.18</v>
      </c>
      <c r="N401" s="528">
        <f>F401+150</f>
        <v>1177.18</v>
      </c>
      <c r="O401" s="256">
        <f t="shared" ref="O401:O402" si="1074">+N401*$X$1</f>
        <v>1177.18</v>
      </c>
      <c r="P401" s="528">
        <f>F401+110</f>
        <v>1137.18</v>
      </c>
      <c r="Q401" s="256">
        <f t="shared" ref="Q401:Q402" si="1075">+P401*$X$1</f>
        <v>1137.18</v>
      </c>
      <c r="R401" s="528">
        <f>F401+90</f>
        <v>1117.18</v>
      </c>
      <c r="S401" s="256">
        <f t="shared" ref="S401:S402" si="1076">+R401*$X$1</f>
        <v>1117.18</v>
      </c>
      <c r="T401" s="92">
        <f>F401+75</f>
        <v>1102.18</v>
      </c>
      <c r="U401" s="269">
        <f t="shared" ref="U401:U402" si="1077">+T401*$X$1</f>
        <v>1102.18</v>
      </c>
      <c r="V401" s="92">
        <f>F401+65</f>
        <v>1092.18</v>
      </c>
      <c r="W401" s="269">
        <f t="shared" ref="W401:W402" si="1078">+V401*$X$1</f>
        <v>1092.18</v>
      </c>
      <c r="X401" s="429"/>
      <c r="Y401" s="430"/>
      <c r="Z401" s="430"/>
      <c r="AA401" s="429"/>
      <c r="AB401" s="336">
        <v>2236</v>
      </c>
      <c r="AC401" s="62"/>
    </row>
    <row r="402" spans="1:29" ht="12.6" customHeight="1" x14ac:dyDescent="0.2">
      <c r="A402" s="88"/>
      <c r="B402" s="654" t="s">
        <v>215</v>
      </c>
      <c r="C402" s="655"/>
      <c r="D402" s="655"/>
      <c r="E402" s="655"/>
      <c r="F402" s="321">
        <f>0.34*X2</f>
        <v>523.6</v>
      </c>
      <c r="G402" s="255">
        <f>+F402*$X$1</f>
        <v>523.6</v>
      </c>
      <c r="H402" s="251"/>
      <c r="I402" s="300"/>
      <c r="J402" s="520"/>
      <c r="K402" s="255"/>
      <c r="L402" s="520">
        <f>F402+240</f>
        <v>763.6</v>
      </c>
      <c r="M402" s="255">
        <f t="shared" si="1073"/>
        <v>763.6</v>
      </c>
      <c r="N402" s="520">
        <f>F402+150</f>
        <v>673.6</v>
      </c>
      <c r="O402" s="255">
        <f t="shared" si="1074"/>
        <v>673.6</v>
      </c>
      <c r="P402" s="520">
        <f>F402+110</f>
        <v>633.6</v>
      </c>
      <c r="Q402" s="255">
        <f t="shared" si="1075"/>
        <v>633.6</v>
      </c>
      <c r="R402" s="520">
        <f>F402+90</f>
        <v>613.6</v>
      </c>
      <c r="S402" s="255">
        <f t="shared" si="1076"/>
        <v>613.6</v>
      </c>
      <c r="T402" s="93">
        <f>F402+75</f>
        <v>598.6</v>
      </c>
      <c r="U402" s="234">
        <f t="shared" si="1077"/>
        <v>598.6</v>
      </c>
      <c r="V402" s="93">
        <f>F402+65</f>
        <v>588.6</v>
      </c>
      <c r="W402" s="234">
        <f t="shared" si="1078"/>
        <v>588.6</v>
      </c>
      <c r="X402" s="126"/>
      <c r="Y402" s="122"/>
      <c r="Z402" s="122"/>
      <c r="AA402" s="125"/>
      <c r="AB402" s="336">
        <v>2238</v>
      </c>
    </row>
    <row r="403" spans="1:29" ht="12.6" customHeight="1" x14ac:dyDescent="0.2">
      <c r="A403" s="94"/>
      <c r="B403" s="640" t="s">
        <v>216</v>
      </c>
      <c r="C403" s="641"/>
      <c r="D403" s="641"/>
      <c r="E403" s="642"/>
      <c r="F403" s="322">
        <f>0.391*X2</f>
        <v>602.14</v>
      </c>
      <c r="G403" s="256">
        <f>+F403*$X$1</f>
        <v>602.14</v>
      </c>
      <c r="H403" s="250"/>
      <c r="I403" s="301"/>
      <c r="J403" s="528"/>
      <c r="K403" s="256"/>
      <c r="L403" s="528">
        <f>F403+240</f>
        <v>842.14</v>
      </c>
      <c r="M403" s="256">
        <f t="shared" ref="M403" si="1079">+L403*$X$1</f>
        <v>842.14</v>
      </c>
      <c r="N403" s="528">
        <f>F403+150</f>
        <v>752.14</v>
      </c>
      <c r="O403" s="256">
        <f t="shared" ref="O403" si="1080">+N403*$X$1</f>
        <v>752.14</v>
      </c>
      <c r="P403" s="528">
        <f>F403+110</f>
        <v>712.14</v>
      </c>
      <c r="Q403" s="256">
        <f t="shared" ref="Q403" si="1081">+P403*$X$1</f>
        <v>712.14</v>
      </c>
      <c r="R403" s="528">
        <f>F403+90</f>
        <v>692.14</v>
      </c>
      <c r="S403" s="256">
        <f t="shared" ref="S403" si="1082">+R403*$X$1</f>
        <v>692.14</v>
      </c>
      <c r="T403" s="92">
        <f>F403+75</f>
        <v>677.14</v>
      </c>
      <c r="U403" s="269">
        <f t="shared" ref="U403" si="1083">+T403*$X$1</f>
        <v>677.14</v>
      </c>
      <c r="V403" s="92">
        <f>F403+65</f>
        <v>667.14</v>
      </c>
      <c r="W403" s="269">
        <f t="shared" ref="W403" si="1084">+V403*$X$1</f>
        <v>667.14</v>
      </c>
      <c r="X403" s="126"/>
      <c r="Y403" s="122"/>
      <c r="Z403" s="122"/>
      <c r="AA403" s="125"/>
      <c r="AB403" s="336">
        <v>2239</v>
      </c>
    </row>
    <row r="404" spans="1:29" ht="12.6" customHeight="1" x14ac:dyDescent="0.2">
      <c r="A404" s="17"/>
      <c r="B404" s="654" t="s">
        <v>827</v>
      </c>
      <c r="C404" s="655"/>
      <c r="D404" s="655"/>
      <c r="E404" s="655"/>
      <c r="F404" s="321">
        <f>0.35*X2</f>
        <v>539</v>
      </c>
      <c r="G404" s="255">
        <f>+F404*$X$1</f>
        <v>539</v>
      </c>
      <c r="H404" s="251"/>
      <c r="I404" s="300"/>
      <c r="J404" s="520"/>
      <c r="K404" s="255"/>
      <c r="L404" s="520">
        <f t="shared" ref="L404:L417" si="1085">F404+240</f>
        <v>779</v>
      </c>
      <c r="M404" s="255">
        <f t="shared" ref="M404:M417" si="1086">+L404*$X$1</f>
        <v>779</v>
      </c>
      <c r="N404" s="520">
        <f t="shared" ref="N404:N417" si="1087">F404+150</f>
        <v>689</v>
      </c>
      <c r="O404" s="255">
        <f t="shared" ref="O404:O417" si="1088">+N404*$X$1</f>
        <v>689</v>
      </c>
      <c r="P404" s="520">
        <f t="shared" ref="P404:P417" si="1089">F404+110</f>
        <v>649</v>
      </c>
      <c r="Q404" s="255">
        <f t="shared" ref="Q404:Q417" si="1090">+P404*$X$1</f>
        <v>649</v>
      </c>
      <c r="R404" s="520">
        <f t="shared" ref="R404:R417" si="1091">F404+90</f>
        <v>629</v>
      </c>
      <c r="S404" s="255">
        <f t="shared" ref="S404:S417" si="1092">+R404*$X$1</f>
        <v>629</v>
      </c>
      <c r="T404" s="93">
        <f t="shared" ref="T404:T417" si="1093">F404+75</f>
        <v>614</v>
      </c>
      <c r="U404" s="234">
        <f t="shared" ref="U404:U417" si="1094">+T404*$X$1</f>
        <v>614</v>
      </c>
      <c r="V404" s="93">
        <f t="shared" ref="V404:V417" si="1095">F404+65</f>
        <v>604</v>
      </c>
      <c r="W404" s="234">
        <f t="shared" ref="W404:W417" si="1096">+V404*$X$1</f>
        <v>604</v>
      </c>
      <c r="X404" s="126"/>
      <c r="Y404" s="122"/>
      <c r="Z404" s="122"/>
      <c r="AA404" s="125"/>
      <c r="AB404" s="336">
        <v>2240</v>
      </c>
    </row>
    <row r="405" spans="1:29" ht="12.6" customHeight="1" x14ac:dyDescent="0.2">
      <c r="A405" s="17"/>
      <c r="B405" s="647" t="s">
        <v>763</v>
      </c>
      <c r="C405" s="648"/>
      <c r="D405" s="648"/>
      <c r="E405" s="648"/>
      <c r="F405" s="322">
        <f>0.333*X2</f>
        <v>512.82000000000005</v>
      </c>
      <c r="G405" s="256">
        <f t="shared" ref="G405" si="1097">+F405*$X$1</f>
        <v>512.82000000000005</v>
      </c>
      <c r="H405" s="250"/>
      <c r="I405" s="301"/>
      <c r="J405" s="528"/>
      <c r="K405" s="256"/>
      <c r="L405" s="528">
        <f t="shared" si="1085"/>
        <v>752.82</v>
      </c>
      <c r="M405" s="256">
        <f t="shared" si="1086"/>
        <v>752.82</v>
      </c>
      <c r="N405" s="528">
        <f t="shared" si="1087"/>
        <v>662.82</v>
      </c>
      <c r="O405" s="256">
        <f t="shared" si="1088"/>
        <v>662.82</v>
      </c>
      <c r="P405" s="528">
        <f t="shared" si="1089"/>
        <v>622.82000000000005</v>
      </c>
      <c r="Q405" s="256">
        <f t="shared" si="1090"/>
        <v>622.82000000000005</v>
      </c>
      <c r="R405" s="528">
        <f t="shared" si="1091"/>
        <v>602.82000000000005</v>
      </c>
      <c r="S405" s="256">
        <f t="shared" si="1092"/>
        <v>602.82000000000005</v>
      </c>
      <c r="T405" s="92">
        <f t="shared" si="1093"/>
        <v>587.82000000000005</v>
      </c>
      <c r="U405" s="269">
        <f t="shared" si="1094"/>
        <v>587.82000000000005</v>
      </c>
      <c r="V405" s="92">
        <f t="shared" si="1095"/>
        <v>577.82000000000005</v>
      </c>
      <c r="W405" s="269">
        <f t="shared" si="1096"/>
        <v>577.82000000000005</v>
      </c>
      <c r="X405" s="126"/>
      <c r="Y405" s="122"/>
      <c r="Z405" s="122"/>
      <c r="AA405" s="125"/>
      <c r="AB405" s="336" t="s">
        <v>771</v>
      </c>
    </row>
    <row r="406" spans="1:29" ht="12.6" customHeight="1" x14ac:dyDescent="0.2">
      <c r="A406" s="17"/>
      <c r="B406" s="654" t="s">
        <v>712</v>
      </c>
      <c r="C406" s="655"/>
      <c r="D406" s="655"/>
      <c r="E406" s="655"/>
      <c r="F406" s="321">
        <f>0.15*X2</f>
        <v>231</v>
      </c>
      <c r="G406" s="255">
        <f t="shared" ref="G406:G407" si="1098">+F406*$X$1</f>
        <v>231</v>
      </c>
      <c r="H406" s="251"/>
      <c r="I406" s="300"/>
      <c r="J406" s="520"/>
      <c r="K406" s="255"/>
      <c r="L406" s="520">
        <f t="shared" si="1085"/>
        <v>471</v>
      </c>
      <c r="M406" s="255">
        <f t="shared" si="1086"/>
        <v>471</v>
      </c>
      <c r="N406" s="520">
        <f t="shared" si="1087"/>
        <v>381</v>
      </c>
      <c r="O406" s="255">
        <f t="shared" si="1088"/>
        <v>381</v>
      </c>
      <c r="P406" s="520">
        <f t="shared" si="1089"/>
        <v>341</v>
      </c>
      <c r="Q406" s="255">
        <f t="shared" si="1090"/>
        <v>341</v>
      </c>
      <c r="R406" s="520">
        <f t="shared" si="1091"/>
        <v>321</v>
      </c>
      <c r="S406" s="255">
        <f t="shared" si="1092"/>
        <v>321</v>
      </c>
      <c r="T406" s="93">
        <f t="shared" si="1093"/>
        <v>306</v>
      </c>
      <c r="U406" s="234">
        <f t="shared" si="1094"/>
        <v>306</v>
      </c>
      <c r="V406" s="93">
        <f t="shared" si="1095"/>
        <v>296</v>
      </c>
      <c r="W406" s="234">
        <f t="shared" si="1096"/>
        <v>296</v>
      </c>
      <c r="X406" s="126"/>
      <c r="Y406" s="122"/>
      <c r="Z406" s="122"/>
      <c r="AA406" s="125"/>
      <c r="AB406" s="336">
        <v>2241</v>
      </c>
    </row>
    <row r="407" spans="1:29" ht="12.6" customHeight="1" x14ac:dyDescent="0.2">
      <c r="A407" s="17"/>
      <c r="B407" s="647" t="s">
        <v>845</v>
      </c>
      <c r="C407" s="648"/>
      <c r="D407" s="648"/>
      <c r="E407" s="648"/>
      <c r="F407" s="322">
        <f>0.22*X2</f>
        <v>338.8</v>
      </c>
      <c r="G407" s="256">
        <f t="shared" si="1098"/>
        <v>338.8</v>
      </c>
      <c r="H407" s="250"/>
      <c r="I407" s="301"/>
      <c r="J407" s="528"/>
      <c r="K407" s="256"/>
      <c r="L407" s="528">
        <f t="shared" si="1085"/>
        <v>578.79999999999995</v>
      </c>
      <c r="M407" s="256">
        <f t="shared" si="1086"/>
        <v>578.79999999999995</v>
      </c>
      <c r="N407" s="528">
        <f t="shared" si="1087"/>
        <v>488.8</v>
      </c>
      <c r="O407" s="256">
        <f t="shared" si="1088"/>
        <v>488.8</v>
      </c>
      <c r="P407" s="528">
        <f t="shared" si="1089"/>
        <v>448.8</v>
      </c>
      <c r="Q407" s="256">
        <f t="shared" si="1090"/>
        <v>448.8</v>
      </c>
      <c r="R407" s="528">
        <f t="shared" si="1091"/>
        <v>428.8</v>
      </c>
      <c r="S407" s="256">
        <f t="shared" si="1092"/>
        <v>428.8</v>
      </c>
      <c r="T407" s="92">
        <f t="shared" si="1093"/>
        <v>413.8</v>
      </c>
      <c r="U407" s="269">
        <f t="shared" si="1094"/>
        <v>413.8</v>
      </c>
      <c r="V407" s="92">
        <f t="shared" si="1095"/>
        <v>403.8</v>
      </c>
      <c r="W407" s="269">
        <f t="shared" si="1096"/>
        <v>403.8</v>
      </c>
      <c r="X407" s="126"/>
      <c r="Y407" s="122"/>
      <c r="Z407" s="122"/>
      <c r="AA407" s="125"/>
      <c r="AB407" s="336">
        <v>2242</v>
      </c>
    </row>
    <row r="408" spans="1:29" ht="12.6" customHeight="1" x14ac:dyDescent="0.2">
      <c r="A408" s="88"/>
      <c r="B408" s="654" t="s">
        <v>217</v>
      </c>
      <c r="C408" s="655"/>
      <c r="D408" s="655"/>
      <c r="E408" s="655"/>
      <c r="F408" s="321">
        <f>0.22*X2</f>
        <v>338.8</v>
      </c>
      <c r="G408" s="255">
        <f>+F408*$X$1</f>
        <v>338.8</v>
      </c>
      <c r="H408" s="251"/>
      <c r="I408" s="300"/>
      <c r="J408" s="520"/>
      <c r="K408" s="255"/>
      <c r="L408" s="520">
        <f t="shared" si="1085"/>
        <v>578.79999999999995</v>
      </c>
      <c r="M408" s="255">
        <f t="shared" si="1086"/>
        <v>578.79999999999995</v>
      </c>
      <c r="N408" s="520">
        <f t="shared" si="1087"/>
        <v>488.8</v>
      </c>
      <c r="O408" s="255">
        <f t="shared" si="1088"/>
        <v>488.8</v>
      </c>
      <c r="P408" s="520">
        <f t="shared" si="1089"/>
        <v>448.8</v>
      </c>
      <c r="Q408" s="255">
        <f t="shared" si="1090"/>
        <v>448.8</v>
      </c>
      <c r="R408" s="520">
        <f t="shared" si="1091"/>
        <v>428.8</v>
      </c>
      <c r="S408" s="255">
        <f t="shared" si="1092"/>
        <v>428.8</v>
      </c>
      <c r="T408" s="93">
        <f t="shared" si="1093"/>
        <v>413.8</v>
      </c>
      <c r="U408" s="234">
        <f t="shared" si="1094"/>
        <v>413.8</v>
      </c>
      <c r="V408" s="93">
        <f t="shared" si="1095"/>
        <v>403.8</v>
      </c>
      <c r="W408" s="234">
        <f t="shared" si="1096"/>
        <v>403.8</v>
      </c>
      <c r="X408" s="126"/>
      <c r="Y408" s="122"/>
      <c r="Z408" s="122"/>
      <c r="AA408" s="125"/>
      <c r="AB408" s="336">
        <v>2244</v>
      </c>
    </row>
    <row r="409" spans="1:29" ht="12.6" customHeight="1" x14ac:dyDescent="0.2">
      <c r="A409" s="17"/>
      <c r="B409" s="647" t="s">
        <v>715</v>
      </c>
      <c r="C409" s="648"/>
      <c r="D409" s="648"/>
      <c r="E409" s="648"/>
      <c r="F409" s="322">
        <f>0.235*X2</f>
        <v>361.9</v>
      </c>
      <c r="G409" s="256">
        <f t="shared" ref="G409:G410" si="1099">+F409*$X$1</f>
        <v>361.9</v>
      </c>
      <c r="H409" s="250"/>
      <c r="I409" s="301"/>
      <c r="J409" s="528"/>
      <c r="K409" s="256"/>
      <c r="L409" s="528">
        <f t="shared" si="1085"/>
        <v>601.9</v>
      </c>
      <c r="M409" s="256">
        <f t="shared" si="1086"/>
        <v>601.9</v>
      </c>
      <c r="N409" s="528">
        <f t="shared" si="1087"/>
        <v>511.9</v>
      </c>
      <c r="O409" s="256">
        <f t="shared" si="1088"/>
        <v>511.9</v>
      </c>
      <c r="P409" s="528">
        <f t="shared" si="1089"/>
        <v>471.9</v>
      </c>
      <c r="Q409" s="256">
        <f t="shared" si="1090"/>
        <v>471.9</v>
      </c>
      <c r="R409" s="528">
        <f t="shared" si="1091"/>
        <v>451.9</v>
      </c>
      <c r="S409" s="256">
        <f t="shared" si="1092"/>
        <v>451.9</v>
      </c>
      <c r="T409" s="92">
        <f t="shared" si="1093"/>
        <v>436.9</v>
      </c>
      <c r="U409" s="269">
        <f t="shared" si="1094"/>
        <v>436.9</v>
      </c>
      <c r="V409" s="92">
        <f t="shared" si="1095"/>
        <v>426.9</v>
      </c>
      <c r="W409" s="269">
        <f t="shared" si="1096"/>
        <v>426.9</v>
      </c>
      <c r="X409" s="126"/>
      <c r="Y409" s="122"/>
      <c r="Z409" s="122"/>
      <c r="AA409" s="125"/>
      <c r="AB409" s="336">
        <v>2245</v>
      </c>
    </row>
    <row r="410" spans="1:29" ht="12.6" customHeight="1" x14ac:dyDescent="0.2">
      <c r="A410" s="17"/>
      <c r="B410" s="654" t="s">
        <v>714</v>
      </c>
      <c r="C410" s="655"/>
      <c r="D410" s="655"/>
      <c r="E410" s="655"/>
      <c r="F410" s="321">
        <f>0.245*X2</f>
        <v>377.3</v>
      </c>
      <c r="G410" s="255">
        <f t="shared" si="1099"/>
        <v>377.3</v>
      </c>
      <c r="H410" s="251"/>
      <c r="I410" s="300"/>
      <c r="J410" s="520"/>
      <c r="K410" s="255"/>
      <c r="L410" s="520">
        <f t="shared" si="1085"/>
        <v>617.29999999999995</v>
      </c>
      <c r="M410" s="255">
        <f t="shared" si="1086"/>
        <v>617.29999999999995</v>
      </c>
      <c r="N410" s="520">
        <f t="shared" si="1087"/>
        <v>527.29999999999995</v>
      </c>
      <c r="O410" s="255">
        <f t="shared" si="1088"/>
        <v>527.29999999999995</v>
      </c>
      <c r="P410" s="520">
        <f t="shared" si="1089"/>
        <v>487.3</v>
      </c>
      <c r="Q410" s="255">
        <f t="shared" si="1090"/>
        <v>487.3</v>
      </c>
      <c r="R410" s="520">
        <f t="shared" si="1091"/>
        <v>467.3</v>
      </c>
      <c r="S410" s="255">
        <f t="shared" si="1092"/>
        <v>467.3</v>
      </c>
      <c r="T410" s="93">
        <f t="shared" si="1093"/>
        <v>452.3</v>
      </c>
      <c r="U410" s="234">
        <f t="shared" si="1094"/>
        <v>452.3</v>
      </c>
      <c r="V410" s="93">
        <f t="shared" si="1095"/>
        <v>442.3</v>
      </c>
      <c r="W410" s="234">
        <f t="shared" si="1096"/>
        <v>442.3</v>
      </c>
      <c r="X410" s="126"/>
      <c r="Y410" s="122"/>
      <c r="Z410" s="122"/>
      <c r="AA410" s="125"/>
      <c r="AB410" s="336" t="s">
        <v>713</v>
      </c>
    </row>
    <row r="411" spans="1:29" ht="12.6" customHeight="1" x14ac:dyDescent="0.2">
      <c r="A411" s="88"/>
      <c r="B411" s="647" t="s">
        <v>464</v>
      </c>
      <c r="C411" s="648"/>
      <c r="D411" s="648"/>
      <c r="E411" s="648"/>
      <c r="F411" s="288">
        <v>1490</v>
      </c>
      <c r="G411" s="256">
        <f>+F411*$X$1</f>
        <v>1490</v>
      </c>
      <c r="H411" s="250"/>
      <c r="I411" s="301"/>
      <c r="J411" s="528"/>
      <c r="K411" s="256"/>
      <c r="L411" s="528">
        <f t="shared" si="1085"/>
        <v>1730</v>
      </c>
      <c r="M411" s="256">
        <f t="shared" si="1086"/>
        <v>1730</v>
      </c>
      <c r="N411" s="528">
        <f t="shared" si="1087"/>
        <v>1640</v>
      </c>
      <c r="O411" s="256">
        <f t="shared" si="1088"/>
        <v>1640</v>
      </c>
      <c r="P411" s="528">
        <f t="shared" si="1089"/>
        <v>1600</v>
      </c>
      <c r="Q411" s="256">
        <f t="shared" si="1090"/>
        <v>1600</v>
      </c>
      <c r="R411" s="528">
        <f t="shared" si="1091"/>
        <v>1580</v>
      </c>
      <c r="S411" s="256">
        <f t="shared" si="1092"/>
        <v>1580</v>
      </c>
      <c r="T411" s="92">
        <f t="shared" si="1093"/>
        <v>1565</v>
      </c>
      <c r="U411" s="269">
        <f t="shared" si="1094"/>
        <v>1565</v>
      </c>
      <c r="V411" s="92">
        <f t="shared" si="1095"/>
        <v>1555</v>
      </c>
      <c r="W411" s="269">
        <f t="shared" si="1096"/>
        <v>1555</v>
      </c>
      <c r="X411" s="126"/>
      <c r="Y411" s="122"/>
      <c r="Z411" s="122"/>
      <c r="AA411" s="125"/>
      <c r="AB411" s="336">
        <v>2246</v>
      </c>
    </row>
    <row r="412" spans="1:29" ht="12.6" customHeight="1" x14ac:dyDescent="0.2">
      <c r="A412" s="17"/>
      <c r="B412" s="654" t="s">
        <v>719</v>
      </c>
      <c r="C412" s="655"/>
      <c r="D412" s="655"/>
      <c r="E412" s="655"/>
      <c r="F412" s="608">
        <f>1.98*X2</f>
        <v>3049.2</v>
      </c>
      <c r="G412" s="255">
        <f t="shared" ref="G412" si="1100">+F412*$X$1</f>
        <v>3049.2</v>
      </c>
      <c r="H412" s="251"/>
      <c r="I412" s="300"/>
      <c r="J412" s="520">
        <f>F412+280</f>
        <v>3329.2</v>
      </c>
      <c r="K412" s="255">
        <f t="shared" ref="K412" si="1101">+J412*$X$1</f>
        <v>3329.2</v>
      </c>
      <c r="L412" s="520">
        <f t="shared" si="1085"/>
        <v>3289.2</v>
      </c>
      <c r="M412" s="255">
        <f t="shared" si="1086"/>
        <v>3289.2</v>
      </c>
      <c r="N412" s="520">
        <f t="shared" si="1087"/>
        <v>3199.2</v>
      </c>
      <c r="O412" s="255">
        <f t="shared" si="1088"/>
        <v>3199.2</v>
      </c>
      <c r="P412" s="520">
        <f t="shared" si="1089"/>
        <v>3159.2</v>
      </c>
      <c r="Q412" s="255">
        <f t="shared" si="1090"/>
        <v>3159.2</v>
      </c>
      <c r="R412" s="520">
        <f t="shared" si="1091"/>
        <v>3139.2</v>
      </c>
      <c r="S412" s="255">
        <f t="shared" si="1092"/>
        <v>3139.2</v>
      </c>
      <c r="T412" s="93">
        <f t="shared" si="1093"/>
        <v>3124.2</v>
      </c>
      <c r="U412" s="234">
        <f t="shared" si="1094"/>
        <v>3124.2</v>
      </c>
      <c r="V412" s="93">
        <f t="shared" si="1095"/>
        <v>3114.2</v>
      </c>
      <c r="W412" s="234">
        <f t="shared" si="1096"/>
        <v>3114.2</v>
      </c>
      <c r="X412" s="126"/>
      <c r="Y412" s="122"/>
      <c r="Z412" s="122"/>
      <c r="AA412" s="125"/>
      <c r="AB412" s="336">
        <v>2247</v>
      </c>
    </row>
    <row r="413" spans="1:29" ht="12.6" customHeight="1" x14ac:dyDescent="0.2">
      <c r="A413" s="17"/>
      <c r="B413" s="640" t="s">
        <v>422</v>
      </c>
      <c r="C413" s="645"/>
      <c r="D413" s="645"/>
      <c r="E413" s="646"/>
      <c r="F413" s="323">
        <f>0.35*X2</f>
        <v>539</v>
      </c>
      <c r="G413" s="256">
        <f t="shared" ref="G413" si="1102">+F413*$X$1</f>
        <v>539</v>
      </c>
      <c r="H413" s="250"/>
      <c r="I413" s="301"/>
      <c r="J413" s="528"/>
      <c r="K413" s="256"/>
      <c r="L413" s="528">
        <f t="shared" si="1085"/>
        <v>779</v>
      </c>
      <c r="M413" s="256">
        <f t="shared" si="1086"/>
        <v>779</v>
      </c>
      <c r="N413" s="528">
        <f t="shared" si="1087"/>
        <v>689</v>
      </c>
      <c r="O413" s="256">
        <f t="shared" si="1088"/>
        <v>689</v>
      </c>
      <c r="P413" s="528">
        <f t="shared" si="1089"/>
        <v>649</v>
      </c>
      <c r="Q413" s="256">
        <f t="shared" si="1090"/>
        <v>649</v>
      </c>
      <c r="R413" s="528">
        <f t="shared" si="1091"/>
        <v>629</v>
      </c>
      <c r="S413" s="256">
        <f t="shared" si="1092"/>
        <v>629</v>
      </c>
      <c r="T413" s="92">
        <f t="shared" si="1093"/>
        <v>614</v>
      </c>
      <c r="U413" s="269">
        <f t="shared" si="1094"/>
        <v>614</v>
      </c>
      <c r="V413" s="92">
        <f t="shared" si="1095"/>
        <v>604</v>
      </c>
      <c r="W413" s="269">
        <f t="shared" si="1096"/>
        <v>604</v>
      </c>
      <c r="X413" s="119"/>
      <c r="Y413" s="119"/>
      <c r="Z413" s="119"/>
      <c r="AA413" s="119"/>
      <c r="AB413" s="350">
        <v>2251</v>
      </c>
    </row>
    <row r="414" spans="1:29" ht="12.6" customHeight="1" x14ac:dyDescent="0.2">
      <c r="A414" s="17"/>
      <c r="B414" s="657" t="s">
        <v>598</v>
      </c>
      <c r="C414" s="658"/>
      <c r="D414" s="658"/>
      <c r="E414" s="659"/>
      <c r="F414" s="324">
        <f>0.35*X2</f>
        <v>539</v>
      </c>
      <c r="G414" s="255">
        <f>+F414*$X$1</f>
        <v>539</v>
      </c>
      <c r="H414" s="251"/>
      <c r="I414" s="300"/>
      <c r="J414" s="520"/>
      <c r="K414" s="255"/>
      <c r="L414" s="520">
        <f t="shared" si="1085"/>
        <v>779</v>
      </c>
      <c r="M414" s="255">
        <f t="shared" si="1086"/>
        <v>779</v>
      </c>
      <c r="N414" s="520">
        <f t="shared" si="1087"/>
        <v>689</v>
      </c>
      <c r="O414" s="255">
        <f t="shared" si="1088"/>
        <v>689</v>
      </c>
      <c r="P414" s="520">
        <f t="shared" si="1089"/>
        <v>649</v>
      </c>
      <c r="Q414" s="255">
        <f t="shared" si="1090"/>
        <v>649</v>
      </c>
      <c r="R414" s="520">
        <f t="shared" si="1091"/>
        <v>629</v>
      </c>
      <c r="S414" s="255">
        <f t="shared" si="1092"/>
        <v>629</v>
      </c>
      <c r="T414" s="93">
        <f t="shared" si="1093"/>
        <v>614</v>
      </c>
      <c r="U414" s="234">
        <f t="shared" si="1094"/>
        <v>614</v>
      </c>
      <c r="V414" s="93">
        <f t="shared" si="1095"/>
        <v>604</v>
      </c>
      <c r="W414" s="234">
        <f t="shared" si="1096"/>
        <v>604</v>
      </c>
      <c r="X414" s="119"/>
      <c r="Y414" s="119"/>
      <c r="Z414" s="119"/>
      <c r="AA414" s="119"/>
      <c r="AB414" s="336">
        <v>2252</v>
      </c>
    </row>
    <row r="415" spans="1:29" ht="12.6" customHeight="1" x14ac:dyDescent="0.2">
      <c r="A415" s="94"/>
      <c r="B415" s="640" t="s">
        <v>218</v>
      </c>
      <c r="C415" s="672"/>
      <c r="D415" s="672"/>
      <c r="E415" s="673"/>
      <c r="F415" s="322">
        <f>0.3*X2</f>
        <v>462</v>
      </c>
      <c r="G415" s="256">
        <f>+F415*$X$1</f>
        <v>462</v>
      </c>
      <c r="H415" s="250"/>
      <c r="I415" s="301"/>
      <c r="J415" s="528"/>
      <c r="K415" s="256"/>
      <c r="L415" s="528">
        <f t="shared" si="1085"/>
        <v>702</v>
      </c>
      <c r="M415" s="256">
        <f t="shared" si="1086"/>
        <v>702</v>
      </c>
      <c r="N415" s="528">
        <f t="shared" si="1087"/>
        <v>612</v>
      </c>
      <c r="O415" s="256">
        <f t="shared" si="1088"/>
        <v>612</v>
      </c>
      <c r="P415" s="528">
        <f t="shared" si="1089"/>
        <v>572</v>
      </c>
      <c r="Q415" s="256">
        <f t="shared" si="1090"/>
        <v>572</v>
      </c>
      <c r="R415" s="528">
        <f t="shared" si="1091"/>
        <v>552</v>
      </c>
      <c r="S415" s="256">
        <f t="shared" si="1092"/>
        <v>552</v>
      </c>
      <c r="T415" s="92">
        <f t="shared" si="1093"/>
        <v>537</v>
      </c>
      <c r="U415" s="269">
        <f t="shared" si="1094"/>
        <v>537</v>
      </c>
      <c r="V415" s="92">
        <f t="shared" si="1095"/>
        <v>527</v>
      </c>
      <c r="W415" s="269">
        <f t="shared" si="1096"/>
        <v>527</v>
      </c>
      <c r="X415" s="156"/>
      <c r="Y415" s="119"/>
      <c r="Z415" s="119"/>
      <c r="AA415" s="135"/>
      <c r="AB415" s="336">
        <v>2254</v>
      </c>
      <c r="AC415" s="62"/>
    </row>
    <row r="416" spans="1:29" ht="12.6" customHeight="1" x14ac:dyDescent="0.2">
      <c r="A416" s="94"/>
      <c r="B416" s="657" t="s">
        <v>434</v>
      </c>
      <c r="C416" s="748"/>
      <c r="D416" s="748"/>
      <c r="E416" s="749"/>
      <c r="F416" s="321">
        <f>0.3*X2</f>
        <v>462</v>
      </c>
      <c r="G416" s="255">
        <f>+F416*$X$1</f>
        <v>462</v>
      </c>
      <c r="H416" s="251"/>
      <c r="I416" s="300"/>
      <c r="J416" s="520"/>
      <c r="K416" s="255"/>
      <c r="L416" s="520">
        <f t="shared" si="1085"/>
        <v>702</v>
      </c>
      <c r="M416" s="255">
        <f t="shared" si="1086"/>
        <v>702</v>
      </c>
      <c r="N416" s="520">
        <f t="shared" si="1087"/>
        <v>612</v>
      </c>
      <c r="O416" s="255">
        <f t="shared" si="1088"/>
        <v>612</v>
      </c>
      <c r="P416" s="520">
        <f t="shared" si="1089"/>
        <v>572</v>
      </c>
      <c r="Q416" s="255">
        <f t="shared" si="1090"/>
        <v>572</v>
      </c>
      <c r="R416" s="520">
        <f t="shared" si="1091"/>
        <v>552</v>
      </c>
      <c r="S416" s="255">
        <f t="shared" si="1092"/>
        <v>552</v>
      </c>
      <c r="T416" s="93">
        <f t="shared" si="1093"/>
        <v>537</v>
      </c>
      <c r="U416" s="234">
        <f t="shared" si="1094"/>
        <v>537</v>
      </c>
      <c r="V416" s="93">
        <f t="shared" si="1095"/>
        <v>527</v>
      </c>
      <c r="W416" s="234">
        <f t="shared" si="1096"/>
        <v>527</v>
      </c>
      <c r="X416" s="156"/>
      <c r="Y416" s="119"/>
      <c r="Z416" s="119"/>
      <c r="AA416" s="135"/>
      <c r="AB416" s="336" t="s">
        <v>457</v>
      </c>
      <c r="AC416" s="62"/>
    </row>
    <row r="417" spans="1:29" ht="12.6" customHeight="1" x14ac:dyDescent="0.2">
      <c r="A417" s="94"/>
      <c r="B417" s="640" t="s">
        <v>923</v>
      </c>
      <c r="C417" s="672"/>
      <c r="D417" s="672"/>
      <c r="E417" s="673"/>
      <c r="F417" s="322">
        <f>0.3*X2</f>
        <v>462</v>
      </c>
      <c r="G417" s="256">
        <f t="shared" ref="G417" si="1103">+F417*$X$1</f>
        <v>462</v>
      </c>
      <c r="H417" s="250"/>
      <c r="I417" s="301"/>
      <c r="J417" s="528"/>
      <c r="K417" s="256"/>
      <c r="L417" s="528">
        <f t="shared" si="1085"/>
        <v>702</v>
      </c>
      <c r="M417" s="256">
        <f t="shared" si="1086"/>
        <v>702</v>
      </c>
      <c r="N417" s="528">
        <f t="shared" si="1087"/>
        <v>612</v>
      </c>
      <c r="O417" s="256">
        <f t="shared" si="1088"/>
        <v>612</v>
      </c>
      <c r="P417" s="528">
        <f t="shared" si="1089"/>
        <v>572</v>
      </c>
      <c r="Q417" s="256">
        <f t="shared" si="1090"/>
        <v>572</v>
      </c>
      <c r="R417" s="528">
        <f t="shared" si="1091"/>
        <v>552</v>
      </c>
      <c r="S417" s="256">
        <f t="shared" si="1092"/>
        <v>552</v>
      </c>
      <c r="T417" s="92">
        <f t="shared" si="1093"/>
        <v>537</v>
      </c>
      <c r="U417" s="269">
        <f t="shared" si="1094"/>
        <v>537</v>
      </c>
      <c r="V417" s="92">
        <f t="shared" si="1095"/>
        <v>527</v>
      </c>
      <c r="W417" s="269">
        <f t="shared" si="1096"/>
        <v>527</v>
      </c>
      <c r="X417" s="156"/>
      <c r="Y417" s="119"/>
      <c r="Z417" s="119"/>
      <c r="AA417" s="135"/>
      <c r="AB417" s="432" t="s">
        <v>922</v>
      </c>
      <c r="AC417" s="62"/>
    </row>
    <row r="418" spans="1:29" ht="12.6" customHeight="1" x14ac:dyDescent="0.2">
      <c r="A418" s="94"/>
      <c r="B418" s="1144" t="s">
        <v>219</v>
      </c>
      <c r="C418" s="1145"/>
      <c r="D418" s="1145"/>
      <c r="E418" s="1146"/>
      <c r="F418" s="588">
        <v>330</v>
      </c>
      <c r="G418" s="447">
        <f>+F418*$X$1</f>
        <v>330</v>
      </c>
      <c r="H418" s="448"/>
      <c r="I418" s="450"/>
      <c r="J418" s="617"/>
      <c r="K418" s="447"/>
      <c r="L418" s="617">
        <f t="shared" ref="L418:L419" si="1104">F418+240</f>
        <v>570</v>
      </c>
      <c r="M418" s="447">
        <f t="shared" ref="M418:M419" si="1105">+L418*$X$1</f>
        <v>570</v>
      </c>
      <c r="N418" s="617">
        <f t="shared" ref="N418:N419" si="1106">F418+150</f>
        <v>480</v>
      </c>
      <c r="O418" s="447">
        <f t="shared" ref="O418:O419" si="1107">+N418*$X$1</f>
        <v>480</v>
      </c>
      <c r="P418" s="617">
        <f t="shared" ref="P418:P419" si="1108">F418+110</f>
        <v>440</v>
      </c>
      <c r="Q418" s="447">
        <f t="shared" ref="Q418:Q419" si="1109">+P418*$X$1</f>
        <v>440</v>
      </c>
      <c r="R418" s="617">
        <f t="shared" ref="R418:R419" si="1110">F418+90</f>
        <v>420</v>
      </c>
      <c r="S418" s="447">
        <f t="shared" ref="S418:S419" si="1111">+R418*$X$1</f>
        <v>420</v>
      </c>
      <c r="T418" s="516">
        <f t="shared" ref="T418:T419" si="1112">F418+75</f>
        <v>405</v>
      </c>
      <c r="U418" s="515">
        <f t="shared" ref="U418:U419" si="1113">+T418*$X$1</f>
        <v>405</v>
      </c>
      <c r="V418" s="516"/>
      <c r="W418" s="515"/>
      <c r="X418" s="156"/>
      <c r="Y418" s="119"/>
      <c r="Z418" s="119"/>
      <c r="AA418" s="119"/>
      <c r="AB418" s="336">
        <v>2255</v>
      </c>
      <c r="AC418" s="62"/>
    </row>
    <row r="419" spans="1:29" ht="12.6" customHeight="1" x14ac:dyDescent="0.2">
      <c r="A419" s="88"/>
      <c r="B419" s="647" t="s">
        <v>757</v>
      </c>
      <c r="C419" s="648"/>
      <c r="D419" s="648"/>
      <c r="E419" s="648"/>
      <c r="F419" s="322">
        <f>0.87*X2</f>
        <v>1339.8</v>
      </c>
      <c r="G419" s="256">
        <f>+F419*$X$1</f>
        <v>1339.8</v>
      </c>
      <c r="H419" s="250"/>
      <c r="I419" s="301"/>
      <c r="J419" s="528"/>
      <c r="K419" s="256"/>
      <c r="L419" s="528">
        <f t="shared" si="1104"/>
        <v>1579.8</v>
      </c>
      <c r="M419" s="256">
        <f t="shared" si="1105"/>
        <v>1579.8</v>
      </c>
      <c r="N419" s="528">
        <f t="shared" si="1106"/>
        <v>1489.8</v>
      </c>
      <c r="O419" s="256">
        <f t="shared" si="1107"/>
        <v>1489.8</v>
      </c>
      <c r="P419" s="528">
        <f t="shared" si="1108"/>
        <v>1449.8</v>
      </c>
      <c r="Q419" s="256">
        <f t="shared" si="1109"/>
        <v>1449.8</v>
      </c>
      <c r="R419" s="528">
        <f t="shared" si="1110"/>
        <v>1429.8</v>
      </c>
      <c r="S419" s="256">
        <f t="shared" si="1111"/>
        <v>1429.8</v>
      </c>
      <c r="T419" s="92">
        <f t="shared" si="1112"/>
        <v>1414.8</v>
      </c>
      <c r="U419" s="269">
        <f t="shared" si="1113"/>
        <v>1414.8</v>
      </c>
      <c r="V419" s="92">
        <f t="shared" ref="V419" si="1114">F419+65</f>
        <v>1404.8</v>
      </c>
      <c r="W419" s="269">
        <f t="shared" ref="W419" si="1115">+V419*$X$1</f>
        <v>1404.8</v>
      </c>
      <c r="X419" s="126"/>
      <c r="Y419" s="122"/>
      <c r="Z419" s="122"/>
      <c r="AA419" s="125"/>
      <c r="AB419" s="336">
        <v>2258</v>
      </c>
    </row>
    <row r="420" spans="1:29" ht="12.6" customHeight="1" x14ac:dyDescent="0.2">
      <c r="A420" s="17"/>
      <c r="B420" s="699" t="s">
        <v>580</v>
      </c>
      <c r="C420" s="1137"/>
      <c r="D420" s="1137"/>
      <c r="E420" s="1137"/>
      <c r="F420" s="321">
        <f>0.48*X2</f>
        <v>739.19999999999993</v>
      </c>
      <c r="G420" s="255">
        <f>+F420*$X$1</f>
        <v>739.19999999999993</v>
      </c>
      <c r="H420" s="520"/>
      <c r="I420" s="255"/>
      <c r="J420" s="520"/>
      <c r="K420" s="255"/>
      <c r="L420" s="520">
        <f t="shared" ref="L420:L446" si="1116">F420+240</f>
        <v>979.19999999999993</v>
      </c>
      <c r="M420" s="255">
        <f t="shared" ref="M420:M450" si="1117">+L420*$X$1</f>
        <v>979.19999999999993</v>
      </c>
      <c r="N420" s="520">
        <f t="shared" ref="N420:N446" si="1118">F420+150</f>
        <v>889.19999999999993</v>
      </c>
      <c r="O420" s="255">
        <f t="shared" ref="O420:O450" si="1119">+N420*$X$1</f>
        <v>889.19999999999993</v>
      </c>
      <c r="P420" s="520">
        <f t="shared" ref="P420:P446" si="1120">F420+110</f>
        <v>849.19999999999993</v>
      </c>
      <c r="Q420" s="255">
        <f t="shared" ref="Q420:Q450" si="1121">+P420*$X$1</f>
        <v>849.19999999999993</v>
      </c>
      <c r="R420" s="520">
        <f t="shared" ref="R420:R446" si="1122">F420+90</f>
        <v>829.19999999999993</v>
      </c>
      <c r="S420" s="255">
        <f t="shared" ref="S420:S450" si="1123">+R420*$X$1</f>
        <v>829.19999999999993</v>
      </c>
      <c r="T420" s="93">
        <f t="shared" ref="T420:T446" si="1124">F420+75</f>
        <v>814.19999999999993</v>
      </c>
      <c r="U420" s="234">
        <f t="shared" ref="U420:U450" si="1125">+T420*$X$1</f>
        <v>814.19999999999993</v>
      </c>
      <c r="V420" s="93">
        <f t="shared" ref="V420:V446" si="1126">F420+65</f>
        <v>804.19999999999993</v>
      </c>
      <c r="W420" s="234">
        <f t="shared" ref="W420:W450" si="1127">+V420*$X$1</f>
        <v>804.19999999999993</v>
      </c>
      <c r="X420" s="632"/>
      <c r="Y420" s="633"/>
      <c r="Z420" s="633"/>
      <c r="AA420" s="634"/>
      <c r="AB420" s="336">
        <v>2260</v>
      </c>
      <c r="AC420" s="62"/>
    </row>
    <row r="421" spans="1:29" ht="12.6" customHeight="1" x14ac:dyDescent="0.2">
      <c r="A421" s="17"/>
      <c r="B421" s="638" t="s">
        <v>571</v>
      </c>
      <c r="C421" s="1143"/>
      <c r="D421" s="1143"/>
      <c r="E421" s="1143"/>
      <c r="F421" s="322">
        <f>0.59*X2</f>
        <v>908.59999999999991</v>
      </c>
      <c r="G421" s="256">
        <f t="shared" ref="G421:G422" si="1128">+F421*$X$1</f>
        <v>908.59999999999991</v>
      </c>
      <c r="H421" s="528"/>
      <c r="I421" s="256"/>
      <c r="J421" s="528"/>
      <c r="K421" s="256"/>
      <c r="L421" s="528">
        <f t="shared" si="1116"/>
        <v>1148.5999999999999</v>
      </c>
      <c r="M421" s="256">
        <f t="shared" si="1117"/>
        <v>1148.5999999999999</v>
      </c>
      <c r="N421" s="528">
        <f t="shared" si="1118"/>
        <v>1058.5999999999999</v>
      </c>
      <c r="O421" s="256">
        <f t="shared" si="1119"/>
        <v>1058.5999999999999</v>
      </c>
      <c r="P421" s="528">
        <f t="shared" si="1120"/>
        <v>1018.5999999999999</v>
      </c>
      <c r="Q421" s="256">
        <f t="shared" si="1121"/>
        <v>1018.5999999999999</v>
      </c>
      <c r="R421" s="528">
        <f t="shared" si="1122"/>
        <v>998.59999999999991</v>
      </c>
      <c r="S421" s="256">
        <f t="shared" si="1123"/>
        <v>998.59999999999991</v>
      </c>
      <c r="T421" s="92">
        <f t="shared" si="1124"/>
        <v>983.59999999999991</v>
      </c>
      <c r="U421" s="269">
        <f t="shared" si="1125"/>
        <v>983.59999999999991</v>
      </c>
      <c r="V421" s="92">
        <f t="shared" si="1126"/>
        <v>973.59999999999991</v>
      </c>
      <c r="W421" s="269">
        <f t="shared" si="1127"/>
        <v>973.59999999999991</v>
      </c>
      <c r="X421" s="632"/>
      <c r="Y421" s="633"/>
      <c r="Z421" s="633"/>
      <c r="AA421" s="634"/>
      <c r="AB421" s="336">
        <v>2261</v>
      </c>
      <c r="AC421" s="62"/>
    </row>
    <row r="422" spans="1:29" ht="12.6" customHeight="1" x14ac:dyDescent="0.2">
      <c r="A422" s="17"/>
      <c r="B422" s="699" t="s">
        <v>582</v>
      </c>
      <c r="C422" s="1137"/>
      <c r="D422" s="1137"/>
      <c r="E422" s="1137"/>
      <c r="F422" s="321">
        <f>0.448*X2</f>
        <v>689.92</v>
      </c>
      <c r="G422" s="255">
        <f t="shared" si="1128"/>
        <v>689.92</v>
      </c>
      <c r="H422" s="520"/>
      <c r="I422" s="255"/>
      <c r="J422" s="520"/>
      <c r="K422" s="255"/>
      <c r="L422" s="520">
        <f t="shared" si="1116"/>
        <v>929.92</v>
      </c>
      <c r="M422" s="255">
        <f t="shared" si="1117"/>
        <v>929.92</v>
      </c>
      <c r="N422" s="520">
        <f t="shared" si="1118"/>
        <v>839.92</v>
      </c>
      <c r="O422" s="255">
        <f t="shared" si="1119"/>
        <v>839.92</v>
      </c>
      <c r="P422" s="520">
        <f t="shared" si="1120"/>
        <v>799.92</v>
      </c>
      <c r="Q422" s="255">
        <f t="shared" si="1121"/>
        <v>799.92</v>
      </c>
      <c r="R422" s="520">
        <f t="shared" si="1122"/>
        <v>779.92</v>
      </c>
      <c r="S422" s="255">
        <f t="shared" si="1123"/>
        <v>779.92</v>
      </c>
      <c r="T422" s="93">
        <f t="shared" si="1124"/>
        <v>764.92</v>
      </c>
      <c r="U422" s="234">
        <f t="shared" si="1125"/>
        <v>764.92</v>
      </c>
      <c r="V422" s="93">
        <f t="shared" si="1126"/>
        <v>754.92</v>
      </c>
      <c r="W422" s="234">
        <f t="shared" si="1127"/>
        <v>754.92</v>
      </c>
      <c r="X422" s="632"/>
      <c r="Y422" s="633"/>
      <c r="Z422" s="633"/>
      <c r="AA422" s="634"/>
      <c r="AB422" s="336">
        <v>2262</v>
      </c>
      <c r="AC422" s="62"/>
    </row>
    <row r="423" spans="1:29" ht="12.6" customHeight="1" x14ac:dyDescent="0.2">
      <c r="A423" s="17"/>
      <c r="B423" s="638" t="s">
        <v>581</v>
      </c>
      <c r="C423" s="1143"/>
      <c r="D423" s="1143"/>
      <c r="E423" s="1143"/>
      <c r="F423" s="322">
        <f>0.67*X2</f>
        <v>1031.8</v>
      </c>
      <c r="G423" s="256">
        <f t="shared" ref="G423:G424" si="1129">+F423*$X$1</f>
        <v>1031.8</v>
      </c>
      <c r="H423" s="528"/>
      <c r="I423" s="256"/>
      <c r="J423" s="528"/>
      <c r="K423" s="256"/>
      <c r="L423" s="528">
        <f t="shared" si="1116"/>
        <v>1271.8</v>
      </c>
      <c r="M423" s="256">
        <f t="shared" si="1117"/>
        <v>1271.8</v>
      </c>
      <c r="N423" s="528">
        <f t="shared" si="1118"/>
        <v>1181.8</v>
      </c>
      <c r="O423" s="256">
        <f t="shared" si="1119"/>
        <v>1181.8</v>
      </c>
      <c r="P423" s="528">
        <f t="shared" si="1120"/>
        <v>1141.8</v>
      </c>
      <c r="Q423" s="256">
        <f t="shared" si="1121"/>
        <v>1141.8</v>
      </c>
      <c r="R423" s="528">
        <f t="shared" si="1122"/>
        <v>1121.8</v>
      </c>
      <c r="S423" s="256">
        <f t="shared" si="1123"/>
        <v>1121.8</v>
      </c>
      <c r="T423" s="92">
        <f t="shared" si="1124"/>
        <v>1106.8</v>
      </c>
      <c r="U423" s="269">
        <f t="shared" si="1125"/>
        <v>1106.8</v>
      </c>
      <c r="V423" s="92">
        <f t="shared" si="1126"/>
        <v>1096.8</v>
      </c>
      <c r="W423" s="269">
        <f t="shared" si="1127"/>
        <v>1096.8</v>
      </c>
      <c r="X423" s="632"/>
      <c r="Y423" s="633"/>
      <c r="Z423" s="633"/>
      <c r="AA423" s="634"/>
      <c r="AB423" s="336">
        <v>2266</v>
      </c>
      <c r="AC423" s="62"/>
    </row>
    <row r="424" spans="1:29" ht="12.6" customHeight="1" x14ac:dyDescent="0.2">
      <c r="A424" s="17"/>
      <c r="B424" s="750" t="s">
        <v>996</v>
      </c>
      <c r="C424" s="751"/>
      <c r="D424" s="751"/>
      <c r="E424" s="751"/>
      <c r="F424" s="321">
        <f>0.22*X2</f>
        <v>338.8</v>
      </c>
      <c r="G424" s="255">
        <f t="shared" si="1129"/>
        <v>338.8</v>
      </c>
      <c r="H424" s="251"/>
      <c r="I424" s="251"/>
      <c r="J424" s="520"/>
      <c r="K424" s="520"/>
      <c r="L424" s="520">
        <f t="shared" si="1116"/>
        <v>578.79999999999995</v>
      </c>
      <c r="M424" s="255">
        <f t="shared" si="1117"/>
        <v>578.79999999999995</v>
      </c>
      <c r="N424" s="520">
        <f t="shared" si="1118"/>
        <v>488.8</v>
      </c>
      <c r="O424" s="255">
        <f t="shared" si="1119"/>
        <v>488.8</v>
      </c>
      <c r="P424" s="520">
        <f t="shared" si="1120"/>
        <v>448.8</v>
      </c>
      <c r="Q424" s="255">
        <f t="shared" si="1121"/>
        <v>448.8</v>
      </c>
      <c r="R424" s="520">
        <f t="shared" si="1122"/>
        <v>428.8</v>
      </c>
      <c r="S424" s="255">
        <f t="shared" si="1123"/>
        <v>428.8</v>
      </c>
      <c r="T424" s="93">
        <f t="shared" si="1124"/>
        <v>413.8</v>
      </c>
      <c r="U424" s="234">
        <f t="shared" si="1125"/>
        <v>413.8</v>
      </c>
      <c r="V424" s="93">
        <f t="shared" si="1126"/>
        <v>403.8</v>
      </c>
      <c r="W424" s="234">
        <f t="shared" si="1127"/>
        <v>403.8</v>
      </c>
      <c r="X424" s="597"/>
      <c r="Y424" s="598"/>
      <c r="Z424" s="598"/>
      <c r="AA424" s="597"/>
      <c r="AB424" s="336">
        <v>2267</v>
      </c>
      <c r="AC424" s="62"/>
    </row>
    <row r="425" spans="1:29" ht="12.6" customHeight="1" x14ac:dyDescent="0.2">
      <c r="A425" s="88"/>
      <c r="B425" s="647" t="s">
        <v>844</v>
      </c>
      <c r="C425" s="648"/>
      <c r="D425" s="648"/>
      <c r="E425" s="648"/>
      <c r="F425" s="322">
        <f>0.399*X2</f>
        <v>614.46</v>
      </c>
      <c r="G425" s="256">
        <f t="shared" ref="G425" si="1130">+F425*$X$1</f>
        <v>614.46</v>
      </c>
      <c r="H425" s="250"/>
      <c r="I425" s="301"/>
      <c r="J425" s="528"/>
      <c r="K425" s="256"/>
      <c r="L425" s="528">
        <f t="shared" si="1116"/>
        <v>854.46</v>
      </c>
      <c r="M425" s="256">
        <f t="shared" si="1117"/>
        <v>854.46</v>
      </c>
      <c r="N425" s="528">
        <f t="shared" si="1118"/>
        <v>764.46</v>
      </c>
      <c r="O425" s="256">
        <f t="shared" si="1119"/>
        <v>764.46</v>
      </c>
      <c r="P425" s="528">
        <f t="shared" si="1120"/>
        <v>724.46</v>
      </c>
      <c r="Q425" s="256">
        <f t="shared" si="1121"/>
        <v>724.46</v>
      </c>
      <c r="R425" s="528">
        <f t="shared" si="1122"/>
        <v>704.46</v>
      </c>
      <c r="S425" s="256">
        <f t="shared" si="1123"/>
        <v>704.46</v>
      </c>
      <c r="T425" s="92">
        <f t="shared" si="1124"/>
        <v>689.46</v>
      </c>
      <c r="U425" s="269">
        <f t="shared" si="1125"/>
        <v>689.46</v>
      </c>
      <c r="V425" s="92">
        <f t="shared" si="1126"/>
        <v>679.46</v>
      </c>
      <c r="W425" s="269">
        <f t="shared" si="1127"/>
        <v>679.46</v>
      </c>
      <c r="X425" s="126"/>
      <c r="Y425" s="122"/>
      <c r="Z425" s="122"/>
      <c r="AA425" s="125"/>
      <c r="AB425" s="336">
        <v>2269</v>
      </c>
    </row>
    <row r="426" spans="1:29" ht="12.6" customHeight="1" x14ac:dyDescent="0.2">
      <c r="A426" s="17"/>
      <c r="B426" s="1178" t="s">
        <v>220</v>
      </c>
      <c r="C426" s="1179"/>
      <c r="D426" s="1179"/>
      <c r="E426" s="1179"/>
      <c r="F426" s="451">
        <f>0.27*X2</f>
        <v>415.8</v>
      </c>
      <c r="G426" s="447">
        <f>+F426*$X$1</f>
        <v>415.8</v>
      </c>
      <c r="H426" s="448"/>
      <c r="I426" s="448"/>
      <c r="J426" s="617"/>
      <c r="K426" s="617"/>
      <c r="L426" s="617">
        <f t="shared" si="1116"/>
        <v>655.8</v>
      </c>
      <c r="M426" s="447">
        <f t="shared" si="1117"/>
        <v>655.8</v>
      </c>
      <c r="N426" s="617">
        <f t="shared" si="1118"/>
        <v>565.79999999999995</v>
      </c>
      <c r="O426" s="447">
        <f t="shared" si="1119"/>
        <v>565.79999999999995</v>
      </c>
      <c r="P426" s="617">
        <f t="shared" si="1120"/>
        <v>525.79999999999995</v>
      </c>
      <c r="Q426" s="447">
        <f t="shared" si="1121"/>
        <v>525.79999999999995</v>
      </c>
      <c r="R426" s="617">
        <f t="shared" si="1122"/>
        <v>505.8</v>
      </c>
      <c r="S426" s="447">
        <f t="shared" si="1123"/>
        <v>505.8</v>
      </c>
      <c r="T426" s="516">
        <f t="shared" si="1124"/>
        <v>490.8</v>
      </c>
      <c r="U426" s="515">
        <f t="shared" si="1125"/>
        <v>490.8</v>
      </c>
      <c r="V426" s="516">
        <f t="shared" si="1126"/>
        <v>480.8</v>
      </c>
      <c r="W426" s="515">
        <f t="shared" si="1127"/>
        <v>480.8</v>
      </c>
      <c r="X426" s="162"/>
      <c r="Y426" s="164"/>
      <c r="Z426" s="164"/>
      <c r="AA426" s="162"/>
      <c r="AB426" s="336">
        <v>2270</v>
      </c>
      <c r="AC426" s="62"/>
    </row>
    <row r="427" spans="1:29" ht="12.6" customHeight="1" x14ac:dyDescent="0.2">
      <c r="A427" s="17"/>
      <c r="B427" s="699" t="s">
        <v>794</v>
      </c>
      <c r="C427" s="1140"/>
      <c r="D427" s="1140"/>
      <c r="E427" s="1140"/>
      <c r="F427" s="321">
        <f>0.435*X2</f>
        <v>669.9</v>
      </c>
      <c r="G427" s="255">
        <f>+F427*$X$1</f>
        <v>669.9</v>
      </c>
      <c r="H427" s="251"/>
      <c r="I427" s="251"/>
      <c r="J427" s="520"/>
      <c r="K427" s="520"/>
      <c r="L427" s="520">
        <f t="shared" si="1116"/>
        <v>909.9</v>
      </c>
      <c r="M427" s="255">
        <f t="shared" si="1117"/>
        <v>909.9</v>
      </c>
      <c r="N427" s="520">
        <f t="shared" si="1118"/>
        <v>819.9</v>
      </c>
      <c r="O427" s="255">
        <f t="shared" si="1119"/>
        <v>819.9</v>
      </c>
      <c r="P427" s="520">
        <f t="shared" si="1120"/>
        <v>779.9</v>
      </c>
      <c r="Q427" s="255">
        <f t="shared" si="1121"/>
        <v>779.9</v>
      </c>
      <c r="R427" s="520">
        <f t="shared" si="1122"/>
        <v>759.9</v>
      </c>
      <c r="S427" s="255">
        <f t="shared" si="1123"/>
        <v>759.9</v>
      </c>
      <c r="T427" s="93">
        <f t="shared" si="1124"/>
        <v>744.9</v>
      </c>
      <c r="U427" s="234">
        <f t="shared" si="1125"/>
        <v>744.9</v>
      </c>
      <c r="V427" s="93">
        <f t="shared" si="1126"/>
        <v>734.9</v>
      </c>
      <c r="W427" s="234">
        <f t="shared" si="1127"/>
        <v>734.9</v>
      </c>
      <c r="X427" s="471"/>
      <c r="Y427" s="469"/>
      <c r="Z427" s="469"/>
      <c r="AA427" s="471"/>
      <c r="AB427" s="336">
        <v>2271</v>
      </c>
      <c r="AC427" s="62"/>
    </row>
    <row r="428" spans="1:29" ht="12.6" customHeight="1" x14ac:dyDescent="0.2">
      <c r="A428" s="17"/>
      <c r="B428" s="638" t="s">
        <v>795</v>
      </c>
      <c r="C428" s="1163"/>
      <c r="D428" s="1163"/>
      <c r="E428" s="1163"/>
      <c r="F428" s="322">
        <f>0.57*X2</f>
        <v>877.8</v>
      </c>
      <c r="G428" s="256">
        <f>+F428*$X$1</f>
        <v>877.8</v>
      </c>
      <c r="H428" s="250"/>
      <c r="I428" s="250"/>
      <c r="J428" s="528"/>
      <c r="K428" s="528"/>
      <c r="L428" s="528">
        <f t="shared" si="1116"/>
        <v>1117.8</v>
      </c>
      <c r="M428" s="256">
        <f t="shared" si="1117"/>
        <v>1117.8</v>
      </c>
      <c r="N428" s="528">
        <f t="shared" si="1118"/>
        <v>1027.8</v>
      </c>
      <c r="O428" s="256">
        <f t="shared" si="1119"/>
        <v>1027.8</v>
      </c>
      <c r="P428" s="528">
        <f t="shared" si="1120"/>
        <v>987.8</v>
      </c>
      <c r="Q428" s="256">
        <f t="shared" si="1121"/>
        <v>987.8</v>
      </c>
      <c r="R428" s="528">
        <f t="shared" si="1122"/>
        <v>967.8</v>
      </c>
      <c r="S428" s="256">
        <f t="shared" si="1123"/>
        <v>967.8</v>
      </c>
      <c r="T428" s="92">
        <f t="shared" si="1124"/>
        <v>952.8</v>
      </c>
      <c r="U428" s="269">
        <f t="shared" si="1125"/>
        <v>952.8</v>
      </c>
      <c r="V428" s="92">
        <f t="shared" si="1126"/>
        <v>942.8</v>
      </c>
      <c r="W428" s="269">
        <f t="shared" si="1127"/>
        <v>942.8</v>
      </c>
      <c r="X428" s="471"/>
      <c r="Y428" s="469"/>
      <c r="Z428" s="469"/>
      <c r="AA428" s="471"/>
      <c r="AB428" s="336">
        <v>2272</v>
      </c>
      <c r="AC428" s="62"/>
    </row>
    <row r="429" spans="1:29" ht="12.6" customHeight="1" x14ac:dyDescent="0.2">
      <c r="A429" s="17"/>
      <c r="B429" s="699" t="s">
        <v>221</v>
      </c>
      <c r="C429" s="700"/>
      <c r="D429" s="700"/>
      <c r="E429" s="700"/>
      <c r="F429" s="321">
        <f>0.504*X2</f>
        <v>776.16</v>
      </c>
      <c r="G429" s="255">
        <f>+F429*$X$1</f>
        <v>776.16</v>
      </c>
      <c r="H429" s="251"/>
      <c r="I429" s="251"/>
      <c r="J429" s="520"/>
      <c r="K429" s="520"/>
      <c r="L429" s="520">
        <f t="shared" si="1116"/>
        <v>1016.16</v>
      </c>
      <c r="M429" s="255">
        <f t="shared" si="1117"/>
        <v>1016.16</v>
      </c>
      <c r="N429" s="520">
        <f t="shared" si="1118"/>
        <v>926.16</v>
      </c>
      <c r="O429" s="255">
        <f t="shared" si="1119"/>
        <v>926.16</v>
      </c>
      <c r="P429" s="520">
        <f t="shared" si="1120"/>
        <v>886.16</v>
      </c>
      <c r="Q429" s="255">
        <f t="shared" si="1121"/>
        <v>886.16</v>
      </c>
      <c r="R429" s="520">
        <f t="shared" si="1122"/>
        <v>866.16</v>
      </c>
      <c r="S429" s="255">
        <f t="shared" si="1123"/>
        <v>866.16</v>
      </c>
      <c r="T429" s="93">
        <f t="shared" si="1124"/>
        <v>851.16</v>
      </c>
      <c r="U429" s="234">
        <f t="shared" si="1125"/>
        <v>851.16</v>
      </c>
      <c r="V429" s="93">
        <f t="shared" si="1126"/>
        <v>841.16</v>
      </c>
      <c r="W429" s="234">
        <f t="shared" si="1127"/>
        <v>841.16</v>
      </c>
      <c r="X429" s="162"/>
      <c r="Y429" s="164"/>
      <c r="Z429" s="164"/>
      <c r="AA429" s="162"/>
      <c r="AB429" s="336">
        <v>2275</v>
      </c>
      <c r="AC429" s="62"/>
    </row>
    <row r="430" spans="1:29" ht="12.6" customHeight="1" x14ac:dyDescent="0.2">
      <c r="A430" s="17"/>
      <c r="B430" s="638" t="s">
        <v>871</v>
      </c>
      <c r="C430" s="639"/>
      <c r="D430" s="639"/>
      <c r="E430" s="639"/>
      <c r="F430" s="322">
        <f>0.53*X2</f>
        <v>816.2</v>
      </c>
      <c r="G430" s="256">
        <f t="shared" ref="G430" si="1131">+F430*$X$1</f>
        <v>816.2</v>
      </c>
      <c r="H430" s="250"/>
      <c r="I430" s="250"/>
      <c r="J430" s="528"/>
      <c r="K430" s="528"/>
      <c r="L430" s="528">
        <f t="shared" si="1116"/>
        <v>1056.2</v>
      </c>
      <c r="M430" s="256">
        <f t="shared" si="1117"/>
        <v>1056.2</v>
      </c>
      <c r="N430" s="528">
        <f t="shared" si="1118"/>
        <v>966.2</v>
      </c>
      <c r="O430" s="256">
        <f t="shared" si="1119"/>
        <v>966.2</v>
      </c>
      <c r="P430" s="528">
        <f t="shared" si="1120"/>
        <v>926.2</v>
      </c>
      <c r="Q430" s="256">
        <f t="shared" si="1121"/>
        <v>926.2</v>
      </c>
      <c r="R430" s="528">
        <f t="shared" si="1122"/>
        <v>906.2</v>
      </c>
      <c r="S430" s="256">
        <f t="shared" si="1123"/>
        <v>906.2</v>
      </c>
      <c r="T430" s="92">
        <f t="shared" si="1124"/>
        <v>891.2</v>
      </c>
      <c r="U430" s="269">
        <f t="shared" si="1125"/>
        <v>891.2</v>
      </c>
      <c r="V430" s="92">
        <f t="shared" si="1126"/>
        <v>881.2</v>
      </c>
      <c r="W430" s="269">
        <f t="shared" si="1127"/>
        <v>881.2</v>
      </c>
      <c r="X430" s="208"/>
      <c r="Y430" s="209"/>
      <c r="Z430" s="209"/>
      <c r="AA430" s="208"/>
      <c r="AB430" s="336">
        <v>2279</v>
      </c>
      <c r="AC430" s="62"/>
    </row>
    <row r="431" spans="1:29" ht="12.6" customHeight="1" x14ac:dyDescent="0.2">
      <c r="A431" s="17"/>
      <c r="B431" s="699" t="s">
        <v>872</v>
      </c>
      <c r="C431" s="700"/>
      <c r="D431" s="700"/>
      <c r="E431" s="700"/>
      <c r="F431" s="321">
        <f>0.53*X2</f>
        <v>816.2</v>
      </c>
      <c r="G431" s="255">
        <f t="shared" ref="G431" si="1132">+F431*$X$1</f>
        <v>816.2</v>
      </c>
      <c r="H431" s="251"/>
      <c r="I431" s="251"/>
      <c r="J431" s="520"/>
      <c r="K431" s="520"/>
      <c r="L431" s="520">
        <f t="shared" si="1116"/>
        <v>1056.2</v>
      </c>
      <c r="M431" s="255">
        <f t="shared" si="1117"/>
        <v>1056.2</v>
      </c>
      <c r="N431" s="520">
        <f t="shared" si="1118"/>
        <v>966.2</v>
      </c>
      <c r="O431" s="255">
        <f t="shared" si="1119"/>
        <v>966.2</v>
      </c>
      <c r="P431" s="520">
        <f t="shared" si="1120"/>
        <v>926.2</v>
      </c>
      <c r="Q431" s="255">
        <f t="shared" si="1121"/>
        <v>926.2</v>
      </c>
      <c r="R431" s="520">
        <f t="shared" si="1122"/>
        <v>906.2</v>
      </c>
      <c r="S431" s="255">
        <f t="shared" si="1123"/>
        <v>906.2</v>
      </c>
      <c r="T431" s="93">
        <f t="shared" si="1124"/>
        <v>891.2</v>
      </c>
      <c r="U431" s="234">
        <f t="shared" si="1125"/>
        <v>891.2</v>
      </c>
      <c r="V431" s="93">
        <f t="shared" si="1126"/>
        <v>881.2</v>
      </c>
      <c r="W431" s="234">
        <f t="shared" si="1127"/>
        <v>881.2</v>
      </c>
      <c r="X431" s="521"/>
      <c r="Y431" s="522"/>
      <c r="Z431" s="522"/>
      <c r="AA431" s="521"/>
      <c r="AB431" s="336" t="s">
        <v>865</v>
      </c>
      <c r="AC431" s="62"/>
    </row>
    <row r="432" spans="1:29" ht="12.6" customHeight="1" x14ac:dyDescent="0.2">
      <c r="A432" s="17"/>
      <c r="B432" s="638" t="s">
        <v>222</v>
      </c>
      <c r="C432" s="639"/>
      <c r="D432" s="639"/>
      <c r="E432" s="639"/>
      <c r="F432" s="322">
        <f>0.429*X2</f>
        <v>660.66</v>
      </c>
      <c r="G432" s="256">
        <f>+F432*$X$1</f>
        <v>660.66</v>
      </c>
      <c r="H432" s="250"/>
      <c r="I432" s="250"/>
      <c r="J432" s="528"/>
      <c r="K432" s="528"/>
      <c r="L432" s="528">
        <f t="shared" si="1116"/>
        <v>900.66</v>
      </c>
      <c r="M432" s="256">
        <f t="shared" si="1117"/>
        <v>900.66</v>
      </c>
      <c r="N432" s="528">
        <f t="shared" si="1118"/>
        <v>810.66</v>
      </c>
      <c r="O432" s="256">
        <f t="shared" si="1119"/>
        <v>810.66</v>
      </c>
      <c r="P432" s="528">
        <f t="shared" si="1120"/>
        <v>770.66</v>
      </c>
      <c r="Q432" s="256">
        <f t="shared" si="1121"/>
        <v>770.66</v>
      </c>
      <c r="R432" s="528">
        <f t="shared" si="1122"/>
        <v>750.66</v>
      </c>
      <c r="S432" s="256">
        <f t="shared" si="1123"/>
        <v>750.66</v>
      </c>
      <c r="T432" s="92">
        <f t="shared" si="1124"/>
        <v>735.66</v>
      </c>
      <c r="U432" s="269">
        <f t="shared" si="1125"/>
        <v>735.66</v>
      </c>
      <c r="V432" s="92">
        <f t="shared" si="1126"/>
        <v>725.66</v>
      </c>
      <c r="W432" s="269">
        <f t="shared" si="1127"/>
        <v>725.66</v>
      </c>
      <c r="X432" s="162"/>
      <c r="Y432" s="164"/>
      <c r="Z432" s="164"/>
      <c r="AA432" s="162"/>
      <c r="AB432" s="336">
        <v>2280</v>
      </c>
      <c r="AC432" s="62"/>
    </row>
    <row r="433" spans="1:29" ht="12.6" customHeight="1" x14ac:dyDescent="0.2">
      <c r="A433" s="17"/>
      <c r="B433" s="699" t="s">
        <v>428</v>
      </c>
      <c r="C433" s="700"/>
      <c r="D433" s="700"/>
      <c r="E433" s="700"/>
      <c r="F433" s="321">
        <f>0.354*X2</f>
        <v>545.16</v>
      </c>
      <c r="G433" s="255">
        <f t="shared" ref="G433" si="1133">+F433*$X$1</f>
        <v>545.16</v>
      </c>
      <c r="H433" s="251"/>
      <c r="I433" s="251"/>
      <c r="J433" s="520"/>
      <c r="K433" s="520"/>
      <c r="L433" s="520">
        <f t="shared" si="1116"/>
        <v>785.16</v>
      </c>
      <c r="M433" s="255">
        <f t="shared" si="1117"/>
        <v>785.16</v>
      </c>
      <c r="N433" s="520">
        <f t="shared" si="1118"/>
        <v>695.16</v>
      </c>
      <c r="O433" s="255">
        <f t="shared" si="1119"/>
        <v>695.16</v>
      </c>
      <c r="P433" s="520">
        <f t="shared" si="1120"/>
        <v>655.16</v>
      </c>
      <c r="Q433" s="255">
        <f t="shared" si="1121"/>
        <v>655.16</v>
      </c>
      <c r="R433" s="520">
        <f t="shared" si="1122"/>
        <v>635.16</v>
      </c>
      <c r="S433" s="255">
        <f t="shared" si="1123"/>
        <v>635.16</v>
      </c>
      <c r="T433" s="93">
        <f t="shared" si="1124"/>
        <v>620.16</v>
      </c>
      <c r="U433" s="234">
        <f t="shared" si="1125"/>
        <v>620.16</v>
      </c>
      <c r="V433" s="93">
        <f t="shared" si="1126"/>
        <v>610.16</v>
      </c>
      <c r="W433" s="234">
        <f t="shared" si="1127"/>
        <v>610.16</v>
      </c>
      <c r="X433" s="162"/>
      <c r="Y433" s="164"/>
      <c r="Z433" s="164"/>
      <c r="AA433" s="162"/>
      <c r="AB433" s="336">
        <v>2281</v>
      </c>
      <c r="AC433" s="62"/>
    </row>
    <row r="434" spans="1:29" ht="12.6" customHeight="1" x14ac:dyDescent="0.2">
      <c r="A434" s="17"/>
      <c r="B434" s="640" t="s">
        <v>749</v>
      </c>
      <c r="C434" s="645"/>
      <c r="D434" s="645"/>
      <c r="E434" s="646"/>
      <c r="F434" s="323">
        <f>0.51*X2</f>
        <v>785.4</v>
      </c>
      <c r="G434" s="256">
        <f t="shared" ref="G434" si="1134">+F434*$X$1</f>
        <v>785.4</v>
      </c>
      <c r="H434" s="250"/>
      <c r="I434" s="301"/>
      <c r="J434" s="528"/>
      <c r="K434" s="256"/>
      <c r="L434" s="528">
        <f t="shared" si="1116"/>
        <v>1025.4000000000001</v>
      </c>
      <c r="M434" s="256">
        <f t="shared" si="1117"/>
        <v>1025.4000000000001</v>
      </c>
      <c r="N434" s="528">
        <f t="shared" si="1118"/>
        <v>935.4</v>
      </c>
      <c r="O434" s="256">
        <f t="shared" si="1119"/>
        <v>935.4</v>
      </c>
      <c r="P434" s="528">
        <f t="shared" si="1120"/>
        <v>895.4</v>
      </c>
      <c r="Q434" s="256">
        <f t="shared" si="1121"/>
        <v>895.4</v>
      </c>
      <c r="R434" s="528">
        <f t="shared" si="1122"/>
        <v>875.4</v>
      </c>
      <c r="S434" s="256">
        <f t="shared" si="1123"/>
        <v>875.4</v>
      </c>
      <c r="T434" s="92">
        <f t="shared" si="1124"/>
        <v>860.4</v>
      </c>
      <c r="U434" s="269">
        <f t="shared" si="1125"/>
        <v>860.4</v>
      </c>
      <c r="V434" s="92">
        <f t="shared" si="1126"/>
        <v>850.4</v>
      </c>
      <c r="W434" s="269">
        <f t="shared" si="1127"/>
        <v>850.4</v>
      </c>
      <c r="X434" s="119"/>
      <c r="Y434" s="119"/>
      <c r="Z434" s="119"/>
      <c r="AA434" s="119"/>
      <c r="AB434" s="336">
        <v>2282</v>
      </c>
    </row>
    <row r="435" spans="1:29" ht="12.6" customHeight="1" x14ac:dyDescent="0.2">
      <c r="A435" s="17"/>
      <c r="B435" s="657" t="s">
        <v>748</v>
      </c>
      <c r="C435" s="658"/>
      <c r="D435" s="658"/>
      <c r="E435" s="659"/>
      <c r="F435" s="324">
        <f>0.471*X2</f>
        <v>725.33999999999992</v>
      </c>
      <c r="G435" s="255">
        <f>+F435*$X$1</f>
        <v>725.33999999999992</v>
      </c>
      <c r="H435" s="251"/>
      <c r="I435" s="300"/>
      <c r="J435" s="520"/>
      <c r="K435" s="255"/>
      <c r="L435" s="520">
        <f t="shared" si="1116"/>
        <v>965.33999999999992</v>
      </c>
      <c r="M435" s="255">
        <f t="shared" si="1117"/>
        <v>965.33999999999992</v>
      </c>
      <c r="N435" s="520">
        <f t="shared" si="1118"/>
        <v>875.33999999999992</v>
      </c>
      <c r="O435" s="255">
        <f t="shared" si="1119"/>
        <v>875.33999999999992</v>
      </c>
      <c r="P435" s="520">
        <f t="shared" si="1120"/>
        <v>835.33999999999992</v>
      </c>
      <c r="Q435" s="255">
        <f t="shared" si="1121"/>
        <v>835.33999999999992</v>
      </c>
      <c r="R435" s="520">
        <f t="shared" si="1122"/>
        <v>815.33999999999992</v>
      </c>
      <c r="S435" s="255">
        <f t="shared" si="1123"/>
        <v>815.33999999999992</v>
      </c>
      <c r="T435" s="93">
        <f t="shared" si="1124"/>
        <v>800.33999999999992</v>
      </c>
      <c r="U435" s="234">
        <f t="shared" si="1125"/>
        <v>800.33999999999992</v>
      </c>
      <c r="V435" s="93">
        <f t="shared" si="1126"/>
        <v>790.33999999999992</v>
      </c>
      <c r="W435" s="234">
        <f t="shared" si="1127"/>
        <v>790.33999999999992</v>
      </c>
      <c r="X435" s="119"/>
      <c r="Y435" s="119"/>
      <c r="Z435" s="119"/>
      <c r="AA435" s="119"/>
      <c r="AB435" s="336">
        <v>2283</v>
      </c>
    </row>
    <row r="436" spans="1:29" ht="12.6" customHeight="1" x14ac:dyDescent="0.2">
      <c r="A436" s="17"/>
      <c r="B436" s="638" t="s">
        <v>300</v>
      </c>
      <c r="C436" s="639"/>
      <c r="D436" s="639"/>
      <c r="E436" s="639"/>
      <c r="F436" s="322">
        <f>0.569*X2</f>
        <v>876.25999999999988</v>
      </c>
      <c r="G436" s="256">
        <f>+F436*$X$1</f>
        <v>876.25999999999988</v>
      </c>
      <c r="H436" s="250"/>
      <c r="I436" s="250"/>
      <c r="J436" s="528"/>
      <c r="K436" s="528"/>
      <c r="L436" s="528">
        <f t="shared" si="1116"/>
        <v>1116.2599999999998</v>
      </c>
      <c r="M436" s="256">
        <f t="shared" si="1117"/>
        <v>1116.2599999999998</v>
      </c>
      <c r="N436" s="528">
        <f t="shared" si="1118"/>
        <v>1026.2599999999998</v>
      </c>
      <c r="O436" s="256">
        <f t="shared" si="1119"/>
        <v>1026.2599999999998</v>
      </c>
      <c r="P436" s="528">
        <f t="shared" si="1120"/>
        <v>986.25999999999988</v>
      </c>
      <c r="Q436" s="256">
        <f t="shared" si="1121"/>
        <v>986.25999999999988</v>
      </c>
      <c r="R436" s="528">
        <f t="shared" si="1122"/>
        <v>966.25999999999988</v>
      </c>
      <c r="S436" s="256">
        <f t="shared" si="1123"/>
        <v>966.25999999999988</v>
      </c>
      <c r="T436" s="92">
        <f t="shared" si="1124"/>
        <v>951.25999999999988</v>
      </c>
      <c r="U436" s="269">
        <f t="shared" si="1125"/>
        <v>951.25999999999988</v>
      </c>
      <c r="V436" s="92">
        <f t="shared" si="1126"/>
        <v>941.25999999999988</v>
      </c>
      <c r="W436" s="269">
        <f t="shared" si="1127"/>
        <v>941.25999999999988</v>
      </c>
      <c r="X436" s="173"/>
      <c r="Y436" s="172"/>
      <c r="Z436" s="172"/>
      <c r="AA436" s="173"/>
      <c r="AB436" s="336">
        <v>2285</v>
      </c>
      <c r="AC436" s="62"/>
    </row>
    <row r="437" spans="1:29" ht="12.6" customHeight="1" x14ac:dyDescent="0.2">
      <c r="A437" s="17"/>
      <c r="B437" s="699" t="s">
        <v>301</v>
      </c>
      <c r="C437" s="700"/>
      <c r="D437" s="700"/>
      <c r="E437" s="700"/>
      <c r="F437" s="321">
        <f>0.299*X2</f>
        <v>460.46</v>
      </c>
      <c r="G437" s="255">
        <f>+F437*$X$1</f>
        <v>460.46</v>
      </c>
      <c r="H437" s="251"/>
      <c r="I437" s="251"/>
      <c r="J437" s="520"/>
      <c r="K437" s="520"/>
      <c r="L437" s="520">
        <f t="shared" si="1116"/>
        <v>700.46</v>
      </c>
      <c r="M437" s="255">
        <f t="shared" si="1117"/>
        <v>700.46</v>
      </c>
      <c r="N437" s="520">
        <f t="shared" si="1118"/>
        <v>610.46</v>
      </c>
      <c r="O437" s="255">
        <f t="shared" si="1119"/>
        <v>610.46</v>
      </c>
      <c r="P437" s="520">
        <f t="shared" si="1120"/>
        <v>570.46</v>
      </c>
      <c r="Q437" s="255">
        <f t="shared" si="1121"/>
        <v>570.46</v>
      </c>
      <c r="R437" s="520">
        <f t="shared" si="1122"/>
        <v>550.46</v>
      </c>
      <c r="S437" s="255">
        <f t="shared" si="1123"/>
        <v>550.46</v>
      </c>
      <c r="T437" s="93">
        <f t="shared" si="1124"/>
        <v>535.46</v>
      </c>
      <c r="U437" s="234">
        <f t="shared" si="1125"/>
        <v>535.46</v>
      </c>
      <c r="V437" s="93">
        <f t="shared" si="1126"/>
        <v>525.46</v>
      </c>
      <c r="W437" s="234">
        <f t="shared" si="1127"/>
        <v>525.46</v>
      </c>
      <c r="X437" s="174"/>
      <c r="Y437" s="175"/>
      <c r="Z437" s="175"/>
      <c r="AA437" s="174"/>
      <c r="AB437" s="336">
        <v>2286</v>
      </c>
      <c r="AC437" s="62"/>
    </row>
    <row r="438" spans="1:29" ht="12.6" customHeight="1" x14ac:dyDescent="0.2">
      <c r="A438" s="17"/>
      <c r="B438" s="1176" t="s">
        <v>335</v>
      </c>
      <c r="C438" s="1177"/>
      <c r="D438" s="1177"/>
      <c r="E438" s="1177"/>
      <c r="F438" s="323">
        <f>0.45*X2</f>
        <v>693</v>
      </c>
      <c r="G438" s="280">
        <f t="shared" ref="G438:G440" si="1135">+F438*$X$1</f>
        <v>693</v>
      </c>
      <c r="H438" s="476"/>
      <c r="I438" s="476"/>
      <c r="J438" s="92"/>
      <c r="K438" s="92"/>
      <c r="L438" s="528">
        <f t="shared" si="1116"/>
        <v>933</v>
      </c>
      <c r="M438" s="256">
        <f t="shared" si="1117"/>
        <v>933</v>
      </c>
      <c r="N438" s="528">
        <f t="shared" si="1118"/>
        <v>843</v>
      </c>
      <c r="O438" s="256">
        <f t="shared" si="1119"/>
        <v>843</v>
      </c>
      <c r="P438" s="528">
        <f t="shared" si="1120"/>
        <v>803</v>
      </c>
      <c r="Q438" s="256">
        <f t="shared" si="1121"/>
        <v>803</v>
      </c>
      <c r="R438" s="528">
        <f t="shared" si="1122"/>
        <v>783</v>
      </c>
      <c r="S438" s="256">
        <f t="shared" si="1123"/>
        <v>783</v>
      </c>
      <c r="T438" s="92">
        <f t="shared" si="1124"/>
        <v>768</v>
      </c>
      <c r="U438" s="269">
        <f t="shared" si="1125"/>
        <v>768</v>
      </c>
      <c r="V438" s="92">
        <f t="shared" si="1126"/>
        <v>758</v>
      </c>
      <c r="W438" s="269">
        <f t="shared" si="1127"/>
        <v>758</v>
      </c>
      <c r="X438" s="203"/>
      <c r="Y438" s="202"/>
      <c r="Z438" s="202"/>
      <c r="AA438" s="203"/>
      <c r="AB438" s="336">
        <v>2287</v>
      </c>
      <c r="AC438" s="62"/>
    </row>
    <row r="439" spans="1:29" ht="12.6" customHeight="1" x14ac:dyDescent="0.2">
      <c r="A439" s="17"/>
      <c r="B439" s="1156" t="s">
        <v>344</v>
      </c>
      <c r="C439" s="1157"/>
      <c r="D439" s="1157"/>
      <c r="E439" s="1158"/>
      <c r="F439" s="321">
        <f>0.7*X2</f>
        <v>1078</v>
      </c>
      <c r="G439" s="255">
        <f t="shared" si="1135"/>
        <v>1078</v>
      </c>
      <c r="H439" s="251"/>
      <c r="I439" s="251"/>
      <c r="J439" s="520"/>
      <c r="K439" s="520"/>
      <c r="L439" s="520">
        <f t="shared" si="1116"/>
        <v>1318</v>
      </c>
      <c r="M439" s="255">
        <f t="shared" si="1117"/>
        <v>1318</v>
      </c>
      <c r="N439" s="520">
        <f t="shared" si="1118"/>
        <v>1228</v>
      </c>
      <c r="O439" s="255">
        <f t="shared" si="1119"/>
        <v>1228</v>
      </c>
      <c r="P439" s="520">
        <f t="shared" si="1120"/>
        <v>1188</v>
      </c>
      <c r="Q439" s="255">
        <f t="shared" si="1121"/>
        <v>1188</v>
      </c>
      <c r="R439" s="520">
        <f t="shared" si="1122"/>
        <v>1168</v>
      </c>
      <c r="S439" s="255">
        <f t="shared" si="1123"/>
        <v>1168</v>
      </c>
      <c r="T439" s="93">
        <f t="shared" si="1124"/>
        <v>1153</v>
      </c>
      <c r="U439" s="234">
        <f t="shared" si="1125"/>
        <v>1153</v>
      </c>
      <c r="V439" s="93">
        <f t="shared" si="1126"/>
        <v>1143</v>
      </c>
      <c r="W439" s="234">
        <f t="shared" si="1127"/>
        <v>1143</v>
      </c>
      <c r="X439" s="204"/>
      <c r="Y439" s="205"/>
      <c r="Z439" s="205"/>
      <c r="AA439" s="204"/>
      <c r="AB439" s="336">
        <v>2289</v>
      </c>
      <c r="AC439" s="62"/>
    </row>
    <row r="440" spans="1:29" ht="12.6" customHeight="1" x14ac:dyDescent="0.2">
      <c r="A440" s="17"/>
      <c r="B440" s="726" t="s">
        <v>604</v>
      </c>
      <c r="C440" s="727"/>
      <c r="D440" s="727"/>
      <c r="E440" s="728"/>
      <c r="F440" s="323">
        <f>0.725*X2</f>
        <v>1116.5</v>
      </c>
      <c r="G440" s="256">
        <f t="shared" si="1135"/>
        <v>1116.5</v>
      </c>
      <c r="H440" s="250"/>
      <c r="I440" s="250"/>
      <c r="J440" s="528"/>
      <c r="K440" s="528"/>
      <c r="L440" s="528">
        <f t="shared" si="1116"/>
        <v>1356.5</v>
      </c>
      <c r="M440" s="256">
        <f t="shared" si="1117"/>
        <v>1356.5</v>
      </c>
      <c r="N440" s="528">
        <f t="shared" si="1118"/>
        <v>1266.5</v>
      </c>
      <c r="O440" s="256">
        <f t="shared" si="1119"/>
        <v>1266.5</v>
      </c>
      <c r="P440" s="528">
        <f t="shared" si="1120"/>
        <v>1226.5</v>
      </c>
      <c r="Q440" s="256">
        <f t="shared" si="1121"/>
        <v>1226.5</v>
      </c>
      <c r="R440" s="528">
        <f t="shared" si="1122"/>
        <v>1206.5</v>
      </c>
      <c r="S440" s="256">
        <f t="shared" si="1123"/>
        <v>1206.5</v>
      </c>
      <c r="T440" s="92">
        <f t="shared" si="1124"/>
        <v>1191.5</v>
      </c>
      <c r="U440" s="269">
        <f t="shared" si="1125"/>
        <v>1191.5</v>
      </c>
      <c r="V440" s="92">
        <f t="shared" si="1126"/>
        <v>1181.5</v>
      </c>
      <c r="W440" s="269">
        <f t="shared" si="1127"/>
        <v>1181.5</v>
      </c>
      <c r="X440" s="371"/>
      <c r="Y440" s="372"/>
      <c r="Z440" s="372"/>
      <c r="AA440" s="371"/>
      <c r="AB440" s="336">
        <v>2290</v>
      </c>
      <c r="AC440" s="62"/>
    </row>
    <row r="441" spans="1:29" ht="12.6" customHeight="1" x14ac:dyDescent="0.2">
      <c r="A441" s="17"/>
      <c r="B441" s="722" t="s">
        <v>427</v>
      </c>
      <c r="C441" s="723"/>
      <c r="D441" s="723"/>
      <c r="E441" s="724"/>
      <c r="F441" s="324">
        <f>0.377*X2</f>
        <v>580.58000000000004</v>
      </c>
      <c r="G441" s="255">
        <f t="shared" ref="G441" si="1136">+F441*$X$1</f>
        <v>580.58000000000004</v>
      </c>
      <c r="H441" s="251"/>
      <c r="I441" s="251"/>
      <c r="J441" s="520"/>
      <c r="K441" s="520"/>
      <c r="L441" s="520">
        <f t="shared" si="1116"/>
        <v>820.58</v>
      </c>
      <c r="M441" s="255">
        <f t="shared" si="1117"/>
        <v>820.58</v>
      </c>
      <c r="N441" s="520">
        <f t="shared" si="1118"/>
        <v>730.58</v>
      </c>
      <c r="O441" s="255">
        <f t="shared" si="1119"/>
        <v>730.58</v>
      </c>
      <c r="P441" s="520">
        <f t="shared" si="1120"/>
        <v>690.58</v>
      </c>
      <c r="Q441" s="255">
        <f t="shared" si="1121"/>
        <v>690.58</v>
      </c>
      <c r="R441" s="520">
        <f t="shared" si="1122"/>
        <v>670.58</v>
      </c>
      <c r="S441" s="255">
        <f t="shared" si="1123"/>
        <v>670.58</v>
      </c>
      <c r="T441" s="93">
        <f t="shared" si="1124"/>
        <v>655.58</v>
      </c>
      <c r="U441" s="234">
        <f t="shared" si="1125"/>
        <v>655.58</v>
      </c>
      <c r="V441" s="93">
        <f t="shared" si="1126"/>
        <v>645.58000000000004</v>
      </c>
      <c r="W441" s="234">
        <f t="shared" si="1127"/>
        <v>645.58000000000004</v>
      </c>
      <c r="X441" s="227"/>
      <c r="Y441" s="231"/>
      <c r="Z441" s="231"/>
      <c r="AA441" s="227"/>
      <c r="AB441" s="336">
        <v>2291</v>
      </c>
      <c r="AC441" s="62"/>
    </row>
    <row r="442" spans="1:29" ht="12.6" customHeight="1" x14ac:dyDescent="0.2">
      <c r="A442" s="17"/>
      <c r="B442" s="726" t="s">
        <v>546</v>
      </c>
      <c r="C442" s="727"/>
      <c r="D442" s="727"/>
      <c r="E442" s="728"/>
      <c r="F442" s="323">
        <f>0.22*X2</f>
        <v>338.8</v>
      </c>
      <c r="G442" s="256">
        <f t="shared" ref="G442" si="1137">+F442*$X$1</f>
        <v>338.8</v>
      </c>
      <c r="H442" s="250"/>
      <c r="I442" s="250"/>
      <c r="J442" s="528"/>
      <c r="K442" s="528"/>
      <c r="L442" s="528">
        <f t="shared" si="1116"/>
        <v>578.79999999999995</v>
      </c>
      <c r="M442" s="256">
        <f t="shared" si="1117"/>
        <v>578.79999999999995</v>
      </c>
      <c r="N442" s="528">
        <f t="shared" si="1118"/>
        <v>488.8</v>
      </c>
      <c r="O442" s="256">
        <f t="shared" si="1119"/>
        <v>488.8</v>
      </c>
      <c r="P442" s="528">
        <f t="shared" si="1120"/>
        <v>448.8</v>
      </c>
      <c r="Q442" s="256">
        <f t="shared" si="1121"/>
        <v>448.8</v>
      </c>
      <c r="R442" s="528">
        <f t="shared" si="1122"/>
        <v>428.8</v>
      </c>
      <c r="S442" s="256">
        <f t="shared" si="1123"/>
        <v>428.8</v>
      </c>
      <c r="T442" s="92">
        <f t="shared" si="1124"/>
        <v>413.8</v>
      </c>
      <c r="U442" s="269">
        <f t="shared" si="1125"/>
        <v>413.8</v>
      </c>
      <c r="V442" s="92">
        <f t="shared" si="1126"/>
        <v>403.8</v>
      </c>
      <c r="W442" s="269">
        <f t="shared" si="1127"/>
        <v>403.8</v>
      </c>
      <c r="X442" s="232"/>
      <c r="Y442" s="233"/>
      <c r="Z442" s="233"/>
      <c r="AA442" s="232"/>
      <c r="AB442" s="336">
        <v>2292</v>
      </c>
      <c r="AC442" s="62"/>
    </row>
    <row r="443" spans="1:29" ht="12.6" customHeight="1" x14ac:dyDescent="0.2">
      <c r="A443" s="17"/>
      <c r="B443" s="722" t="s">
        <v>444</v>
      </c>
      <c r="C443" s="723"/>
      <c r="D443" s="723"/>
      <c r="E443" s="724"/>
      <c r="F443" s="324">
        <f>0.63*X2</f>
        <v>970.2</v>
      </c>
      <c r="G443" s="255">
        <f t="shared" ref="G443" si="1138">+F443*$X$1</f>
        <v>970.2</v>
      </c>
      <c r="H443" s="251"/>
      <c r="I443" s="251"/>
      <c r="J443" s="520"/>
      <c r="K443" s="520"/>
      <c r="L443" s="520">
        <f t="shared" si="1116"/>
        <v>1210.2</v>
      </c>
      <c r="M443" s="255">
        <f t="shared" si="1117"/>
        <v>1210.2</v>
      </c>
      <c r="N443" s="520">
        <f t="shared" si="1118"/>
        <v>1120.2</v>
      </c>
      <c r="O443" s="255">
        <f t="shared" si="1119"/>
        <v>1120.2</v>
      </c>
      <c r="P443" s="520">
        <f t="shared" si="1120"/>
        <v>1080.2</v>
      </c>
      <c r="Q443" s="255">
        <f t="shared" si="1121"/>
        <v>1080.2</v>
      </c>
      <c r="R443" s="520">
        <f t="shared" si="1122"/>
        <v>1060.2</v>
      </c>
      <c r="S443" s="255">
        <f t="shared" si="1123"/>
        <v>1060.2</v>
      </c>
      <c r="T443" s="93">
        <f t="shared" si="1124"/>
        <v>1045.2</v>
      </c>
      <c r="U443" s="234">
        <f t="shared" si="1125"/>
        <v>1045.2</v>
      </c>
      <c r="V443" s="93">
        <f t="shared" si="1126"/>
        <v>1035.2</v>
      </c>
      <c r="W443" s="234">
        <f t="shared" si="1127"/>
        <v>1035.2</v>
      </c>
      <c r="X443" s="235"/>
      <c r="Y443" s="236"/>
      <c r="Z443" s="236"/>
      <c r="AA443" s="235"/>
      <c r="AB443" s="336">
        <v>2293</v>
      </c>
      <c r="AC443" s="62"/>
    </row>
    <row r="444" spans="1:29" ht="12.6" customHeight="1" x14ac:dyDescent="0.2">
      <c r="A444" s="17"/>
      <c r="B444" s="726" t="s">
        <v>386</v>
      </c>
      <c r="C444" s="727"/>
      <c r="D444" s="727"/>
      <c r="E444" s="728"/>
      <c r="F444" s="323">
        <f>0.392*X2</f>
        <v>603.68000000000006</v>
      </c>
      <c r="G444" s="256">
        <f t="shared" ref="G444" si="1139">+F444*$X$1</f>
        <v>603.68000000000006</v>
      </c>
      <c r="H444" s="250"/>
      <c r="I444" s="250"/>
      <c r="J444" s="528"/>
      <c r="K444" s="528"/>
      <c r="L444" s="528">
        <f t="shared" si="1116"/>
        <v>843.68000000000006</v>
      </c>
      <c r="M444" s="256">
        <f t="shared" si="1117"/>
        <v>843.68000000000006</v>
      </c>
      <c r="N444" s="528">
        <f t="shared" si="1118"/>
        <v>753.68000000000006</v>
      </c>
      <c r="O444" s="256">
        <f t="shared" si="1119"/>
        <v>753.68000000000006</v>
      </c>
      <c r="P444" s="528">
        <f t="shared" si="1120"/>
        <v>713.68000000000006</v>
      </c>
      <c r="Q444" s="256">
        <f t="shared" si="1121"/>
        <v>713.68000000000006</v>
      </c>
      <c r="R444" s="528">
        <f t="shared" si="1122"/>
        <v>693.68000000000006</v>
      </c>
      <c r="S444" s="256">
        <f t="shared" si="1123"/>
        <v>693.68000000000006</v>
      </c>
      <c r="T444" s="92">
        <f t="shared" si="1124"/>
        <v>678.68000000000006</v>
      </c>
      <c r="U444" s="269">
        <f t="shared" si="1125"/>
        <v>678.68000000000006</v>
      </c>
      <c r="V444" s="92">
        <f t="shared" si="1126"/>
        <v>668.68000000000006</v>
      </c>
      <c r="W444" s="269">
        <f t="shared" si="1127"/>
        <v>668.68000000000006</v>
      </c>
      <c r="X444" s="206"/>
      <c r="Y444" s="207"/>
      <c r="Z444" s="207"/>
      <c r="AA444" s="206"/>
      <c r="AB444" s="336">
        <v>2295</v>
      </c>
      <c r="AC444" s="62"/>
    </row>
    <row r="445" spans="1:29" ht="12.6" customHeight="1" x14ac:dyDescent="0.2">
      <c r="A445" s="17"/>
      <c r="B445" s="722" t="s">
        <v>346</v>
      </c>
      <c r="C445" s="723"/>
      <c r="D445" s="723"/>
      <c r="E445" s="724"/>
      <c r="F445" s="324">
        <f>0.372*X2</f>
        <v>572.88</v>
      </c>
      <c r="G445" s="255">
        <f t="shared" ref="G445" si="1140">+F445*$X$1</f>
        <v>572.88</v>
      </c>
      <c r="H445" s="251"/>
      <c r="I445" s="251"/>
      <c r="J445" s="520"/>
      <c r="K445" s="520"/>
      <c r="L445" s="520">
        <f t="shared" si="1116"/>
        <v>812.88</v>
      </c>
      <c r="M445" s="255">
        <f t="shared" si="1117"/>
        <v>812.88</v>
      </c>
      <c r="N445" s="520">
        <f t="shared" si="1118"/>
        <v>722.88</v>
      </c>
      <c r="O445" s="255">
        <f t="shared" si="1119"/>
        <v>722.88</v>
      </c>
      <c r="P445" s="520">
        <f t="shared" si="1120"/>
        <v>682.88</v>
      </c>
      <c r="Q445" s="255">
        <f t="shared" si="1121"/>
        <v>682.88</v>
      </c>
      <c r="R445" s="520">
        <f t="shared" si="1122"/>
        <v>662.88</v>
      </c>
      <c r="S445" s="255">
        <f t="shared" si="1123"/>
        <v>662.88</v>
      </c>
      <c r="T445" s="93">
        <f t="shared" si="1124"/>
        <v>647.88</v>
      </c>
      <c r="U445" s="234">
        <f t="shared" si="1125"/>
        <v>647.88</v>
      </c>
      <c r="V445" s="93">
        <f t="shared" si="1126"/>
        <v>637.88</v>
      </c>
      <c r="W445" s="234">
        <f t="shared" si="1127"/>
        <v>637.88</v>
      </c>
      <c r="X445" s="206"/>
      <c r="Y445" s="207"/>
      <c r="Z445" s="207"/>
      <c r="AA445" s="206"/>
      <c r="AB445" s="336">
        <v>2296</v>
      </c>
      <c r="AC445" s="62"/>
    </row>
    <row r="446" spans="1:29" ht="12.6" customHeight="1" x14ac:dyDescent="0.2">
      <c r="A446" s="17"/>
      <c r="B446" s="726" t="s">
        <v>481</v>
      </c>
      <c r="C446" s="727"/>
      <c r="D446" s="727"/>
      <c r="E446" s="728"/>
      <c r="F446" s="323">
        <f>0.565*X2</f>
        <v>870.09999999999991</v>
      </c>
      <c r="G446" s="256">
        <f t="shared" ref="G446" si="1141">+F446*$X$1</f>
        <v>870.09999999999991</v>
      </c>
      <c r="H446" s="250"/>
      <c r="I446" s="250"/>
      <c r="J446" s="528"/>
      <c r="K446" s="256"/>
      <c r="L446" s="528">
        <f t="shared" si="1116"/>
        <v>1110.0999999999999</v>
      </c>
      <c r="M446" s="256">
        <f t="shared" si="1117"/>
        <v>1110.0999999999999</v>
      </c>
      <c r="N446" s="528">
        <f t="shared" si="1118"/>
        <v>1020.0999999999999</v>
      </c>
      <c r="O446" s="256">
        <f t="shared" si="1119"/>
        <v>1020.0999999999999</v>
      </c>
      <c r="P446" s="528">
        <f t="shared" si="1120"/>
        <v>980.09999999999991</v>
      </c>
      <c r="Q446" s="256">
        <f t="shared" si="1121"/>
        <v>980.09999999999991</v>
      </c>
      <c r="R446" s="528">
        <f t="shared" si="1122"/>
        <v>960.09999999999991</v>
      </c>
      <c r="S446" s="256">
        <f t="shared" si="1123"/>
        <v>960.09999999999991</v>
      </c>
      <c r="T446" s="92">
        <f t="shared" si="1124"/>
        <v>945.09999999999991</v>
      </c>
      <c r="U446" s="269">
        <f t="shared" si="1125"/>
        <v>945.09999999999991</v>
      </c>
      <c r="V446" s="92">
        <f t="shared" si="1126"/>
        <v>935.09999999999991</v>
      </c>
      <c r="W446" s="269">
        <f t="shared" si="1127"/>
        <v>935.09999999999991</v>
      </c>
      <c r="X446" s="277"/>
      <c r="Y446" s="278"/>
      <c r="Z446" s="278"/>
      <c r="AA446" s="277"/>
      <c r="AB446" s="336">
        <v>2299</v>
      </c>
      <c r="AC446" s="62"/>
    </row>
    <row r="447" spans="1:29" ht="12.6" customHeight="1" x14ac:dyDescent="0.2">
      <c r="A447" s="17"/>
      <c r="B447" s="657" t="s">
        <v>756</v>
      </c>
      <c r="C447" s="677"/>
      <c r="D447" s="677"/>
      <c r="E447" s="678"/>
      <c r="F447" s="321">
        <f>1.14*X2</f>
        <v>1755.6</v>
      </c>
      <c r="G447" s="255">
        <f>+F447*$X$1</f>
        <v>1755.6</v>
      </c>
      <c r="H447" s="520">
        <f>F447+700</f>
        <v>2455.6</v>
      </c>
      <c r="I447" s="255">
        <f t="shared" ref="I447:I450" si="1142">+H447*$X$1</f>
        <v>2455.6</v>
      </c>
      <c r="J447" s="520">
        <f>F447+220</f>
        <v>1975.6</v>
      </c>
      <c r="K447" s="255">
        <f t="shared" ref="K447:K450" si="1143">+J447*$X$1</f>
        <v>1975.6</v>
      </c>
      <c r="L447" s="520">
        <f>F447+170</f>
        <v>1925.6</v>
      </c>
      <c r="M447" s="255">
        <f t="shared" si="1117"/>
        <v>1925.6</v>
      </c>
      <c r="N447" s="520">
        <f>F447+130</f>
        <v>1885.6</v>
      </c>
      <c r="O447" s="255">
        <f t="shared" si="1119"/>
        <v>1885.6</v>
      </c>
      <c r="P447" s="520">
        <f>F447+100</f>
        <v>1855.6</v>
      </c>
      <c r="Q447" s="255">
        <f t="shared" si="1121"/>
        <v>1855.6</v>
      </c>
      <c r="R447" s="520">
        <f>F447+80</f>
        <v>1835.6</v>
      </c>
      <c r="S447" s="255">
        <f t="shared" si="1123"/>
        <v>1835.6</v>
      </c>
      <c r="T447" s="520">
        <f>F447+65</f>
        <v>1820.6</v>
      </c>
      <c r="U447" s="255">
        <f t="shared" si="1125"/>
        <v>1820.6</v>
      </c>
      <c r="V447" s="520">
        <f>F447+60</f>
        <v>1815.6</v>
      </c>
      <c r="W447" s="255">
        <f t="shared" si="1127"/>
        <v>1815.6</v>
      </c>
      <c r="X447" s="637"/>
      <c r="Y447" s="633"/>
      <c r="Z447" s="633"/>
      <c r="AA447" s="634"/>
      <c r="AB447" s="336">
        <v>2310</v>
      </c>
      <c r="AC447" s="62"/>
    </row>
    <row r="448" spans="1:29" ht="12.6" customHeight="1" x14ac:dyDescent="0.2">
      <c r="A448" s="17"/>
      <c r="B448" s="638" t="s">
        <v>377</v>
      </c>
      <c r="C448" s="1143"/>
      <c r="D448" s="1143"/>
      <c r="E448" s="1143"/>
      <c r="F448" s="322">
        <f>0.93*X2</f>
        <v>1432.2</v>
      </c>
      <c r="G448" s="256">
        <f>+F448*$X$1</f>
        <v>1432.2</v>
      </c>
      <c r="H448" s="528">
        <f>F448+700</f>
        <v>2132.1999999999998</v>
      </c>
      <c r="I448" s="256">
        <f t="shared" si="1142"/>
        <v>2132.1999999999998</v>
      </c>
      <c r="J448" s="528">
        <f>F448+220</f>
        <v>1652.2</v>
      </c>
      <c r="K448" s="256">
        <f t="shared" si="1143"/>
        <v>1652.2</v>
      </c>
      <c r="L448" s="528">
        <f>F448+170</f>
        <v>1602.2</v>
      </c>
      <c r="M448" s="256">
        <f t="shared" si="1117"/>
        <v>1602.2</v>
      </c>
      <c r="N448" s="528">
        <f>F448+130</f>
        <v>1562.2</v>
      </c>
      <c r="O448" s="256">
        <f t="shared" si="1119"/>
        <v>1562.2</v>
      </c>
      <c r="P448" s="528">
        <f>F448+100</f>
        <v>1532.2</v>
      </c>
      <c r="Q448" s="256">
        <f t="shared" si="1121"/>
        <v>1532.2</v>
      </c>
      <c r="R448" s="528">
        <f>F448+80</f>
        <v>1512.2</v>
      </c>
      <c r="S448" s="256">
        <f t="shared" si="1123"/>
        <v>1512.2</v>
      </c>
      <c r="T448" s="528">
        <f>F448+65</f>
        <v>1497.2</v>
      </c>
      <c r="U448" s="256">
        <f t="shared" si="1125"/>
        <v>1497.2</v>
      </c>
      <c r="V448" s="528">
        <f>F448+60</f>
        <v>1492.2</v>
      </c>
      <c r="W448" s="256">
        <f t="shared" si="1127"/>
        <v>1492.2</v>
      </c>
      <c r="X448" s="637"/>
      <c r="Y448" s="633"/>
      <c r="Z448" s="633"/>
      <c r="AA448" s="634"/>
      <c r="AB448" s="336">
        <v>2322</v>
      </c>
      <c r="AC448" s="62"/>
    </row>
    <row r="449" spans="1:29" ht="12.6" customHeight="1" x14ac:dyDescent="0.2">
      <c r="A449" s="17"/>
      <c r="B449" s="750" t="s">
        <v>783</v>
      </c>
      <c r="C449" s="1164"/>
      <c r="D449" s="1164"/>
      <c r="E449" s="1164"/>
      <c r="F449" s="321">
        <f>0.93*X2</f>
        <v>1432.2</v>
      </c>
      <c r="G449" s="255">
        <f>+F449*$X$1</f>
        <v>1432.2</v>
      </c>
      <c r="H449" s="520">
        <f>F449+700</f>
        <v>2132.1999999999998</v>
      </c>
      <c r="I449" s="255">
        <f t="shared" si="1142"/>
        <v>2132.1999999999998</v>
      </c>
      <c r="J449" s="520">
        <f>F449+220</f>
        <v>1652.2</v>
      </c>
      <c r="K449" s="255">
        <f t="shared" si="1143"/>
        <v>1652.2</v>
      </c>
      <c r="L449" s="520">
        <f>F449+170</f>
        <v>1602.2</v>
      </c>
      <c r="M449" s="255">
        <f t="shared" si="1117"/>
        <v>1602.2</v>
      </c>
      <c r="N449" s="520">
        <f>F449+130</f>
        <v>1562.2</v>
      </c>
      <c r="O449" s="255">
        <f t="shared" si="1119"/>
        <v>1562.2</v>
      </c>
      <c r="P449" s="520">
        <f>F449+100</f>
        <v>1532.2</v>
      </c>
      <c r="Q449" s="255">
        <f t="shared" si="1121"/>
        <v>1532.2</v>
      </c>
      <c r="R449" s="520">
        <f>F449+80</f>
        <v>1512.2</v>
      </c>
      <c r="S449" s="255">
        <f t="shared" si="1123"/>
        <v>1512.2</v>
      </c>
      <c r="T449" s="520">
        <f>F449+65</f>
        <v>1497.2</v>
      </c>
      <c r="U449" s="255">
        <f t="shared" si="1125"/>
        <v>1497.2</v>
      </c>
      <c r="V449" s="520">
        <f>F449+60</f>
        <v>1492.2</v>
      </c>
      <c r="W449" s="255">
        <f t="shared" si="1127"/>
        <v>1492.2</v>
      </c>
      <c r="X449" s="637"/>
      <c r="Y449" s="633"/>
      <c r="Z449" s="633"/>
      <c r="AA449" s="634"/>
      <c r="AB449" s="336" t="s">
        <v>804</v>
      </c>
      <c r="AC449" s="62"/>
    </row>
    <row r="450" spans="1:29" ht="12.6" customHeight="1" x14ac:dyDescent="0.2">
      <c r="A450" s="17"/>
      <c r="B450" s="638" t="s">
        <v>720</v>
      </c>
      <c r="C450" s="1143"/>
      <c r="D450" s="1143"/>
      <c r="E450" s="1143"/>
      <c r="F450" s="322">
        <f>1.255*X2</f>
        <v>1932.6999999999998</v>
      </c>
      <c r="G450" s="256">
        <f>+F450*$X$1</f>
        <v>1932.6999999999998</v>
      </c>
      <c r="H450" s="528">
        <f>F450+700</f>
        <v>2632.7</v>
      </c>
      <c r="I450" s="256">
        <f t="shared" si="1142"/>
        <v>2632.7</v>
      </c>
      <c r="J450" s="528">
        <f>F450+220</f>
        <v>2152.6999999999998</v>
      </c>
      <c r="K450" s="256">
        <f t="shared" si="1143"/>
        <v>2152.6999999999998</v>
      </c>
      <c r="L450" s="528">
        <f>F450+170</f>
        <v>2102.6999999999998</v>
      </c>
      <c r="M450" s="256">
        <f t="shared" si="1117"/>
        <v>2102.6999999999998</v>
      </c>
      <c r="N450" s="528">
        <f>F450+130</f>
        <v>2062.6999999999998</v>
      </c>
      <c r="O450" s="256">
        <f t="shared" si="1119"/>
        <v>2062.6999999999998</v>
      </c>
      <c r="P450" s="528">
        <f>F450+100</f>
        <v>2032.6999999999998</v>
      </c>
      <c r="Q450" s="256">
        <f t="shared" si="1121"/>
        <v>2032.6999999999998</v>
      </c>
      <c r="R450" s="528">
        <f>F450+80</f>
        <v>2012.6999999999998</v>
      </c>
      <c r="S450" s="256">
        <f t="shared" si="1123"/>
        <v>2012.6999999999998</v>
      </c>
      <c r="T450" s="528">
        <f>F450+65</f>
        <v>1997.6999999999998</v>
      </c>
      <c r="U450" s="256">
        <f t="shared" si="1125"/>
        <v>1997.6999999999998</v>
      </c>
      <c r="V450" s="528">
        <f>F450+60</f>
        <v>1992.6999999999998</v>
      </c>
      <c r="W450" s="256">
        <f t="shared" si="1127"/>
        <v>1992.6999999999998</v>
      </c>
      <c r="X450" s="637"/>
      <c r="Y450" s="633"/>
      <c r="Z450" s="633"/>
      <c r="AA450" s="634"/>
      <c r="AB450" s="336">
        <v>2327</v>
      </c>
      <c r="AC450" s="62"/>
    </row>
    <row r="451" spans="1:29" ht="12.6" customHeight="1" x14ac:dyDescent="0.2">
      <c r="A451" s="17"/>
      <c r="B451" s="657" t="s">
        <v>223</v>
      </c>
      <c r="C451" s="748"/>
      <c r="D451" s="748"/>
      <c r="E451" s="749"/>
      <c r="F451" s="321">
        <f>3.407*X2</f>
        <v>5246.78</v>
      </c>
      <c r="G451" s="255">
        <f>+F451*$X$1</f>
        <v>5246.78</v>
      </c>
      <c r="H451" s="520">
        <f>F451+750</f>
        <v>5996.78</v>
      </c>
      <c r="I451" s="255">
        <f t="shared" ref="I451" si="1144">+H451*$X$1</f>
        <v>5996.78</v>
      </c>
      <c r="J451" s="520">
        <f>F451+260</f>
        <v>5506.78</v>
      </c>
      <c r="K451" s="255">
        <f t="shared" ref="K451" si="1145">+J451*$X$1</f>
        <v>5506.78</v>
      </c>
      <c r="L451" s="520">
        <f>F451+210</f>
        <v>5456.78</v>
      </c>
      <c r="M451" s="255">
        <f t="shared" ref="M451" si="1146">+L451*$X$1</f>
        <v>5456.78</v>
      </c>
      <c r="N451" s="520">
        <f>F451+160</f>
        <v>5406.78</v>
      </c>
      <c r="O451" s="255">
        <f t="shared" ref="O451" si="1147">+N451*$X$1</f>
        <v>5406.78</v>
      </c>
      <c r="P451" s="520">
        <f>F451+130</f>
        <v>5376.78</v>
      </c>
      <c r="Q451" s="255">
        <f t="shared" ref="Q451" si="1148">+P451*$X$1</f>
        <v>5376.78</v>
      </c>
      <c r="R451" s="520">
        <f>F451+110</f>
        <v>5356.78</v>
      </c>
      <c r="S451" s="255">
        <f t="shared" ref="S451" si="1149">+R451*$X$1</f>
        <v>5356.78</v>
      </c>
      <c r="T451" s="520">
        <f>F451+95</f>
        <v>5341.78</v>
      </c>
      <c r="U451" s="255">
        <f t="shared" ref="U451" si="1150">+T451*$X$1</f>
        <v>5341.78</v>
      </c>
      <c r="V451" s="520">
        <f>F451+85</f>
        <v>5331.78</v>
      </c>
      <c r="W451" s="255">
        <f t="shared" ref="W451" si="1151">+V451*$X$1</f>
        <v>5331.78</v>
      </c>
      <c r="X451" s="637"/>
      <c r="Y451" s="633"/>
      <c r="Z451" s="633"/>
      <c r="AA451" s="634"/>
      <c r="AB451" s="336">
        <v>2330</v>
      </c>
      <c r="AC451" s="62"/>
    </row>
    <row r="452" spans="1:29" ht="12.6" customHeight="1" x14ac:dyDescent="0.2">
      <c r="A452" s="94"/>
      <c r="B452" s="640" t="s">
        <v>773</v>
      </c>
      <c r="C452" s="641"/>
      <c r="D452" s="641"/>
      <c r="E452" s="642"/>
      <c r="F452" s="322">
        <f>1.07*X2</f>
        <v>1647.8000000000002</v>
      </c>
      <c r="G452" s="256">
        <f t="shared" ref="G452" si="1152">+F452*$X$1</f>
        <v>1647.8000000000002</v>
      </c>
      <c r="H452" s="528">
        <f>F452+750</f>
        <v>2397.8000000000002</v>
      </c>
      <c r="I452" s="256">
        <f t="shared" ref="I452:I453" si="1153">+H452*$X$1</f>
        <v>2397.8000000000002</v>
      </c>
      <c r="J452" s="528">
        <f>F452+260</f>
        <v>1907.8000000000002</v>
      </c>
      <c r="K452" s="256">
        <f t="shared" ref="K452:K453" si="1154">+J452*$X$1</f>
        <v>1907.8000000000002</v>
      </c>
      <c r="L452" s="528">
        <f>F452+210</f>
        <v>1857.8000000000002</v>
      </c>
      <c r="M452" s="256">
        <f t="shared" ref="M452:M453" si="1155">+L452*$X$1</f>
        <v>1857.8000000000002</v>
      </c>
      <c r="N452" s="528">
        <f>F452+160</f>
        <v>1807.8000000000002</v>
      </c>
      <c r="O452" s="256">
        <f t="shared" ref="O452:O453" si="1156">+N452*$X$1</f>
        <v>1807.8000000000002</v>
      </c>
      <c r="P452" s="528">
        <f>F452+130</f>
        <v>1777.8000000000002</v>
      </c>
      <c r="Q452" s="256">
        <f t="shared" ref="Q452:Q453" si="1157">+P452*$X$1</f>
        <v>1777.8000000000002</v>
      </c>
      <c r="R452" s="528">
        <f>F452+110</f>
        <v>1757.8000000000002</v>
      </c>
      <c r="S452" s="256">
        <f t="shared" ref="S452:S453" si="1158">+R452*$X$1</f>
        <v>1757.8000000000002</v>
      </c>
      <c r="T452" s="528">
        <f>F452+95</f>
        <v>1742.8000000000002</v>
      </c>
      <c r="U452" s="256">
        <f t="shared" ref="U452:U453" si="1159">+T452*$X$1</f>
        <v>1742.8000000000002</v>
      </c>
      <c r="V452" s="528">
        <f>F452+85</f>
        <v>1732.8000000000002</v>
      </c>
      <c r="W452" s="256">
        <f t="shared" ref="W452:W453" si="1160">+V452*$X$1</f>
        <v>1732.8000000000002</v>
      </c>
      <c r="X452" s="637"/>
      <c r="Y452" s="633"/>
      <c r="Z452" s="633"/>
      <c r="AA452" s="634"/>
      <c r="AB452" s="336">
        <v>2331</v>
      </c>
      <c r="AC452" s="62"/>
    </row>
    <row r="453" spans="1:29" ht="12.6" customHeight="1" x14ac:dyDescent="0.2">
      <c r="A453" s="94"/>
      <c r="B453" s="657" t="s">
        <v>767</v>
      </c>
      <c r="C453" s="677"/>
      <c r="D453" s="677"/>
      <c r="E453" s="678"/>
      <c r="F453" s="477">
        <f>3.77*X2</f>
        <v>5805.8</v>
      </c>
      <c r="G453" s="255">
        <f t="shared" ref="G453" si="1161">+F453*$X$1</f>
        <v>5805.8</v>
      </c>
      <c r="H453" s="520">
        <f>F453+1100</f>
        <v>6905.8</v>
      </c>
      <c r="I453" s="255">
        <f t="shared" si="1153"/>
        <v>6905.8</v>
      </c>
      <c r="J453" s="520">
        <f>F453+400</f>
        <v>6205.8</v>
      </c>
      <c r="K453" s="255">
        <f t="shared" si="1154"/>
        <v>6205.8</v>
      </c>
      <c r="L453" s="520">
        <f>F453+315</f>
        <v>6120.8</v>
      </c>
      <c r="M453" s="255">
        <f t="shared" si="1155"/>
        <v>6120.8</v>
      </c>
      <c r="N453" s="520">
        <f>F453+240</f>
        <v>6045.8</v>
      </c>
      <c r="O453" s="255">
        <f t="shared" si="1156"/>
        <v>6045.8</v>
      </c>
      <c r="P453" s="520">
        <f>F453+195</f>
        <v>6000.8</v>
      </c>
      <c r="Q453" s="255">
        <f t="shared" si="1157"/>
        <v>6000.8</v>
      </c>
      <c r="R453" s="520">
        <f>F453+165</f>
        <v>5970.8</v>
      </c>
      <c r="S453" s="255">
        <f t="shared" si="1158"/>
        <v>5970.8</v>
      </c>
      <c r="T453" s="520">
        <f>F453+143</f>
        <v>5948.8</v>
      </c>
      <c r="U453" s="255">
        <f t="shared" si="1159"/>
        <v>5948.8</v>
      </c>
      <c r="V453" s="520">
        <f>F453+125</f>
        <v>5930.8</v>
      </c>
      <c r="W453" s="255">
        <f t="shared" si="1160"/>
        <v>5930.8</v>
      </c>
      <c r="X453" s="637"/>
      <c r="Y453" s="633"/>
      <c r="Z453" s="633"/>
      <c r="AA453" s="634"/>
      <c r="AB453" s="336">
        <v>2332</v>
      </c>
      <c r="AC453" s="62"/>
    </row>
    <row r="454" spans="1:29" ht="12.6" customHeight="1" x14ac:dyDescent="0.2">
      <c r="A454" s="94"/>
      <c r="B454" s="640" t="s">
        <v>347</v>
      </c>
      <c r="C454" s="641"/>
      <c r="D454" s="641"/>
      <c r="E454" s="642"/>
      <c r="F454" s="322">
        <f>0.95*X2</f>
        <v>1463</v>
      </c>
      <c r="G454" s="256">
        <f t="shared" ref="G454" si="1162">+F454*$X$1</f>
        <v>1463</v>
      </c>
      <c r="H454" s="528">
        <f>F454+750</f>
        <v>2213</v>
      </c>
      <c r="I454" s="256">
        <f t="shared" ref="I454:I455" si="1163">+H454*$X$1</f>
        <v>2213</v>
      </c>
      <c r="J454" s="528">
        <f>F454+260</f>
        <v>1723</v>
      </c>
      <c r="K454" s="256">
        <f t="shared" ref="K454:K455" si="1164">+J454*$X$1</f>
        <v>1723</v>
      </c>
      <c r="L454" s="528">
        <f>F454+210</f>
        <v>1673</v>
      </c>
      <c r="M454" s="256">
        <f t="shared" ref="M454:M455" si="1165">+L454*$X$1</f>
        <v>1673</v>
      </c>
      <c r="N454" s="528">
        <f>F454+160</f>
        <v>1623</v>
      </c>
      <c r="O454" s="256">
        <f t="shared" ref="O454:O455" si="1166">+N454*$X$1</f>
        <v>1623</v>
      </c>
      <c r="P454" s="528">
        <f>F454+130</f>
        <v>1593</v>
      </c>
      <c r="Q454" s="256">
        <f t="shared" ref="Q454:Q455" si="1167">+P454*$X$1</f>
        <v>1593</v>
      </c>
      <c r="R454" s="528">
        <f>F454+110</f>
        <v>1573</v>
      </c>
      <c r="S454" s="256">
        <f t="shared" ref="S454:S455" si="1168">+R454*$X$1</f>
        <v>1573</v>
      </c>
      <c r="T454" s="528">
        <f>F454+95</f>
        <v>1558</v>
      </c>
      <c r="U454" s="256">
        <f t="shared" ref="U454:U455" si="1169">+T454*$X$1</f>
        <v>1558</v>
      </c>
      <c r="V454" s="528">
        <f>F454+85</f>
        <v>1548</v>
      </c>
      <c r="W454" s="256">
        <f t="shared" ref="W454:W455" si="1170">+V454*$X$1</f>
        <v>1548</v>
      </c>
      <c r="X454" s="637"/>
      <c r="Y454" s="633"/>
      <c r="Z454" s="633"/>
      <c r="AA454" s="634"/>
      <c r="AB454" s="336">
        <v>2334</v>
      </c>
      <c r="AC454" s="62"/>
    </row>
    <row r="455" spans="1:29" ht="12.6" customHeight="1" x14ac:dyDescent="0.2">
      <c r="A455" s="94"/>
      <c r="B455" s="985" t="s">
        <v>224</v>
      </c>
      <c r="C455" s="986"/>
      <c r="D455" s="986"/>
      <c r="E455" s="987"/>
      <c r="F455" s="324">
        <f>1.1*X2</f>
        <v>1694.0000000000002</v>
      </c>
      <c r="G455" s="270">
        <f t="shared" ref="G455" si="1171">+F455*$X$1</f>
        <v>1694.0000000000002</v>
      </c>
      <c r="H455" s="520">
        <f>F455+750</f>
        <v>2444</v>
      </c>
      <c r="I455" s="255">
        <f t="shared" si="1163"/>
        <v>2444</v>
      </c>
      <c r="J455" s="520">
        <f>F455+260</f>
        <v>1954.0000000000002</v>
      </c>
      <c r="K455" s="255">
        <f t="shared" si="1164"/>
        <v>1954.0000000000002</v>
      </c>
      <c r="L455" s="520">
        <f>F455+210</f>
        <v>1904.0000000000002</v>
      </c>
      <c r="M455" s="255">
        <f t="shared" si="1165"/>
        <v>1904.0000000000002</v>
      </c>
      <c r="N455" s="520">
        <f>F455+160</f>
        <v>1854.0000000000002</v>
      </c>
      <c r="O455" s="255">
        <f t="shared" si="1166"/>
        <v>1854.0000000000002</v>
      </c>
      <c r="P455" s="520">
        <f>F455+130</f>
        <v>1824.0000000000002</v>
      </c>
      <c r="Q455" s="255">
        <f t="shared" si="1167"/>
        <v>1824.0000000000002</v>
      </c>
      <c r="R455" s="520">
        <f>F455+110</f>
        <v>1804.0000000000002</v>
      </c>
      <c r="S455" s="255">
        <f t="shared" si="1168"/>
        <v>1804.0000000000002</v>
      </c>
      <c r="T455" s="520">
        <f>F455+95</f>
        <v>1789.0000000000002</v>
      </c>
      <c r="U455" s="255">
        <f t="shared" si="1169"/>
        <v>1789.0000000000002</v>
      </c>
      <c r="V455" s="520">
        <f>F455+85</f>
        <v>1779.0000000000002</v>
      </c>
      <c r="W455" s="255">
        <f t="shared" si="1170"/>
        <v>1779.0000000000002</v>
      </c>
      <c r="X455" s="637"/>
      <c r="Y455" s="633"/>
      <c r="Z455" s="633"/>
      <c r="AA455" s="634"/>
      <c r="AB455" s="350">
        <v>2336</v>
      </c>
      <c r="AC455" s="62"/>
    </row>
    <row r="456" spans="1:29" ht="12.6" customHeight="1" x14ac:dyDescent="0.2">
      <c r="A456" s="17"/>
      <c r="B456" s="640" t="s">
        <v>225</v>
      </c>
      <c r="C456" s="641"/>
      <c r="D456" s="641"/>
      <c r="E456" s="642"/>
      <c r="F456" s="322">
        <f>1.355*X2</f>
        <v>2086.6999999999998</v>
      </c>
      <c r="G456" s="256">
        <f>+F456*$X$1</f>
        <v>2086.6999999999998</v>
      </c>
      <c r="H456" s="528">
        <f>F456+700</f>
        <v>2786.7</v>
      </c>
      <c r="I456" s="256">
        <f t="shared" ref="I456" si="1172">+H456*$X$1</f>
        <v>2786.7</v>
      </c>
      <c r="J456" s="528">
        <f>F456+220</f>
        <v>2306.6999999999998</v>
      </c>
      <c r="K456" s="256">
        <f t="shared" ref="K456" si="1173">+J456*$X$1</f>
        <v>2306.6999999999998</v>
      </c>
      <c r="L456" s="528">
        <f>F456+170</f>
        <v>2256.6999999999998</v>
      </c>
      <c r="M456" s="256">
        <f t="shared" ref="M456" si="1174">+L456*$X$1</f>
        <v>2256.6999999999998</v>
      </c>
      <c r="N456" s="528">
        <f>F456+130</f>
        <v>2216.6999999999998</v>
      </c>
      <c r="O456" s="256">
        <f t="shared" ref="O456:O460" si="1175">+N456*$X$1</f>
        <v>2216.6999999999998</v>
      </c>
      <c r="P456" s="528">
        <f>F456+100</f>
        <v>2186.6999999999998</v>
      </c>
      <c r="Q456" s="256">
        <f t="shared" ref="Q456" si="1176">+P456*$X$1</f>
        <v>2186.6999999999998</v>
      </c>
      <c r="R456" s="528">
        <f>F456+80</f>
        <v>2166.6999999999998</v>
      </c>
      <c r="S456" s="256">
        <f t="shared" ref="S456:S460" si="1177">+R456*$X$1</f>
        <v>2166.6999999999998</v>
      </c>
      <c r="T456" s="528">
        <f>F456+65</f>
        <v>2151.6999999999998</v>
      </c>
      <c r="U456" s="256">
        <f t="shared" ref="U456" si="1178">+T456*$X$1</f>
        <v>2151.6999999999998</v>
      </c>
      <c r="V456" s="528">
        <f>F456+60</f>
        <v>2146.6999999999998</v>
      </c>
      <c r="W456" s="256">
        <f t="shared" ref="W456" si="1179">+V456*$X$1</f>
        <v>2146.6999999999998</v>
      </c>
      <c r="X456" s="637"/>
      <c r="Y456" s="633"/>
      <c r="Z456" s="633"/>
      <c r="AA456" s="634"/>
      <c r="AB456" s="336">
        <v>2337</v>
      </c>
      <c r="AC456" s="62"/>
    </row>
    <row r="457" spans="1:29" ht="12.6" customHeight="1" x14ac:dyDescent="0.2">
      <c r="A457" s="17"/>
      <c r="B457" s="1159" t="s">
        <v>226</v>
      </c>
      <c r="C457" s="1160"/>
      <c r="D457" s="1160"/>
      <c r="E457" s="1161"/>
      <c r="F457" s="477">
        <f>1.823*X2</f>
        <v>2807.42</v>
      </c>
      <c r="G457" s="255">
        <f t="shared" ref="G457" si="1180">+F457*$X$1</f>
        <v>2807.42</v>
      </c>
      <c r="H457" s="520">
        <f>F457+700</f>
        <v>3507.42</v>
      </c>
      <c r="I457" s="255">
        <f t="shared" ref="I457:I459" si="1181">+H457*$X$1</f>
        <v>3507.42</v>
      </c>
      <c r="J457" s="520">
        <f>F457+220</f>
        <v>3027.42</v>
      </c>
      <c r="K457" s="255">
        <f t="shared" ref="K457:K459" si="1182">+J457*$X$1</f>
        <v>3027.42</v>
      </c>
      <c r="L457" s="520">
        <f>F457+170</f>
        <v>2977.42</v>
      </c>
      <c r="M457" s="255">
        <f t="shared" ref="M457:M459" si="1183">+L457*$X$1</f>
        <v>2977.42</v>
      </c>
      <c r="N457" s="520">
        <f>F457+130</f>
        <v>2937.42</v>
      </c>
      <c r="O457" s="255">
        <f t="shared" ref="O457:O459" si="1184">+N457*$X$1</f>
        <v>2937.42</v>
      </c>
      <c r="P457" s="520">
        <f>F457+100</f>
        <v>2907.42</v>
      </c>
      <c r="Q457" s="255">
        <f t="shared" ref="Q457:Q459" si="1185">+P457*$X$1</f>
        <v>2907.42</v>
      </c>
      <c r="R457" s="520">
        <f>F457+80</f>
        <v>2887.42</v>
      </c>
      <c r="S457" s="255">
        <f t="shared" ref="S457:S459" si="1186">+R457*$X$1</f>
        <v>2887.42</v>
      </c>
      <c r="T457" s="520">
        <f>F457+65</f>
        <v>2872.42</v>
      </c>
      <c r="U457" s="255">
        <f t="shared" ref="U457:U459" si="1187">+T457*$X$1</f>
        <v>2872.42</v>
      </c>
      <c r="V457" s="520">
        <f>F457+60</f>
        <v>2867.42</v>
      </c>
      <c r="W457" s="255">
        <f t="shared" ref="W457:W459" si="1188">+V457*$X$1</f>
        <v>2867.42</v>
      </c>
      <c r="X457" s="637"/>
      <c r="Y457" s="633"/>
      <c r="Z457" s="633"/>
      <c r="AA457" s="634"/>
      <c r="AB457" s="336">
        <v>2338</v>
      </c>
      <c r="AC457" s="62"/>
    </row>
    <row r="458" spans="1:29" ht="12.6" customHeight="1" x14ac:dyDescent="0.2">
      <c r="A458" s="17"/>
      <c r="B458" s="640" t="s">
        <v>290</v>
      </c>
      <c r="C458" s="641"/>
      <c r="D458" s="641"/>
      <c r="E458" s="642"/>
      <c r="F458" s="478">
        <f>0.98*X2</f>
        <v>1509.2</v>
      </c>
      <c r="G458" s="256">
        <f>+F458*$X$1</f>
        <v>1509.2</v>
      </c>
      <c r="H458" s="528">
        <f>F458+700</f>
        <v>2209.1999999999998</v>
      </c>
      <c r="I458" s="256">
        <f t="shared" si="1181"/>
        <v>2209.1999999999998</v>
      </c>
      <c r="J458" s="528">
        <f>F458+220</f>
        <v>1729.2</v>
      </c>
      <c r="K458" s="256">
        <f t="shared" si="1182"/>
        <v>1729.2</v>
      </c>
      <c r="L458" s="528">
        <f>F458+170</f>
        <v>1679.2</v>
      </c>
      <c r="M458" s="256">
        <f t="shared" si="1183"/>
        <v>1679.2</v>
      </c>
      <c r="N458" s="528">
        <f>F458+130</f>
        <v>1639.2</v>
      </c>
      <c r="O458" s="256">
        <f t="shared" si="1184"/>
        <v>1639.2</v>
      </c>
      <c r="P458" s="528">
        <f>F458+100</f>
        <v>1609.2</v>
      </c>
      <c r="Q458" s="256">
        <f t="shared" si="1185"/>
        <v>1609.2</v>
      </c>
      <c r="R458" s="528">
        <f>F458+80</f>
        <v>1589.2</v>
      </c>
      <c r="S458" s="256">
        <f t="shared" si="1186"/>
        <v>1589.2</v>
      </c>
      <c r="T458" s="528">
        <f>F458+65</f>
        <v>1574.2</v>
      </c>
      <c r="U458" s="256">
        <f t="shared" si="1187"/>
        <v>1574.2</v>
      </c>
      <c r="V458" s="528">
        <f>F458+60</f>
        <v>1569.2</v>
      </c>
      <c r="W458" s="256">
        <f t="shared" si="1188"/>
        <v>1569.2</v>
      </c>
      <c r="X458" s="161"/>
      <c r="Y458" s="164"/>
      <c r="Z458" s="164"/>
      <c r="AA458" s="163"/>
      <c r="AB458" s="336">
        <v>2340</v>
      </c>
      <c r="AC458" s="62"/>
    </row>
    <row r="459" spans="1:29" ht="12.6" customHeight="1" x14ac:dyDescent="0.2">
      <c r="A459" s="17"/>
      <c r="B459" s="1144" t="s">
        <v>793</v>
      </c>
      <c r="C459" s="1145"/>
      <c r="D459" s="1145"/>
      <c r="E459" s="1146"/>
      <c r="F459" s="451">
        <f>5.9*X2</f>
        <v>9086</v>
      </c>
      <c r="G459" s="447">
        <f t="shared" ref="G459" si="1189">+F459*$X$1</f>
        <v>9086</v>
      </c>
      <c r="H459" s="617">
        <f>F459+1000</f>
        <v>10086</v>
      </c>
      <c r="I459" s="447">
        <f t="shared" si="1181"/>
        <v>10086</v>
      </c>
      <c r="J459" s="617">
        <f>F459+330</f>
        <v>9416</v>
      </c>
      <c r="K459" s="447">
        <f t="shared" si="1182"/>
        <v>9416</v>
      </c>
      <c r="L459" s="617">
        <f>F459+255</f>
        <v>9341</v>
      </c>
      <c r="M459" s="447">
        <f t="shared" si="1183"/>
        <v>9341</v>
      </c>
      <c r="N459" s="617">
        <f>F459+195</f>
        <v>9281</v>
      </c>
      <c r="O459" s="447">
        <f t="shared" si="1184"/>
        <v>9281</v>
      </c>
      <c r="P459" s="617">
        <f>F459+150</f>
        <v>9236</v>
      </c>
      <c r="Q459" s="447">
        <f t="shared" si="1185"/>
        <v>9236</v>
      </c>
      <c r="R459" s="617">
        <f>F459+120</f>
        <v>9206</v>
      </c>
      <c r="S459" s="447">
        <f t="shared" si="1186"/>
        <v>9206</v>
      </c>
      <c r="T459" s="617">
        <f>F459+100</f>
        <v>9186</v>
      </c>
      <c r="U459" s="447">
        <f t="shared" si="1187"/>
        <v>9186</v>
      </c>
      <c r="V459" s="617">
        <f>F459+90</f>
        <v>9176</v>
      </c>
      <c r="W459" s="447">
        <f t="shared" si="1188"/>
        <v>9176</v>
      </c>
      <c r="X459" s="468"/>
      <c r="Y459" s="469"/>
      <c r="Z459" s="469"/>
      <c r="AA459" s="470"/>
      <c r="AB459" s="336">
        <v>2341</v>
      </c>
      <c r="AC459" s="62"/>
    </row>
    <row r="460" spans="1:29" ht="12.6" customHeight="1" x14ac:dyDescent="0.2">
      <c r="A460" s="17"/>
      <c r="B460" s="640" t="s">
        <v>611</v>
      </c>
      <c r="C460" s="641"/>
      <c r="D460" s="641"/>
      <c r="E460" s="642"/>
      <c r="F460" s="322">
        <f>11.91*X2</f>
        <v>18341.400000000001</v>
      </c>
      <c r="G460" s="256">
        <f t="shared" ref="G460" si="1190">+F460*$X$1</f>
        <v>18341.400000000001</v>
      </c>
      <c r="H460" s="528">
        <f>F460+700</f>
        <v>19041.400000000001</v>
      </c>
      <c r="I460" s="256">
        <f t="shared" ref="I460" si="1191">+H460*$X$1</f>
        <v>19041.400000000001</v>
      </c>
      <c r="J460" s="528">
        <f t="shared" ref="J460:J469" si="1192">F460+220</f>
        <v>18561.400000000001</v>
      </c>
      <c r="K460" s="256">
        <f t="shared" ref="K460" si="1193">+J460*$X$1</f>
        <v>18561.400000000001</v>
      </c>
      <c r="L460" s="528">
        <f t="shared" ref="L460:L469" si="1194">F460+170</f>
        <v>18511.400000000001</v>
      </c>
      <c r="M460" s="256">
        <f t="shared" ref="M460" si="1195">+L460*$X$1</f>
        <v>18511.400000000001</v>
      </c>
      <c r="N460" s="528">
        <f t="shared" ref="N460:N469" si="1196">F460+130</f>
        <v>18471.400000000001</v>
      </c>
      <c r="O460" s="256">
        <f t="shared" si="1175"/>
        <v>18471.400000000001</v>
      </c>
      <c r="P460" s="528">
        <f t="shared" ref="P460:P469" si="1197">F460+100</f>
        <v>18441.400000000001</v>
      </c>
      <c r="Q460" s="256">
        <f t="shared" ref="Q460" si="1198">+P460*$X$1</f>
        <v>18441.400000000001</v>
      </c>
      <c r="R460" s="528">
        <f t="shared" ref="R460:R469" si="1199">F460+80</f>
        <v>18421.400000000001</v>
      </c>
      <c r="S460" s="256">
        <f t="shared" si="1177"/>
        <v>18421.400000000001</v>
      </c>
      <c r="T460" s="528">
        <f t="shared" ref="T460:T469" si="1200">F460+65</f>
        <v>18406.400000000001</v>
      </c>
      <c r="U460" s="256">
        <f t="shared" ref="U460" si="1201">+T460*$X$1</f>
        <v>18406.400000000001</v>
      </c>
      <c r="V460" s="528">
        <f t="shared" ref="V460:V469" si="1202">F460+60</f>
        <v>18401.400000000001</v>
      </c>
      <c r="W460" s="256">
        <f t="shared" ref="W460" si="1203">+V460*$X$1</f>
        <v>18401.400000000001</v>
      </c>
      <c r="X460" s="375"/>
      <c r="Y460" s="376"/>
      <c r="Z460" s="376"/>
      <c r="AA460" s="377"/>
      <c r="AB460" s="336">
        <v>2342</v>
      </c>
      <c r="AC460" s="62"/>
    </row>
    <row r="461" spans="1:29" ht="12.6" customHeight="1" x14ac:dyDescent="0.2">
      <c r="A461" s="17"/>
      <c r="B461" s="657" t="s">
        <v>610</v>
      </c>
      <c r="C461" s="677"/>
      <c r="D461" s="677"/>
      <c r="E461" s="678"/>
      <c r="F461" s="321">
        <f>14.05*X2</f>
        <v>21637</v>
      </c>
      <c r="G461" s="255">
        <f t="shared" ref="G461" si="1204">+F461*$X$1</f>
        <v>21637</v>
      </c>
      <c r="H461" s="520">
        <f>F461+700</f>
        <v>22337</v>
      </c>
      <c r="I461" s="255">
        <f t="shared" ref="I461:I470" si="1205">+H461*$X$1</f>
        <v>22337</v>
      </c>
      <c r="J461" s="520">
        <f t="shared" si="1192"/>
        <v>21857</v>
      </c>
      <c r="K461" s="255">
        <f t="shared" ref="K461:K470" si="1206">+J461*$X$1</f>
        <v>21857</v>
      </c>
      <c r="L461" s="520">
        <f t="shared" si="1194"/>
        <v>21807</v>
      </c>
      <c r="M461" s="255">
        <f t="shared" ref="M461:M470" si="1207">+L461*$X$1</f>
        <v>21807</v>
      </c>
      <c r="N461" s="520">
        <f t="shared" si="1196"/>
        <v>21767</v>
      </c>
      <c r="O461" s="255">
        <f t="shared" ref="O461" si="1208">+N461*$X$1</f>
        <v>21767</v>
      </c>
      <c r="P461" s="520">
        <f t="shared" si="1197"/>
        <v>21737</v>
      </c>
      <c r="Q461" s="255">
        <f t="shared" ref="Q461:Q470" si="1209">+P461*$X$1</f>
        <v>21737</v>
      </c>
      <c r="R461" s="520">
        <f t="shared" si="1199"/>
        <v>21717</v>
      </c>
      <c r="S461" s="255">
        <f t="shared" ref="S461" si="1210">+R461*$X$1</f>
        <v>21717</v>
      </c>
      <c r="T461" s="520">
        <f t="shared" si="1200"/>
        <v>21702</v>
      </c>
      <c r="U461" s="255">
        <f t="shared" ref="U461:U470" si="1211">+T461*$X$1</f>
        <v>21702</v>
      </c>
      <c r="V461" s="520">
        <f t="shared" si="1202"/>
        <v>21697</v>
      </c>
      <c r="W461" s="255">
        <f t="shared" ref="W461:W470" si="1212">+V461*$X$1</f>
        <v>21697</v>
      </c>
      <c r="X461" s="375"/>
      <c r="Y461" s="376"/>
      <c r="Z461" s="376"/>
      <c r="AA461" s="377"/>
      <c r="AB461" s="336">
        <v>2343</v>
      </c>
      <c r="AC461" s="62"/>
    </row>
    <row r="462" spans="1:29" ht="12.6" customHeight="1" x14ac:dyDescent="0.2">
      <c r="A462" s="17"/>
      <c r="B462" s="640" t="s">
        <v>730</v>
      </c>
      <c r="C462" s="641"/>
      <c r="D462" s="641"/>
      <c r="E462" s="642"/>
      <c r="F462" s="322">
        <f>9.41*X2</f>
        <v>14491.4</v>
      </c>
      <c r="G462" s="256">
        <f>+F462*$X$1</f>
        <v>14491.4</v>
      </c>
      <c r="H462" s="528">
        <f>F462+700</f>
        <v>15191.4</v>
      </c>
      <c r="I462" s="256">
        <f t="shared" si="1205"/>
        <v>15191.4</v>
      </c>
      <c r="J462" s="528">
        <f t="shared" si="1192"/>
        <v>14711.4</v>
      </c>
      <c r="K462" s="256">
        <f t="shared" si="1206"/>
        <v>14711.4</v>
      </c>
      <c r="L462" s="528">
        <f t="shared" si="1194"/>
        <v>14661.4</v>
      </c>
      <c r="M462" s="256">
        <f t="shared" si="1207"/>
        <v>14661.4</v>
      </c>
      <c r="N462" s="528">
        <f t="shared" si="1196"/>
        <v>14621.4</v>
      </c>
      <c r="O462" s="256">
        <f t="shared" ref="O462" si="1213">+N462*$X$1</f>
        <v>14621.4</v>
      </c>
      <c r="P462" s="528">
        <f t="shared" si="1197"/>
        <v>14591.4</v>
      </c>
      <c r="Q462" s="256">
        <f t="shared" si="1209"/>
        <v>14591.4</v>
      </c>
      <c r="R462" s="528">
        <f t="shared" si="1199"/>
        <v>14571.4</v>
      </c>
      <c r="S462" s="256">
        <f t="shared" ref="S462" si="1214">+R462*$X$1</f>
        <v>14571.4</v>
      </c>
      <c r="T462" s="528">
        <f t="shared" si="1200"/>
        <v>14556.4</v>
      </c>
      <c r="U462" s="256">
        <f t="shared" si="1211"/>
        <v>14556.4</v>
      </c>
      <c r="V462" s="528">
        <f t="shared" si="1202"/>
        <v>14551.4</v>
      </c>
      <c r="W462" s="256">
        <f t="shared" si="1212"/>
        <v>14551.4</v>
      </c>
      <c r="X462" s="424"/>
      <c r="Y462" s="425"/>
      <c r="Z462" s="425"/>
      <c r="AA462" s="426"/>
      <c r="AB462" s="336" t="s">
        <v>731</v>
      </c>
      <c r="AC462" s="62"/>
    </row>
    <row r="463" spans="1:29" ht="12.6" customHeight="1" x14ac:dyDescent="0.2">
      <c r="A463" s="17"/>
      <c r="B463" s="657" t="s">
        <v>973</v>
      </c>
      <c r="C463" s="677"/>
      <c r="D463" s="677"/>
      <c r="E463" s="678"/>
      <c r="F463" s="444">
        <f>7.904*X2</f>
        <v>12172.16</v>
      </c>
      <c r="G463" s="255">
        <f>+F463*$X$1</f>
        <v>12172.16</v>
      </c>
      <c r="H463" s="520">
        <f>F463+700</f>
        <v>12872.16</v>
      </c>
      <c r="I463" s="255">
        <f t="shared" si="1205"/>
        <v>12872.16</v>
      </c>
      <c r="J463" s="520">
        <f t="shared" si="1192"/>
        <v>12392.16</v>
      </c>
      <c r="K463" s="255">
        <f t="shared" si="1206"/>
        <v>12392.16</v>
      </c>
      <c r="L463" s="520">
        <f t="shared" si="1194"/>
        <v>12342.16</v>
      </c>
      <c r="M463" s="255">
        <f t="shared" si="1207"/>
        <v>12342.16</v>
      </c>
      <c r="N463" s="520">
        <f t="shared" si="1196"/>
        <v>12302.16</v>
      </c>
      <c r="O463" s="255">
        <f t="shared" ref="O463" si="1215">+N463*$X$1</f>
        <v>12302.16</v>
      </c>
      <c r="P463" s="520">
        <f t="shared" si="1197"/>
        <v>12272.16</v>
      </c>
      <c r="Q463" s="255">
        <f t="shared" si="1209"/>
        <v>12272.16</v>
      </c>
      <c r="R463" s="520">
        <f t="shared" si="1199"/>
        <v>12252.16</v>
      </c>
      <c r="S463" s="255">
        <f t="shared" ref="S463" si="1216">+R463*$X$1</f>
        <v>12252.16</v>
      </c>
      <c r="T463" s="520">
        <f t="shared" si="1200"/>
        <v>12237.16</v>
      </c>
      <c r="U463" s="255">
        <f t="shared" si="1211"/>
        <v>12237.16</v>
      </c>
      <c r="V463" s="520">
        <f t="shared" si="1202"/>
        <v>12232.16</v>
      </c>
      <c r="W463" s="255">
        <f t="shared" si="1212"/>
        <v>12232.16</v>
      </c>
      <c r="X463" s="562"/>
      <c r="Y463" s="563"/>
      <c r="Z463" s="563"/>
      <c r="AA463" s="564"/>
      <c r="AB463" s="336">
        <v>2346</v>
      </c>
      <c r="AC463" s="62"/>
    </row>
    <row r="464" spans="1:29" ht="12.6" customHeight="1" x14ac:dyDescent="0.2">
      <c r="A464" s="17"/>
      <c r="B464" s="640" t="s">
        <v>612</v>
      </c>
      <c r="C464" s="641"/>
      <c r="D464" s="641"/>
      <c r="E464" s="642"/>
      <c r="F464" s="322">
        <f>12.76*X2</f>
        <v>19650.400000000001</v>
      </c>
      <c r="G464" s="256">
        <f t="shared" ref="G464" si="1217">+F464*$X$1</f>
        <v>19650.400000000001</v>
      </c>
      <c r="H464" s="528">
        <f>F464+700</f>
        <v>20350.400000000001</v>
      </c>
      <c r="I464" s="256">
        <f t="shared" si="1205"/>
        <v>20350.400000000001</v>
      </c>
      <c r="J464" s="528">
        <f t="shared" si="1192"/>
        <v>19870.400000000001</v>
      </c>
      <c r="K464" s="256">
        <f t="shared" si="1206"/>
        <v>19870.400000000001</v>
      </c>
      <c r="L464" s="528">
        <f t="shared" si="1194"/>
        <v>19820.400000000001</v>
      </c>
      <c r="M464" s="256">
        <f t="shared" si="1207"/>
        <v>19820.400000000001</v>
      </c>
      <c r="N464" s="528">
        <f t="shared" si="1196"/>
        <v>19780.400000000001</v>
      </c>
      <c r="O464" s="256">
        <f t="shared" ref="O464:O465" si="1218">+N464*$X$1</f>
        <v>19780.400000000001</v>
      </c>
      <c r="P464" s="528">
        <f t="shared" si="1197"/>
        <v>19750.400000000001</v>
      </c>
      <c r="Q464" s="256">
        <f t="shared" si="1209"/>
        <v>19750.400000000001</v>
      </c>
      <c r="R464" s="528">
        <f t="shared" si="1199"/>
        <v>19730.400000000001</v>
      </c>
      <c r="S464" s="256">
        <f t="shared" ref="S464:S465" si="1219">+R464*$X$1</f>
        <v>19730.400000000001</v>
      </c>
      <c r="T464" s="528">
        <f t="shared" si="1200"/>
        <v>19715.400000000001</v>
      </c>
      <c r="U464" s="256">
        <f t="shared" si="1211"/>
        <v>19715.400000000001</v>
      </c>
      <c r="V464" s="528">
        <f t="shared" si="1202"/>
        <v>19710.400000000001</v>
      </c>
      <c r="W464" s="256">
        <f t="shared" si="1212"/>
        <v>19710.400000000001</v>
      </c>
      <c r="X464" s="375"/>
      <c r="Y464" s="376"/>
      <c r="Z464" s="376"/>
      <c r="AA464" s="377"/>
      <c r="AB464" s="336" t="s">
        <v>664</v>
      </c>
      <c r="AC464" s="62"/>
    </row>
    <row r="465" spans="1:34" ht="12.6" customHeight="1" x14ac:dyDescent="0.2">
      <c r="A465" s="17"/>
      <c r="B465" s="657" t="s">
        <v>526</v>
      </c>
      <c r="C465" s="677"/>
      <c r="D465" s="677"/>
      <c r="E465" s="678"/>
      <c r="F465" s="321">
        <f>2.57*X2</f>
        <v>3957.7999999999997</v>
      </c>
      <c r="G465" s="255">
        <f t="shared" ref="G465" si="1220">+F465*$X$1</f>
        <v>3957.7999999999997</v>
      </c>
      <c r="H465" s="520"/>
      <c r="I465" s="255"/>
      <c r="J465" s="520">
        <f t="shared" si="1192"/>
        <v>4177.7999999999993</v>
      </c>
      <c r="K465" s="255">
        <f t="shared" si="1206"/>
        <v>4177.7999999999993</v>
      </c>
      <c r="L465" s="520">
        <f t="shared" si="1194"/>
        <v>4127.7999999999993</v>
      </c>
      <c r="M465" s="255">
        <f t="shared" si="1207"/>
        <v>4127.7999999999993</v>
      </c>
      <c r="N465" s="520">
        <f t="shared" si="1196"/>
        <v>4087.7999999999997</v>
      </c>
      <c r="O465" s="255">
        <f t="shared" si="1218"/>
        <v>4087.7999999999997</v>
      </c>
      <c r="P465" s="520">
        <f t="shared" si="1197"/>
        <v>4057.7999999999997</v>
      </c>
      <c r="Q465" s="255">
        <f t="shared" si="1209"/>
        <v>4057.7999999999997</v>
      </c>
      <c r="R465" s="520">
        <f t="shared" si="1199"/>
        <v>4037.7999999999997</v>
      </c>
      <c r="S465" s="255">
        <f t="shared" si="1219"/>
        <v>4037.7999999999997</v>
      </c>
      <c r="T465" s="520">
        <f t="shared" si="1200"/>
        <v>4022.7999999999997</v>
      </c>
      <c r="U465" s="255">
        <f t="shared" si="1211"/>
        <v>4022.7999999999997</v>
      </c>
      <c r="V465" s="520">
        <f t="shared" si="1202"/>
        <v>4017.7999999999997</v>
      </c>
      <c r="W465" s="255">
        <f t="shared" si="1212"/>
        <v>4017.7999999999997</v>
      </c>
      <c r="X465" s="317"/>
      <c r="Y465" s="318"/>
      <c r="Z465" s="318"/>
      <c r="AA465" s="319"/>
      <c r="AB465" s="336">
        <v>2350</v>
      </c>
      <c r="AC465" s="62"/>
    </row>
    <row r="466" spans="1:34" ht="12.6" customHeight="1" x14ac:dyDescent="0.2">
      <c r="A466" s="17"/>
      <c r="B466" s="640" t="s">
        <v>597</v>
      </c>
      <c r="C466" s="641"/>
      <c r="D466" s="641"/>
      <c r="E466" s="642"/>
      <c r="F466" s="322">
        <f>1.59*X2</f>
        <v>2448.6</v>
      </c>
      <c r="G466" s="256">
        <f t="shared" ref="G466" si="1221">+F466*$X$1</f>
        <v>2448.6</v>
      </c>
      <c r="H466" s="528">
        <f>F466+700</f>
        <v>3148.6</v>
      </c>
      <c r="I466" s="256">
        <f t="shared" ref="I466" si="1222">+H466*$X$1</f>
        <v>3148.6</v>
      </c>
      <c r="J466" s="528">
        <f t="shared" si="1192"/>
        <v>2668.6</v>
      </c>
      <c r="K466" s="256">
        <f t="shared" si="1206"/>
        <v>2668.6</v>
      </c>
      <c r="L466" s="528">
        <f t="shared" si="1194"/>
        <v>2618.6</v>
      </c>
      <c r="M466" s="256">
        <f t="shared" si="1207"/>
        <v>2618.6</v>
      </c>
      <c r="N466" s="528">
        <f t="shared" si="1196"/>
        <v>2578.6</v>
      </c>
      <c r="O466" s="256">
        <f t="shared" ref="O466" si="1223">+N466*$X$1</f>
        <v>2578.6</v>
      </c>
      <c r="P466" s="528">
        <f t="shared" si="1197"/>
        <v>2548.6</v>
      </c>
      <c r="Q466" s="256">
        <f t="shared" si="1209"/>
        <v>2548.6</v>
      </c>
      <c r="R466" s="528">
        <f t="shared" si="1199"/>
        <v>2528.6</v>
      </c>
      <c r="S466" s="256">
        <f t="shared" ref="S466" si="1224">+R466*$X$1</f>
        <v>2528.6</v>
      </c>
      <c r="T466" s="528">
        <f t="shared" si="1200"/>
        <v>2513.6</v>
      </c>
      <c r="U466" s="256">
        <f t="shared" si="1211"/>
        <v>2513.6</v>
      </c>
      <c r="V466" s="528">
        <f t="shared" si="1202"/>
        <v>2508.6</v>
      </c>
      <c r="W466" s="256">
        <f t="shared" si="1212"/>
        <v>2508.6</v>
      </c>
      <c r="X466" s="366"/>
      <c r="Y466" s="367"/>
      <c r="Z466" s="367"/>
      <c r="AA466" s="368"/>
      <c r="AB466" s="336">
        <v>2352</v>
      </c>
      <c r="AC466" s="62"/>
    </row>
    <row r="467" spans="1:34" ht="12.6" customHeight="1" x14ac:dyDescent="0.2">
      <c r="A467" s="17"/>
      <c r="B467" s="657" t="s">
        <v>774</v>
      </c>
      <c r="C467" s="677"/>
      <c r="D467" s="677"/>
      <c r="E467" s="678"/>
      <c r="F467" s="321">
        <f>1.47*X2</f>
        <v>2263.8000000000002</v>
      </c>
      <c r="G467" s="255">
        <f t="shared" ref="G467" si="1225">+F467*$X$1</f>
        <v>2263.8000000000002</v>
      </c>
      <c r="H467" s="520">
        <f>F467+700</f>
        <v>2963.8</v>
      </c>
      <c r="I467" s="255">
        <f t="shared" si="1205"/>
        <v>2963.8</v>
      </c>
      <c r="J467" s="520">
        <f t="shared" si="1192"/>
        <v>2483.8000000000002</v>
      </c>
      <c r="K467" s="255">
        <f t="shared" si="1206"/>
        <v>2483.8000000000002</v>
      </c>
      <c r="L467" s="520">
        <f t="shared" si="1194"/>
        <v>2433.8000000000002</v>
      </c>
      <c r="M467" s="255">
        <f t="shared" si="1207"/>
        <v>2433.8000000000002</v>
      </c>
      <c r="N467" s="520">
        <f t="shared" si="1196"/>
        <v>2393.8000000000002</v>
      </c>
      <c r="O467" s="255">
        <f t="shared" ref="O467" si="1226">+N467*$X$1</f>
        <v>2393.8000000000002</v>
      </c>
      <c r="P467" s="520">
        <f t="shared" si="1197"/>
        <v>2363.8000000000002</v>
      </c>
      <c r="Q467" s="255">
        <f t="shared" si="1209"/>
        <v>2363.8000000000002</v>
      </c>
      <c r="R467" s="520">
        <f t="shared" si="1199"/>
        <v>2343.8000000000002</v>
      </c>
      <c r="S467" s="255">
        <f t="shared" ref="S467" si="1227">+R467*$X$1</f>
        <v>2343.8000000000002</v>
      </c>
      <c r="T467" s="520">
        <f t="shared" si="1200"/>
        <v>2328.8000000000002</v>
      </c>
      <c r="U467" s="255">
        <f t="shared" si="1211"/>
        <v>2328.8000000000002</v>
      </c>
      <c r="V467" s="520">
        <f t="shared" si="1202"/>
        <v>2323.8000000000002</v>
      </c>
      <c r="W467" s="255">
        <f t="shared" si="1212"/>
        <v>2323.8000000000002</v>
      </c>
      <c r="X467" s="459"/>
      <c r="Y467" s="457"/>
      <c r="Z467" s="457"/>
      <c r="AA467" s="458"/>
      <c r="AB467" s="336">
        <v>2353</v>
      </c>
      <c r="AC467" s="62"/>
    </row>
    <row r="468" spans="1:34" ht="12.6" customHeight="1" x14ac:dyDescent="0.2">
      <c r="A468" s="17"/>
      <c r="B468" s="640" t="s">
        <v>816</v>
      </c>
      <c r="C468" s="641"/>
      <c r="D468" s="641"/>
      <c r="E468" s="642"/>
      <c r="F468" s="322">
        <f>1.732*X2</f>
        <v>2667.28</v>
      </c>
      <c r="G468" s="256">
        <f t="shared" ref="G468" si="1228">+F468*$X$1</f>
        <v>2667.28</v>
      </c>
      <c r="H468" s="528">
        <f>F468+700</f>
        <v>3367.28</v>
      </c>
      <c r="I468" s="256">
        <f t="shared" si="1205"/>
        <v>3367.28</v>
      </c>
      <c r="J468" s="528">
        <f t="shared" si="1192"/>
        <v>2887.28</v>
      </c>
      <c r="K468" s="256">
        <f t="shared" si="1206"/>
        <v>2887.28</v>
      </c>
      <c r="L468" s="528">
        <f t="shared" si="1194"/>
        <v>2837.28</v>
      </c>
      <c r="M468" s="256">
        <f t="shared" si="1207"/>
        <v>2837.28</v>
      </c>
      <c r="N468" s="528">
        <f t="shared" si="1196"/>
        <v>2797.28</v>
      </c>
      <c r="O468" s="256">
        <f t="shared" ref="O468" si="1229">+N468*$X$1</f>
        <v>2797.28</v>
      </c>
      <c r="P468" s="528">
        <f t="shared" si="1197"/>
        <v>2767.28</v>
      </c>
      <c r="Q468" s="256">
        <f t="shared" si="1209"/>
        <v>2767.28</v>
      </c>
      <c r="R468" s="528">
        <f t="shared" si="1199"/>
        <v>2747.28</v>
      </c>
      <c r="S468" s="256">
        <f t="shared" ref="S468" si="1230">+R468*$X$1</f>
        <v>2747.28</v>
      </c>
      <c r="T468" s="528">
        <f t="shared" si="1200"/>
        <v>2732.28</v>
      </c>
      <c r="U468" s="256">
        <f t="shared" si="1211"/>
        <v>2732.28</v>
      </c>
      <c r="V468" s="528">
        <f t="shared" si="1202"/>
        <v>2727.28</v>
      </c>
      <c r="W468" s="256">
        <f t="shared" si="1212"/>
        <v>2727.28</v>
      </c>
      <c r="X468" s="490"/>
      <c r="Y468" s="491"/>
      <c r="Z468" s="491"/>
      <c r="AA468" s="492"/>
      <c r="AB468" s="336">
        <v>2354</v>
      </c>
      <c r="AC468" s="62"/>
    </row>
    <row r="469" spans="1:34" ht="12.6" customHeight="1" x14ac:dyDescent="0.2">
      <c r="A469" s="17"/>
      <c r="B469" s="657" t="s">
        <v>815</v>
      </c>
      <c r="C469" s="677"/>
      <c r="D469" s="677"/>
      <c r="E469" s="678"/>
      <c r="F469" s="321">
        <f>1.471*X2</f>
        <v>2265.34</v>
      </c>
      <c r="G469" s="255">
        <f t="shared" ref="G469" si="1231">+F469*$X$1</f>
        <v>2265.34</v>
      </c>
      <c r="H469" s="520">
        <f>F469+700</f>
        <v>2965.34</v>
      </c>
      <c r="I469" s="255">
        <f t="shared" si="1205"/>
        <v>2965.34</v>
      </c>
      <c r="J469" s="520">
        <f t="shared" si="1192"/>
        <v>2485.34</v>
      </c>
      <c r="K469" s="255">
        <f t="shared" si="1206"/>
        <v>2485.34</v>
      </c>
      <c r="L469" s="520">
        <f t="shared" si="1194"/>
        <v>2435.34</v>
      </c>
      <c r="M469" s="255">
        <f t="shared" si="1207"/>
        <v>2435.34</v>
      </c>
      <c r="N469" s="520">
        <f t="shared" si="1196"/>
        <v>2395.34</v>
      </c>
      <c r="O469" s="255">
        <f t="shared" ref="O469:O470" si="1232">+N469*$X$1</f>
        <v>2395.34</v>
      </c>
      <c r="P469" s="520">
        <f t="shared" si="1197"/>
        <v>2365.34</v>
      </c>
      <c r="Q469" s="255">
        <f t="shared" si="1209"/>
        <v>2365.34</v>
      </c>
      <c r="R469" s="520">
        <f t="shared" si="1199"/>
        <v>2345.34</v>
      </c>
      <c r="S469" s="255">
        <f t="shared" ref="S469:S470" si="1233">+R469*$X$1</f>
        <v>2345.34</v>
      </c>
      <c r="T469" s="520">
        <f t="shared" si="1200"/>
        <v>2330.34</v>
      </c>
      <c r="U469" s="255">
        <f t="shared" si="1211"/>
        <v>2330.34</v>
      </c>
      <c r="V469" s="520">
        <f t="shared" si="1202"/>
        <v>2325.34</v>
      </c>
      <c r="W469" s="255">
        <f t="shared" si="1212"/>
        <v>2325.34</v>
      </c>
      <c r="X469" s="490"/>
      <c r="Y469" s="491"/>
      <c r="Z469" s="491"/>
      <c r="AA469" s="492"/>
      <c r="AB469" s="336">
        <v>2355</v>
      </c>
      <c r="AC469" s="62"/>
    </row>
    <row r="470" spans="1:34" ht="12.6" customHeight="1" x14ac:dyDescent="0.2">
      <c r="A470" s="17"/>
      <c r="B470" s="640" t="s">
        <v>826</v>
      </c>
      <c r="C470" s="641"/>
      <c r="D470" s="641"/>
      <c r="E470" s="642"/>
      <c r="F470" s="322">
        <f>1.9*X2</f>
        <v>2926</v>
      </c>
      <c r="G470" s="256">
        <f>+F470*$X$1</f>
        <v>2926</v>
      </c>
      <c r="H470" s="528">
        <f>F470+800</f>
        <v>3726</v>
      </c>
      <c r="I470" s="256">
        <f t="shared" si="1205"/>
        <v>3726</v>
      </c>
      <c r="J470" s="82">
        <f t="shared" ref="J470" si="1234">F470+300</f>
        <v>3226</v>
      </c>
      <c r="K470" s="256">
        <f t="shared" si="1206"/>
        <v>3226</v>
      </c>
      <c r="L470" s="528">
        <f t="shared" ref="L470" si="1235">F470+230</f>
        <v>3156</v>
      </c>
      <c r="M470" s="256">
        <f t="shared" si="1207"/>
        <v>3156</v>
      </c>
      <c r="N470" s="528">
        <f t="shared" ref="N470" si="1236">F470+180</f>
        <v>3106</v>
      </c>
      <c r="O470" s="256">
        <f t="shared" si="1232"/>
        <v>3106</v>
      </c>
      <c r="P470" s="528">
        <f t="shared" ref="P470" si="1237">F470+150</f>
        <v>3076</v>
      </c>
      <c r="Q470" s="256">
        <f t="shared" si="1209"/>
        <v>3076</v>
      </c>
      <c r="R470" s="528">
        <f t="shared" ref="R470" si="1238">F470+120</f>
        <v>3046</v>
      </c>
      <c r="S470" s="256">
        <f t="shared" si="1233"/>
        <v>3046</v>
      </c>
      <c r="T470" s="528">
        <f t="shared" ref="T470" si="1239">F470+100</f>
        <v>3026</v>
      </c>
      <c r="U470" s="256">
        <f t="shared" si="1211"/>
        <v>3026</v>
      </c>
      <c r="V470" s="528">
        <f t="shared" ref="V470" si="1240">F470+80</f>
        <v>3006</v>
      </c>
      <c r="W470" s="256">
        <f t="shared" si="1212"/>
        <v>3006</v>
      </c>
      <c r="X470" s="637"/>
      <c r="Y470" s="632"/>
      <c r="Z470" s="632"/>
      <c r="AA470" s="634"/>
      <c r="AB470" s="336">
        <v>2500</v>
      </c>
    </row>
    <row r="471" spans="1:34" ht="12.6" customHeight="1" x14ac:dyDescent="0.2">
      <c r="A471" s="17"/>
      <c r="B471" s="657" t="s">
        <v>717</v>
      </c>
      <c r="C471" s="677"/>
      <c r="D471" s="677"/>
      <c r="E471" s="678"/>
      <c r="F471" s="321">
        <f>3.463*X2</f>
        <v>5333.02</v>
      </c>
      <c r="G471" s="255">
        <f>+F471*$X$1</f>
        <v>5333.02</v>
      </c>
      <c r="H471" s="520">
        <f>F471+800</f>
        <v>6133.02</v>
      </c>
      <c r="I471" s="255">
        <f t="shared" ref="I471:I472" si="1241">+H471*$X$1</f>
        <v>6133.02</v>
      </c>
      <c r="J471" s="68">
        <f t="shared" ref="J471:J473" si="1242">F471+300</f>
        <v>5633.02</v>
      </c>
      <c r="K471" s="255">
        <f t="shared" ref="K471:K473" si="1243">+J471*$X$1</f>
        <v>5633.02</v>
      </c>
      <c r="L471" s="520">
        <f t="shared" ref="L471:L473" si="1244">F471+230</f>
        <v>5563.02</v>
      </c>
      <c r="M471" s="255">
        <f t="shared" ref="M471:M473" si="1245">+L471*$X$1</f>
        <v>5563.02</v>
      </c>
      <c r="N471" s="520">
        <f t="shared" ref="N471:N473" si="1246">F471+180</f>
        <v>5513.02</v>
      </c>
      <c r="O471" s="255">
        <f t="shared" ref="O471:O473" si="1247">+N471*$X$1</f>
        <v>5513.02</v>
      </c>
      <c r="P471" s="520">
        <f t="shared" ref="P471:P473" si="1248">F471+150</f>
        <v>5483.02</v>
      </c>
      <c r="Q471" s="255">
        <f t="shared" ref="Q471:Q473" si="1249">+P471*$X$1</f>
        <v>5483.02</v>
      </c>
      <c r="R471" s="520">
        <f t="shared" ref="R471:R473" si="1250">F471+120</f>
        <v>5453.02</v>
      </c>
      <c r="S471" s="255">
        <f t="shared" ref="S471:S473" si="1251">+R471*$X$1</f>
        <v>5453.02</v>
      </c>
      <c r="T471" s="520">
        <f t="shared" ref="T471:T473" si="1252">F471+100</f>
        <v>5433.02</v>
      </c>
      <c r="U471" s="255">
        <f t="shared" ref="U471:U473" si="1253">+T471*$X$1</f>
        <v>5433.02</v>
      </c>
      <c r="V471" s="520">
        <f t="shared" ref="V471:V473" si="1254">F471+80</f>
        <v>5413.02</v>
      </c>
      <c r="W471" s="255">
        <f t="shared" ref="W471:W473" si="1255">+V471*$X$1</f>
        <v>5413.02</v>
      </c>
      <c r="X471" s="637"/>
      <c r="Y471" s="632"/>
      <c r="Z471" s="632"/>
      <c r="AA471" s="634"/>
      <c r="AB471" s="336">
        <v>2503</v>
      </c>
    </row>
    <row r="472" spans="1:34" ht="12.6" customHeight="1" x14ac:dyDescent="0.2">
      <c r="A472" s="17"/>
      <c r="B472" s="640" t="s">
        <v>828</v>
      </c>
      <c r="C472" s="641"/>
      <c r="D472" s="641"/>
      <c r="E472" s="642"/>
      <c r="F472" s="322">
        <f>2.333*X2</f>
        <v>3592.82</v>
      </c>
      <c r="G472" s="256">
        <f>+F472*$X$1</f>
        <v>3592.82</v>
      </c>
      <c r="H472" s="528">
        <f>F472+800</f>
        <v>4392.82</v>
      </c>
      <c r="I472" s="256">
        <f t="shared" si="1241"/>
        <v>4392.82</v>
      </c>
      <c r="J472" s="82">
        <f t="shared" si="1242"/>
        <v>3892.82</v>
      </c>
      <c r="K472" s="256">
        <f t="shared" si="1243"/>
        <v>3892.82</v>
      </c>
      <c r="L472" s="528">
        <f t="shared" si="1244"/>
        <v>3822.82</v>
      </c>
      <c r="M472" s="256">
        <f t="shared" si="1245"/>
        <v>3822.82</v>
      </c>
      <c r="N472" s="528">
        <f t="shared" si="1246"/>
        <v>3772.82</v>
      </c>
      <c r="O472" s="256">
        <f t="shared" si="1247"/>
        <v>3772.82</v>
      </c>
      <c r="P472" s="528">
        <f t="shared" si="1248"/>
        <v>3742.82</v>
      </c>
      <c r="Q472" s="256">
        <f t="shared" si="1249"/>
        <v>3742.82</v>
      </c>
      <c r="R472" s="528">
        <f t="shared" si="1250"/>
        <v>3712.82</v>
      </c>
      <c r="S472" s="256">
        <f t="shared" si="1251"/>
        <v>3712.82</v>
      </c>
      <c r="T472" s="528">
        <f t="shared" si="1252"/>
        <v>3692.82</v>
      </c>
      <c r="U472" s="256">
        <f t="shared" si="1253"/>
        <v>3692.82</v>
      </c>
      <c r="V472" s="528">
        <f t="shared" si="1254"/>
        <v>3672.82</v>
      </c>
      <c r="W472" s="256">
        <f t="shared" si="1255"/>
        <v>3672.82</v>
      </c>
      <c r="X472" s="637"/>
      <c r="Y472" s="632"/>
      <c r="Z472" s="632"/>
      <c r="AA472" s="634"/>
      <c r="AB472" s="336">
        <v>2507</v>
      </c>
    </row>
    <row r="473" spans="1:34" ht="12.6" customHeight="1" x14ac:dyDescent="0.2">
      <c r="A473" s="17"/>
      <c r="B473" s="657" t="s">
        <v>435</v>
      </c>
      <c r="C473" s="748"/>
      <c r="D473" s="748"/>
      <c r="E473" s="749"/>
      <c r="F473" s="321">
        <f>1.5*X2</f>
        <v>2310</v>
      </c>
      <c r="G473" s="255">
        <f t="shared" ref="G473:G474" si="1256">+F473*$X$1</f>
        <v>2310</v>
      </c>
      <c r="H473" s="520"/>
      <c r="I473" s="255"/>
      <c r="J473" s="68">
        <f t="shared" si="1242"/>
        <v>2610</v>
      </c>
      <c r="K473" s="255">
        <f t="shared" si="1243"/>
        <v>2610</v>
      </c>
      <c r="L473" s="520">
        <f t="shared" si="1244"/>
        <v>2540</v>
      </c>
      <c r="M473" s="255">
        <f t="shared" si="1245"/>
        <v>2540</v>
      </c>
      <c r="N473" s="520">
        <f t="shared" si="1246"/>
        <v>2490</v>
      </c>
      <c r="O473" s="255">
        <f t="shared" si="1247"/>
        <v>2490</v>
      </c>
      <c r="P473" s="520">
        <f t="shared" si="1248"/>
        <v>2460</v>
      </c>
      <c r="Q473" s="255">
        <f t="shared" si="1249"/>
        <v>2460</v>
      </c>
      <c r="R473" s="520">
        <f t="shared" si="1250"/>
        <v>2430</v>
      </c>
      <c r="S473" s="255">
        <f t="shared" si="1251"/>
        <v>2430</v>
      </c>
      <c r="T473" s="520">
        <f t="shared" si="1252"/>
        <v>2410</v>
      </c>
      <c r="U473" s="255">
        <f t="shared" si="1253"/>
        <v>2410</v>
      </c>
      <c r="V473" s="520">
        <f t="shared" si="1254"/>
        <v>2390</v>
      </c>
      <c r="W473" s="255">
        <f t="shared" si="1255"/>
        <v>2390</v>
      </c>
      <c r="X473" s="149"/>
      <c r="Y473" s="122"/>
      <c r="Z473" s="122"/>
      <c r="AA473" s="125"/>
      <c r="AB473" s="348">
        <v>3001</v>
      </c>
    </row>
    <row r="474" spans="1:34" ht="12.6" customHeight="1" x14ac:dyDescent="0.2">
      <c r="A474" s="17"/>
      <c r="B474" s="640" t="s">
        <v>939</v>
      </c>
      <c r="C474" s="672"/>
      <c r="D474" s="672"/>
      <c r="E474" s="673"/>
      <c r="F474" s="322">
        <f>3.08*X2</f>
        <v>4743.2</v>
      </c>
      <c r="G474" s="256">
        <f t="shared" si="1256"/>
        <v>4743.2</v>
      </c>
      <c r="H474" s="528"/>
      <c r="I474" s="256"/>
      <c r="J474" s="82"/>
      <c r="K474" s="256"/>
      <c r="L474" s="528"/>
      <c r="M474" s="256"/>
      <c r="N474" s="528">
        <f t="shared" ref="N474" si="1257">F474+1440</f>
        <v>6183.2</v>
      </c>
      <c r="O474" s="256">
        <f t="shared" ref="O474" si="1258">+N474*$X$1</f>
        <v>6183.2</v>
      </c>
      <c r="P474" s="528">
        <f t="shared" ref="P474" si="1259">F474+880</f>
        <v>5623.2</v>
      </c>
      <c r="Q474" s="256">
        <f t="shared" ref="Q474" si="1260">+P474*$X$1</f>
        <v>5623.2</v>
      </c>
      <c r="R474" s="528">
        <f t="shared" ref="R474" si="1261">F474+800</f>
        <v>5543.2</v>
      </c>
      <c r="S474" s="256">
        <f t="shared" ref="S474" si="1262">+R474*$X$1</f>
        <v>5543.2</v>
      </c>
      <c r="T474" s="528">
        <f t="shared" ref="T474" si="1263">F474+300</f>
        <v>5043.2</v>
      </c>
      <c r="U474" s="256">
        <f t="shared" ref="U474" si="1264">+T474*$X$1</f>
        <v>5043.2</v>
      </c>
      <c r="V474" s="528">
        <f t="shared" ref="V474" si="1265">F474+200</f>
        <v>4943.2</v>
      </c>
      <c r="W474" s="256">
        <f t="shared" ref="W474" si="1266">+V474*$X$1</f>
        <v>4943.2</v>
      </c>
      <c r="X474" s="149"/>
      <c r="Y474" s="122"/>
      <c r="Z474" s="122"/>
      <c r="AA474" s="125"/>
      <c r="AB474" s="348">
        <v>3020</v>
      </c>
    </row>
    <row r="475" spans="1:34" ht="12.6" customHeight="1" x14ac:dyDescent="0.2">
      <c r="A475" s="17"/>
      <c r="B475" s="473"/>
      <c r="C475" s="474"/>
      <c r="D475" s="474"/>
      <c r="E475" s="474"/>
      <c r="F475" s="359"/>
      <c r="G475" s="293"/>
      <c r="H475" s="106"/>
      <c r="I475" s="293"/>
      <c r="J475" s="106"/>
      <c r="K475" s="293"/>
      <c r="L475" s="106"/>
      <c r="M475" s="293"/>
      <c r="N475" s="106"/>
      <c r="O475" s="293"/>
      <c r="P475" s="106"/>
      <c r="Q475" s="293"/>
      <c r="R475" s="106"/>
      <c r="S475" s="293"/>
      <c r="T475" s="106"/>
      <c r="U475" s="293"/>
      <c r="V475" s="106"/>
      <c r="W475" s="293"/>
      <c r="X475" s="480"/>
      <c r="Y475" s="71"/>
      <c r="Z475" s="71"/>
      <c r="AA475" s="71"/>
      <c r="AB475" s="479"/>
    </row>
    <row r="476" spans="1:34" ht="12.6" customHeight="1" x14ac:dyDescent="0.2">
      <c r="A476" s="17"/>
      <c r="B476" s="473"/>
      <c r="C476" s="474"/>
      <c r="D476" s="474"/>
      <c r="E476" s="474"/>
      <c r="F476" s="359"/>
      <c r="G476" s="293"/>
      <c r="H476" s="106"/>
      <c r="I476" s="293"/>
      <c r="J476" s="106"/>
      <c r="K476" s="293"/>
      <c r="L476" s="106"/>
      <c r="M476" s="293"/>
      <c r="N476" s="106"/>
      <c r="O476" s="293"/>
      <c r="P476" s="106"/>
      <c r="Q476" s="293"/>
      <c r="R476" s="106"/>
      <c r="S476" s="293"/>
      <c r="T476" s="106"/>
      <c r="U476" s="293"/>
      <c r="V476" s="106"/>
      <c r="W476" s="293"/>
      <c r="X476" s="480"/>
      <c r="Y476" s="71"/>
      <c r="Z476" s="71"/>
      <c r="AA476" s="71"/>
      <c r="AB476" s="479"/>
    </row>
    <row r="477" spans="1:34" ht="12.6" customHeight="1" x14ac:dyDescent="0.2">
      <c r="A477" s="17"/>
      <c r="B477" s="473"/>
      <c r="C477" s="474"/>
      <c r="D477" s="474"/>
      <c r="E477" s="474"/>
      <c r="F477" s="359"/>
      <c r="G477" s="293"/>
      <c r="H477" s="106"/>
      <c r="I477" s="293"/>
      <c r="J477" s="106"/>
      <c r="K477" s="293"/>
      <c r="L477" s="106"/>
      <c r="M477" s="293"/>
      <c r="N477" s="106"/>
      <c r="O477" s="293"/>
      <c r="P477" s="106"/>
      <c r="Q477" s="293"/>
      <c r="R477" s="106"/>
      <c r="S477" s="293"/>
      <c r="T477" s="106"/>
      <c r="U477" s="293"/>
      <c r="V477" s="106"/>
      <c r="W477" s="293"/>
      <c r="X477" s="480"/>
      <c r="Y477" s="71"/>
      <c r="Z477" s="71"/>
      <c r="AA477" s="71"/>
      <c r="AB477" s="479"/>
    </row>
    <row r="478" spans="1:34" ht="15.75" customHeight="1" x14ac:dyDescent="0.2">
      <c r="A478" s="17"/>
      <c r="B478" s="679" t="s">
        <v>11</v>
      </c>
      <c r="C478" s="708" t="s">
        <v>12</v>
      </c>
      <c r="D478" s="709"/>
      <c r="E478" s="709"/>
      <c r="F478" s="674" t="s">
        <v>13</v>
      </c>
      <c r="G478" s="674" t="s">
        <v>13</v>
      </c>
      <c r="H478" s="670" t="s">
        <v>701</v>
      </c>
      <c r="I478" s="670"/>
      <c r="J478" s="671"/>
      <c r="K478" s="671"/>
      <c r="L478" s="671"/>
      <c r="M478" s="671"/>
      <c r="N478" s="671"/>
      <c r="O478" s="671"/>
      <c r="P478" s="671"/>
      <c r="Q478" s="671"/>
      <c r="R478" s="671"/>
      <c r="S478" s="671"/>
      <c r="T478" s="671"/>
      <c r="U478" s="671"/>
      <c r="V478" s="671"/>
      <c r="W478" s="671"/>
      <c r="X478" s="752" t="s">
        <v>14</v>
      </c>
      <c r="Y478" s="752"/>
      <c r="Z478" s="752"/>
      <c r="AA478" s="752"/>
      <c r="AB478" s="1174" t="s">
        <v>15</v>
      </c>
      <c r="AE478" s="61"/>
      <c r="AF478" s="759" t="s">
        <v>3</v>
      </c>
      <c r="AG478" s="760"/>
      <c r="AH478" s="760"/>
    </row>
    <row r="479" spans="1:34" ht="12" customHeight="1" x14ac:dyDescent="0.2">
      <c r="A479" s="17"/>
      <c r="B479" s="679"/>
      <c r="C479" s="709"/>
      <c r="D479" s="709"/>
      <c r="E479" s="709"/>
      <c r="F479" s="675"/>
      <c r="G479" s="675"/>
      <c r="H479" s="404"/>
      <c r="I479" s="396" t="s">
        <v>260</v>
      </c>
      <c r="J479" s="398"/>
      <c r="K479" s="396" t="s">
        <v>17</v>
      </c>
      <c r="L479" s="399"/>
      <c r="M479" s="399" t="s">
        <v>18</v>
      </c>
      <c r="N479" s="399"/>
      <c r="O479" s="396" t="s">
        <v>19</v>
      </c>
      <c r="P479" s="399"/>
      <c r="Q479" s="399" t="s">
        <v>261</v>
      </c>
      <c r="R479" s="399"/>
      <c r="S479" s="399" t="s">
        <v>20</v>
      </c>
      <c r="T479" s="399"/>
      <c r="U479" s="399" t="s">
        <v>21</v>
      </c>
      <c r="V479" s="399"/>
      <c r="W479" s="399" t="s">
        <v>22</v>
      </c>
      <c r="X479" s="752"/>
      <c r="Y479" s="752"/>
      <c r="Z479" s="752"/>
      <c r="AA479" s="752"/>
      <c r="AB479" s="1174"/>
    </row>
    <row r="480" spans="1:34" ht="12.6" customHeight="1" x14ac:dyDescent="0.2">
      <c r="A480" s="17"/>
      <c r="B480" s="640" t="s">
        <v>941</v>
      </c>
      <c r="C480" s="672"/>
      <c r="D480" s="672"/>
      <c r="E480" s="673"/>
      <c r="F480" s="322">
        <f>3.08*X2</f>
        <v>4743.2</v>
      </c>
      <c r="G480" s="256">
        <f t="shared" ref="G480" si="1267">+F480*$X$1</f>
        <v>4743.2</v>
      </c>
      <c r="H480" s="528"/>
      <c r="I480" s="256"/>
      <c r="J480" s="82"/>
      <c r="K480" s="256"/>
      <c r="L480" s="528"/>
      <c r="M480" s="256"/>
      <c r="N480" s="528">
        <f>F480+1440</f>
        <v>6183.2</v>
      </c>
      <c r="O480" s="256">
        <f t="shared" ref="O480" si="1268">+N480*$X$1</f>
        <v>6183.2</v>
      </c>
      <c r="P480" s="528">
        <f>F480+880</f>
        <v>5623.2</v>
      </c>
      <c r="Q480" s="256">
        <f t="shared" ref="Q480" si="1269">+P480*$X$1</f>
        <v>5623.2</v>
      </c>
      <c r="R480" s="528">
        <f>F480+800</f>
        <v>5543.2</v>
      </c>
      <c r="S480" s="256">
        <f t="shared" ref="S480" si="1270">+R480*$X$1</f>
        <v>5543.2</v>
      </c>
      <c r="T480" s="528">
        <f>F480+300</f>
        <v>5043.2</v>
      </c>
      <c r="U480" s="256">
        <f t="shared" ref="U480" si="1271">+T480*$X$1</f>
        <v>5043.2</v>
      </c>
      <c r="V480" s="528">
        <f>F480+200</f>
        <v>4943.2</v>
      </c>
      <c r="W480" s="256">
        <f t="shared" ref="W480" si="1272">+V480*$X$1</f>
        <v>4943.2</v>
      </c>
      <c r="X480" s="149"/>
      <c r="Y480" s="122"/>
      <c r="Z480" s="122"/>
      <c r="AA480" s="125"/>
      <c r="AB480" s="348">
        <v>3021</v>
      </c>
    </row>
    <row r="481" spans="1:35" ht="12.6" customHeight="1" x14ac:dyDescent="0.2">
      <c r="A481" s="17"/>
      <c r="B481" s="657" t="s">
        <v>940</v>
      </c>
      <c r="C481" s="748"/>
      <c r="D481" s="748"/>
      <c r="E481" s="749"/>
      <c r="F481" s="321">
        <f>3.08*X2</f>
        <v>4743.2</v>
      </c>
      <c r="G481" s="255">
        <f t="shared" ref="G481" si="1273">+F481*$X$1</f>
        <v>4743.2</v>
      </c>
      <c r="H481" s="520"/>
      <c r="I481" s="255"/>
      <c r="J481" s="68"/>
      <c r="K481" s="255"/>
      <c r="L481" s="520"/>
      <c r="M481" s="255"/>
      <c r="N481" s="520">
        <f>F481+1440</f>
        <v>6183.2</v>
      </c>
      <c r="O481" s="255">
        <f t="shared" ref="O481" si="1274">+N481*$X$1</f>
        <v>6183.2</v>
      </c>
      <c r="P481" s="520">
        <f>F481+880</f>
        <v>5623.2</v>
      </c>
      <c r="Q481" s="255">
        <f t="shared" ref="Q481" si="1275">+P481*$X$1</f>
        <v>5623.2</v>
      </c>
      <c r="R481" s="520">
        <f>F481+800</f>
        <v>5543.2</v>
      </c>
      <c r="S481" s="255">
        <f t="shared" ref="S481" si="1276">+R481*$X$1</f>
        <v>5543.2</v>
      </c>
      <c r="T481" s="520">
        <f>F481+300</f>
        <v>5043.2</v>
      </c>
      <c r="U481" s="255">
        <f t="shared" ref="U481" si="1277">+T481*$X$1</f>
        <v>5043.2</v>
      </c>
      <c r="V481" s="520">
        <f>F481+200</f>
        <v>4943.2</v>
      </c>
      <c r="W481" s="255">
        <f t="shared" ref="W481" si="1278">+V481*$X$1</f>
        <v>4943.2</v>
      </c>
      <c r="X481" s="149"/>
      <c r="Y481" s="122"/>
      <c r="Z481" s="122"/>
      <c r="AA481" s="125"/>
      <c r="AB481" s="348">
        <v>3022</v>
      </c>
    </row>
    <row r="482" spans="1:35" ht="12.6" customHeight="1" x14ac:dyDescent="0.2">
      <c r="A482" s="17"/>
      <c r="B482" s="640" t="s">
        <v>942</v>
      </c>
      <c r="C482" s="672"/>
      <c r="D482" s="672"/>
      <c r="E482" s="673"/>
      <c r="F482" s="322">
        <f>3.08*X2</f>
        <v>4743.2</v>
      </c>
      <c r="G482" s="256">
        <f t="shared" ref="G482" si="1279">+F482*$X$1</f>
        <v>4743.2</v>
      </c>
      <c r="H482" s="528"/>
      <c r="I482" s="256"/>
      <c r="J482" s="82"/>
      <c r="K482" s="256"/>
      <c r="L482" s="528"/>
      <c r="M482" s="256"/>
      <c r="N482" s="528">
        <f>F482+1440</f>
        <v>6183.2</v>
      </c>
      <c r="O482" s="256">
        <f t="shared" ref="O482" si="1280">+N482*$X$1</f>
        <v>6183.2</v>
      </c>
      <c r="P482" s="528">
        <f>F482+880</f>
        <v>5623.2</v>
      </c>
      <c r="Q482" s="256">
        <f t="shared" ref="Q482" si="1281">+P482*$X$1</f>
        <v>5623.2</v>
      </c>
      <c r="R482" s="528">
        <f>F482+800</f>
        <v>5543.2</v>
      </c>
      <c r="S482" s="256">
        <f t="shared" ref="S482" si="1282">+R482*$X$1</f>
        <v>5543.2</v>
      </c>
      <c r="T482" s="528">
        <f>F482+300</f>
        <v>5043.2</v>
      </c>
      <c r="U482" s="256">
        <f t="shared" ref="U482" si="1283">+T482*$X$1</f>
        <v>5043.2</v>
      </c>
      <c r="V482" s="528">
        <f>F482+200</f>
        <v>4943.2</v>
      </c>
      <c r="W482" s="256">
        <f t="shared" ref="W482" si="1284">+V482*$X$1</f>
        <v>4943.2</v>
      </c>
      <c r="X482" s="149"/>
      <c r="Y482" s="122"/>
      <c r="Z482" s="122"/>
      <c r="AA482" s="125"/>
      <c r="AB482" s="348">
        <v>3023</v>
      </c>
    </row>
    <row r="483" spans="1:35" ht="12.6" customHeight="1" x14ac:dyDescent="0.2">
      <c r="A483" s="17"/>
      <c r="B483" s="657" t="s">
        <v>943</v>
      </c>
      <c r="C483" s="748"/>
      <c r="D483" s="748"/>
      <c r="E483" s="749"/>
      <c r="F483" s="321">
        <f>3.08*X2</f>
        <v>4743.2</v>
      </c>
      <c r="G483" s="255">
        <f t="shared" ref="G483" si="1285">+F483*$X$1</f>
        <v>4743.2</v>
      </c>
      <c r="H483" s="520"/>
      <c r="I483" s="255"/>
      <c r="J483" s="68"/>
      <c r="K483" s="255"/>
      <c r="L483" s="520"/>
      <c r="M483" s="255"/>
      <c r="N483" s="520">
        <f>F483+1440</f>
        <v>6183.2</v>
      </c>
      <c r="O483" s="255">
        <f t="shared" ref="O483" si="1286">+N483*$X$1</f>
        <v>6183.2</v>
      </c>
      <c r="P483" s="520">
        <f>F483+880</f>
        <v>5623.2</v>
      </c>
      <c r="Q483" s="255">
        <f t="shared" ref="Q483" si="1287">+P483*$X$1</f>
        <v>5623.2</v>
      </c>
      <c r="R483" s="520">
        <f>F483+800</f>
        <v>5543.2</v>
      </c>
      <c r="S483" s="255">
        <f t="shared" ref="S483" si="1288">+R483*$X$1</f>
        <v>5543.2</v>
      </c>
      <c r="T483" s="520">
        <f>F483+300</f>
        <v>5043.2</v>
      </c>
      <c r="U483" s="255">
        <f t="shared" ref="U483" si="1289">+T483*$X$1</f>
        <v>5043.2</v>
      </c>
      <c r="V483" s="520">
        <f>F483+200</f>
        <v>4943.2</v>
      </c>
      <c r="W483" s="255">
        <f t="shared" ref="W483" si="1290">+V483*$X$1</f>
        <v>4943.2</v>
      </c>
      <c r="X483" s="149"/>
      <c r="Y483" s="122"/>
      <c r="Z483" s="122"/>
      <c r="AA483" s="125"/>
      <c r="AB483" s="348">
        <v>3024</v>
      </c>
    </row>
    <row r="484" spans="1:35" ht="12.6" customHeight="1" x14ac:dyDescent="0.2">
      <c r="A484" s="17"/>
      <c r="B484" s="640" t="s">
        <v>944</v>
      </c>
      <c r="C484" s="672"/>
      <c r="D484" s="672"/>
      <c r="E484" s="673"/>
      <c r="F484" s="322">
        <f>3.08*X2</f>
        <v>4743.2</v>
      </c>
      <c r="G484" s="256">
        <f t="shared" ref="G484" si="1291">+F484*$X$1</f>
        <v>4743.2</v>
      </c>
      <c r="H484" s="528"/>
      <c r="I484" s="256"/>
      <c r="J484" s="82"/>
      <c r="K484" s="256"/>
      <c r="L484" s="528"/>
      <c r="M484" s="256"/>
      <c r="N484" s="528">
        <f>F484+1440</f>
        <v>6183.2</v>
      </c>
      <c r="O484" s="256">
        <f t="shared" ref="O484:W488" si="1292">+N484*$X$1</f>
        <v>6183.2</v>
      </c>
      <c r="P484" s="528">
        <f>F484+880</f>
        <v>5623.2</v>
      </c>
      <c r="Q484" s="256">
        <f t="shared" ref="Q484" si="1293">+P484*$X$1</f>
        <v>5623.2</v>
      </c>
      <c r="R484" s="528">
        <f>F484+800</f>
        <v>5543.2</v>
      </c>
      <c r="S484" s="256">
        <f t="shared" ref="S484" si="1294">+R484*$X$1</f>
        <v>5543.2</v>
      </c>
      <c r="T484" s="528">
        <f>F484+300</f>
        <v>5043.2</v>
      </c>
      <c r="U484" s="256">
        <f t="shared" ref="U484" si="1295">+T484*$X$1</f>
        <v>5043.2</v>
      </c>
      <c r="V484" s="528">
        <f>F484+200</f>
        <v>4943.2</v>
      </c>
      <c r="W484" s="256">
        <f t="shared" ref="W484" si="1296">+V484*$X$1</f>
        <v>4943.2</v>
      </c>
      <c r="X484" s="149"/>
      <c r="Y484" s="122"/>
      <c r="Z484" s="122"/>
      <c r="AA484" s="125"/>
      <c r="AB484" s="348">
        <v>3025</v>
      </c>
    </row>
    <row r="485" spans="1:35" ht="12.6" customHeight="1" x14ac:dyDescent="0.2">
      <c r="A485" s="17"/>
      <c r="B485" s="657" t="s">
        <v>950</v>
      </c>
      <c r="C485" s="748"/>
      <c r="D485" s="748"/>
      <c r="E485" s="749"/>
      <c r="F485" s="321">
        <f>3.08*X2</f>
        <v>4743.2</v>
      </c>
      <c r="G485" s="255">
        <f t="shared" ref="G485" si="1297">+F485*$X$1</f>
        <v>4743.2</v>
      </c>
      <c r="H485" s="520"/>
      <c r="I485" s="255"/>
      <c r="J485" s="68"/>
      <c r="K485" s="255"/>
      <c r="L485" s="520"/>
      <c r="M485" s="255"/>
      <c r="N485" s="520">
        <f t="shared" ref="N485" si="1298">F485+1440</f>
        <v>6183.2</v>
      </c>
      <c r="O485" s="255">
        <f t="shared" ref="O485:W487" si="1299">+N485*$X$1</f>
        <v>6183.2</v>
      </c>
      <c r="P485" s="520">
        <f t="shared" ref="P485" si="1300">F485+880</f>
        <v>5623.2</v>
      </c>
      <c r="Q485" s="255">
        <f t="shared" ref="Q485" si="1301">+P485*$X$1</f>
        <v>5623.2</v>
      </c>
      <c r="R485" s="520">
        <f t="shared" ref="R485" si="1302">F485+800</f>
        <v>5543.2</v>
      </c>
      <c r="S485" s="255">
        <f t="shared" ref="S485" si="1303">+R485*$X$1</f>
        <v>5543.2</v>
      </c>
      <c r="T485" s="520">
        <f t="shared" ref="T485" si="1304">F485+300</f>
        <v>5043.2</v>
      </c>
      <c r="U485" s="255">
        <f t="shared" ref="U485" si="1305">+T485*$X$1</f>
        <v>5043.2</v>
      </c>
      <c r="V485" s="520">
        <f t="shared" ref="V485" si="1306">F485+200</f>
        <v>4943.2</v>
      </c>
      <c r="W485" s="255">
        <f t="shared" ref="W485" si="1307">+V485*$X$1</f>
        <v>4943.2</v>
      </c>
      <c r="X485" s="149"/>
      <c r="Y485" s="122"/>
      <c r="Z485" s="122"/>
      <c r="AA485" s="125"/>
      <c r="AB485" s="348">
        <v>3026</v>
      </c>
    </row>
    <row r="486" spans="1:35" ht="12.6" customHeight="1" x14ac:dyDescent="0.2">
      <c r="A486" s="17"/>
      <c r="B486" s="626" t="s">
        <v>969</v>
      </c>
      <c r="C486" s="951"/>
      <c r="D486" s="951"/>
      <c r="E486" s="952"/>
      <c r="F486" s="322"/>
      <c r="G486" s="256"/>
      <c r="H486" s="528"/>
      <c r="I486" s="256"/>
      <c r="J486" s="82"/>
      <c r="K486" s="256"/>
      <c r="L486" s="528"/>
      <c r="M486" s="256"/>
      <c r="N486" s="528">
        <v>389</v>
      </c>
      <c r="O486" s="256">
        <f t="shared" si="1292"/>
        <v>389</v>
      </c>
      <c r="P486" s="528">
        <v>248</v>
      </c>
      <c r="Q486" s="256">
        <f t="shared" si="1292"/>
        <v>248</v>
      </c>
      <c r="R486" s="528">
        <v>238</v>
      </c>
      <c r="S486" s="256">
        <f t="shared" si="1292"/>
        <v>238</v>
      </c>
      <c r="T486" s="528">
        <v>198</v>
      </c>
      <c r="U486" s="256">
        <f t="shared" si="1292"/>
        <v>198</v>
      </c>
      <c r="V486" s="528">
        <v>158</v>
      </c>
      <c r="W486" s="256">
        <f t="shared" si="1292"/>
        <v>158</v>
      </c>
      <c r="X486" s="149"/>
      <c r="Y486" s="122"/>
      <c r="Z486" s="122"/>
      <c r="AA486" s="125"/>
      <c r="AB486" s="348">
        <v>3100</v>
      </c>
    </row>
    <row r="487" spans="1:35" ht="12.6" customHeight="1" x14ac:dyDescent="0.2">
      <c r="A487" s="17"/>
      <c r="B487" s="626" t="s">
        <v>975</v>
      </c>
      <c r="C487" s="951"/>
      <c r="D487" s="951"/>
      <c r="E487" s="952"/>
      <c r="F487" s="321"/>
      <c r="G487" s="255"/>
      <c r="H487" s="520"/>
      <c r="I487" s="255"/>
      <c r="J487" s="68"/>
      <c r="K487" s="255"/>
      <c r="L487" s="520"/>
      <c r="M487" s="255"/>
      <c r="N487" s="520">
        <v>670</v>
      </c>
      <c r="O487" s="255">
        <f t="shared" si="1299"/>
        <v>670</v>
      </c>
      <c r="P487" s="520">
        <v>510</v>
      </c>
      <c r="Q487" s="255">
        <f t="shared" si="1299"/>
        <v>510</v>
      </c>
      <c r="R487" s="520">
        <v>433</v>
      </c>
      <c r="S487" s="255">
        <f t="shared" si="1299"/>
        <v>433</v>
      </c>
      <c r="T487" s="520">
        <v>354</v>
      </c>
      <c r="U487" s="255">
        <f t="shared" si="1299"/>
        <v>354</v>
      </c>
      <c r="V487" s="520">
        <v>295</v>
      </c>
      <c r="W487" s="255">
        <f t="shared" si="1299"/>
        <v>295</v>
      </c>
      <c r="X487" s="149"/>
      <c r="Y487" s="122"/>
      <c r="Z487" s="122"/>
      <c r="AA487" s="125"/>
      <c r="AB487" s="348"/>
    </row>
    <row r="488" spans="1:35" ht="12.6" customHeight="1" x14ac:dyDescent="0.2">
      <c r="A488" s="17"/>
      <c r="B488" s="626" t="s">
        <v>974</v>
      </c>
      <c r="C488" s="951"/>
      <c r="D488" s="951"/>
      <c r="E488" s="952"/>
      <c r="F488" s="322"/>
      <c r="G488" s="256"/>
      <c r="H488" s="528"/>
      <c r="I488" s="256"/>
      <c r="J488" s="82"/>
      <c r="K488" s="256"/>
      <c r="L488" s="528"/>
      <c r="M488" s="256"/>
      <c r="N488" s="528">
        <v>848</v>
      </c>
      <c r="O488" s="256">
        <f t="shared" si="1292"/>
        <v>848</v>
      </c>
      <c r="P488" s="528">
        <v>628</v>
      </c>
      <c r="Q488" s="256">
        <f t="shared" si="1292"/>
        <v>628</v>
      </c>
      <c r="R488" s="528">
        <v>530</v>
      </c>
      <c r="S488" s="256">
        <f t="shared" si="1292"/>
        <v>530</v>
      </c>
      <c r="T488" s="528">
        <v>432</v>
      </c>
      <c r="U488" s="256">
        <f t="shared" si="1292"/>
        <v>432</v>
      </c>
      <c r="V488" s="528">
        <v>333</v>
      </c>
      <c r="W488" s="256">
        <f t="shared" si="1292"/>
        <v>333</v>
      </c>
      <c r="X488" s="149"/>
      <c r="Y488" s="122"/>
      <c r="Z488" s="122"/>
      <c r="AA488" s="125"/>
      <c r="AB488" s="348">
        <v>3106</v>
      </c>
    </row>
    <row r="489" spans="1:35" ht="12.6" customHeight="1" x14ac:dyDescent="0.2">
      <c r="A489" s="17"/>
      <c r="B489" s="626" t="s">
        <v>959</v>
      </c>
      <c r="C489" s="951"/>
      <c r="D489" s="951"/>
      <c r="E489" s="952"/>
      <c r="F489" s="322"/>
      <c r="G489" s="953" t="s">
        <v>523</v>
      </c>
      <c r="H489" s="954"/>
      <c r="I489" s="954"/>
      <c r="J489" s="954"/>
      <c r="K489" s="954"/>
      <c r="L489" s="954"/>
      <c r="M489" s="955"/>
      <c r="N489" s="520">
        <v>1080</v>
      </c>
      <c r="O489" s="255">
        <f t="shared" ref="O489:O490" si="1308">+N489*$X$1</f>
        <v>1080</v>
      </c>
      <c r="P489" s="520">
        <v>1073</v>
      </c>
      <c r="Q489" s="255">
        <f t="shared" ref="Q489:Q490" si="1309">+P489*$X$1</f>
        <v>1073</v>
      </c>
      <c r="R489" s="520">
        <v>990</v>
      </c>
      <c r="S489" s="255">
        <f t="shared" ref="S489:S490" si="1310">+R489*$X$1</f>
        <v>990</v>
      </c>
      <c r="T489" s="520">
        <v>930</v>
      </c>
      <c r="U489" s="255">
        <f t="shared" ref="U489:U490" si="1311">+T489*$X$1</f>
        <v>930</v>
      </c>
      <c r="V489" s="520">
        <v>795</v>
      </c>
      <c r="W489" s="255">
        <f t="shared" ref="W489:W490" si="1312">+V489*$X$1</f>
        <v>795</v>
      </c>
      <c r="X489" s="149"/>
      <c r="Y489" s="122"/>
      <c r="Z489" s="122"/>
      <c r="AA489" s="125"/>
      <c r="AB489" s="348"/>
    </row>
    <row r="490" spans="1:35" ht="12.6" customHeight="1" x14ac:dyDescent="0.2">
      <c r="A490" s="17"/>
      <c r="B490" s="626" t="s">
        <v>966</v>
      </c>
      <c r="C490" s="951"/>
      <c r="D490" s="951"/>
      <c r="E490" s="952"/>
      <c r="F490" s="321"/>
      <c r="G490" s="953" t="s">
        <v>524</v>
      </c>
      <c r="H490" s="954"/>
      <c r="I490" s="1117"/>
      <c r="J490" s="1117"/>
      <c r="K490" s="1117"/>
      <c r="L490" s="1117"/>
      <c r="M490" s="1118"/>
      <c r="N490" s="528">
        <v>1233</v>
      </c>
      <c r="O490" s="256">
        <f t="shared" si="1308"/>
        <v>1233</v>
      </c>
      <c r="P490" s="528">
        <v>1225</v>
      </c>
      <c r="Q490" s="256">
        <f t="shared" si="1309"/>
        <v>1225</v>
      </c>
      <c r="R490" s="528">
        <v>1130</v>
      </c>
      <c r="S490" s="256">
        <f t="shared" si="1310"/>
        <v>1130</v>
      </c>
      <c r="T490" s="528">
        <v>1063</v>
      </c>
      <c r="U490" s="256">
        <f t="shared" si="1311"/>
        <v>1063</v>
      </c>
      <c r="V490" s="528">
        <v>908</v>
      </c>
      <c r="W490" s="256">
        <f t="shared" si="1312"/>
        <v>908</v>
      </c>
      <c r="X490" s="149"/>
      <c r="Y490" s="122"/>
      <c r="Z490" s="122"/>
      <c r="AA490" s="125"/>
      <c r="AB490" s="348">
        <v>3111</v>
      </c>
    </row>
    <row r="491" spans="1:35" ht="12.6" customHeight="1" x14ac:dyDescent="0.2">
      <c r="A491" s="94"/>
      <c r="B491" s="699" t="s">
        <v>688</v>
      </c>
      <c r="C491" s="700"/>
      <c r="D491" s="700"/>
      <c r="E491" s="700"/>
      <c r="F491" s="255">
        <v>4915</v>
      </c>
      <c r="G491" s="255">
        <f t="shared" ref="G491" si="1313">+F491*$X$1</f>
        <v>4915</v>
      </c>
      <c r="H491" s="251"/>
      <c r="I491" s="300"/>
      <c r="J491" s="520"/>
      <c r="K491" s="255"/>
      <c r="L491" s="520">
        <f>F491+1220</f>
        <v>6135</v>
      </c>
      <c r="M491" s="255">
        <f t="shared" ref="M491" si="1314">+L491*$X$1</f>
        <v>6135</v>
      </c>
      <c r="N491" s="520">
        <f>F491+1000</f>
        <v>5915</v>
      </c>
      <c r="O491" s="255">
        <f t="shared" ref="O491:O492" si="1315">+N491*$X$1</f>
        <v>5915</v>
      </c>
      <c r="P491" s="520">
        <f>F491+900</f>
        <v>5815</v>
      </c>
      <c r="Q491" s="255">
        <f t="shared" ref="Q491:Q492" si="1316">+P491*$X$1</f>
        <v>5815</v>
      </c>
      <c r="R491" s="520">
        <f>F491+850</f>
        <v>5765</v>
      </c>
      <c r="S491" s="255">
        <f t="shared" ref="S491" si="1317">+R491*$X$1</f>
        <v>5765</v>
      </c>
      <c r="T491" s="520">
        <f>F491+800</f>
        <v>5715</v>
      </c>
      <c r="U491" s="255">
        <f t="shared" ref="U491" si="1318">+T491*$X$1</f>
        <v>5715</v>
      </c>
      <c r="V491" s="520">
        <f>F491+780</f>
        <v>5695</v>
      </c>
      <c r="W491" s="255">
        <f t="shared" ref="W491" si="1319">+V491*$X$1</f>
        <v>5695</v>
      </c>
      <c r="X491" s="196"/>
      <c r="Y491" s="198"/>
      <c r="Z491" s="198"/>
      <c r="AA491" s="197"/>
      <c r="AB491" s="336">
        <v>5003</v>
      </c>
      <c r="AC491" s="62"/>
    </row>
    <row r="492" spans="1:35" ht="12.6" customHeight="1" x14ac:dyDescent="0.2">
      <c r="A492" s="94"/>
      <c r="B492" s="638" t="s">
        <v>689</v>
      </c>
      <c r="C492" s="639"/>
      <c r="D492" s="639"/>
      <c r="E492" s="639"/>
      <c r="F492" s="256">
        <v>4915</v>
      </c>
      <c r="G492" s="256">
        <f t="shared" ref="G492" si="1320">+F492*$X$1</f>
        <v>4915</v>
      </c>
      <c r="H492" s="528">
        <f>F492+1200</f>
        <v>6115</v>
      </c>
      <c r="I492" s="256">
        <f>+H492*$X$1</f>
        <v>6115</v>
      </c>
      <c r="J492" s="82">
        <f>F492+400</f>
        <v>5315</v>
      </c>
      <c r="K492" s="256">
        <f t="shared" ref="K492" si="1321">+J492*$X$1</f>
        <v>5315</v>
      </c>
      <c r="L492" s="528">
        <f>F492+350</f>
        <v>5265</v>
      </c>
      <c r="M492" s="256">
        <f t="shared" ref="M492" si="1322">+L492*$X$1</f>
        <v>5265</v>
      </c>
      <c r="N492" s="528">
        <f>F492+310</f>
        <v>5225</v>
      </c>
      <c r="O492" s="256">
        <f t="shared" si="1315"/>
        <v>5225</v>
      </c>
      <c r="P492" s="528">
        <f>F492+290</f>
        <v>5205</v>
      </c>
      <c r="Q492" s="256">
        <f t="shared" si="1316"/>
        <v>5205</v>
      </c>
      <c r="R492" s="528">
        <f>F492+260</f>
        <v>5175</v>
      </c>
      <c r="S492" s="256">
        <f t="shared" ref="S492" si="1323">+R492*$X$1</f>
        <v>5175</v>
      </c>
      <c r="T492" s="528">
        <f>F492+230</f>
        <v>5145</v>
      </c>
      <c r="U492" s="256">
        <f t="shared" ref="U492" si="1324">+T492*$X$1</f>
        <v>5145</v>
      </c>
      <c r="V492" s="528">
        <f>F492+200</f>
        <v>5115</v>
      </c>
      <c r="W492" s="256">
        <f t="shared" ref="W492" si="1325">+V492*$X$1</f>
        <v>5115</v>
      </c>
      <c r="X492" s="365"/>
      <c r="Y492" s="363"/>
      <c r="Z492" s="363"/>
      <c r="AA492" s="364"/>
      <c r="AB492" s="336" t="s">
        <v>607</v>
      </c>
      <c r="AC492" s="62"/>
    </row>
    <row r="493" spans="1:35" ht="12.6" customHeight="1" x14ac:dyDescent="0.2">
      <c r="A493" s="17"/>
      <c r="B493" s="654" t="s">
        <v>472</v>
      </c>
      <c r="C493" s="655"/>
      <c r="D493" s="655"/>
      <c r="E493" s="655"/>
      <c r="F493" s="255">
        <v>6565</v>
      </c>
      <c r="G493" s="255">
        <f t="shared" ref="G493" si="1326">+F493*$X$1</f>
        <v>6565</v>
      </c>
      <c r="H493" s="251"/>
      <c r="I493" s="300"/>
      <c r="J493" s="520"/>
      <c r="K493" s="255"/>
      <c r="L493" s="520">
        <f>F493+1700</f>
        <v>8265</v>
      </c>
      <c r="M493" s="255">
        <f t="shared" ref="M493" si="1327">+L493*$X$1</f>
        <v>8265</v>
      </c>
      <c r="N493" s="520">
        <f>F493+1370</f>
        <v>7935</v>
      </c>
      <c r="O493" s="255">
        <f t="shared" ref="O493" si="1328">+N493*$X$1</f>
        <v>7935</v>
      </c>
      <c r="P493" s="520">
        <f>F493+1150</f>
        <v>7715</v>
      </c>
      <c r="Q493" s="255">
        <f t="shared" ref="Q493" si="1329">+P493*$X$1</f>
        <v>7715</v>
      </c>
      <c r="R493" s="520">
        <f>F493+1110</f>
        <v>7675</v>
      </c>
      <c r="S493" s="255">
        <f>+R493*$X$1</f>
        <v>7675</v>
      </c>
      <c r="T493" s="520">
        <f>F493+1070</f>
        <v>7635</v>
      </c>
      <c r="U493" s="255">
        <f>+T493*$X$1</f>
        <v>7635</v>
      </c>
      <c r="V493" s="520"/>
      <c r="W493" s="255"/>
      <c r="X493" s="963"/>
      <c r="Y493" s="964"/>
      <c r="Z493" s="964"/>
      <c r="AA493" s="965"/>
      <c r="AB493" s="178">
        <v>5008</v>
      </c>
      <c r="AC493" s="35"/>
      <c r="AD493" s="35"/>
      <c r="AE493" s="35"/>
      <c r="AF493" s="35"/>
      <c r="AG493" s="35"/>
      <c r="AH493" s="35"/>
      <c r="AI493" s="35"/>
    </row>
    <row r="494" spans="1:35" ht="12.6" customHeight="1" x14ac:dyDescent="0.2">
      <c r="A494" s="17"/>
      <c r="B494" s="640" t="s">
        <v>473</v>
      </c>
      <c r="C494" s="641"/>
      <c r="D494" s="641"/>
      <c r="E494" s="642"/>
      <c r="F494" s="256">
        <v>8930</v>
      </c>
      <c r="G494" s="256">
        <f>+F494*$X$1</f>
        <v>8930</v>
      </c>
      <c r="H494" s="250"/>
      <c r="I494" s="301"/>
      <c r="J494" s="528"/>
      <c r="K494" s="256"/>
      <c r="L494" s="528">
        <f>F494+1700</f>
        <v>10630</v>
      </c>
      <c r="M494" s="256">
        <f t="shared" ref="M494" si="1330">+L494*$X$1</f>
        <v>10630</v>
      </c>
      <c r="N494" s="528">
        <f>F494+1370</f>
        <v>10300</v>
      </c>
      <c r="O494" s="256">
        <f t="shared" ref="O494" si="1331">+N494*$X$1</f>
        <v>10300</v>
      </c>
      <c r="P494" s="528">
        <f>F494+1150</f>
        <v>10080</v>
      </c>
      <c r="Q494" s="256">
        <f t="shared" ref="Q494" si="1332">+P494*$X$1</f>
        <v>10080</v>
      </c>
      <c r="R494" s="528">
        <f>F494+1110</f>
        <v>10040</v>
      </c>
      <c r="S494" s="256">
        <f>+R494*$X$1</f>
        <v>10040</v>
      </c>
      <c r="T494" s="528">
        <f>F494+1070</f>
        <v>10000</v>
      </c>
      <c r="U494" s="256">
        <f>+T494*$X$1</f>
        <v>10000</v>
      </c>
      <c r="V494" s="528"/>
      <c r="W494" s="256"/>
      <c r="X494" s="963"/>
      <c r="Y494" s="964"/>
      <c r="Z494" s="964"/>
      <c r="AA494" s="965"/>
      <c r="AB494" s="348">
        <v>5010</v>
      </c>
      <c r="AC494" s="35"/>
      <c r="AD494" s="35"/>
      <c r="AE494" s="35"/>
      <c r="AF494" s="35"/>
      <c r="AG494" s="35"/>
      <c r="AH494" s="35"/>
      <c r="AI494" s="35"/>
    </row>
    <row r="495" spans="1:35" ht="12.6" customHeight="1" x14ac:dyDescent="0.2">
      <c r="A495" s="17"/>
      <c r="B495" s="657" t="s">
        <v>474</v>
      </c>
      <c r="C495" s="677"/>
      <c r="D495" s="677"/>
      <c r="E495" s="678"/>
      <c r="F495" s="255">
        <v>5304</v>
      </c>
      <c r="G495" s="255">
        <f t="shared" ref="G495" si="1333">+F495*$X$1</f>
        <v>5304</v>
      </c>
      <c r="H495" s="251"/>
      <c r="I495" s="300"/>
      <c r="J495" s="520"/>
      <c r="K495" s="255"/>
      <c r="L495" s="520">
        <f>F495+1700</f>
        <v>7004</v>
      </c>
      <c r="M495" s="255">
        <f>+L495*$X$1</f>
        <v>7004</v>
      </c>
      <c r="N495" s="520">
        <f>F495+1370</f>
        <v>6674</v>
      </c>
      <c r="O495" s="255">
        <f>+N495*$X$1</f>
        <v>6674</v>
      </c>
      <c r="P495" s="520">
        <f>F495+1150</f>
        <v>6454</v>
      </c>
      <c r="Q495" s="255">
        <f>+P495*$X$1</f>
        <v>6454</v>
      </c>
      <c r="R495" s="520">
        <f>F495+1110</f>
        <v>6414</v>
      </c>
      <c r="S495" s="255">
        <f>+R495*$X$1</f>
        <v>6414</v>
      </c>
      <c r="T495" s="520">
        <f>F495+1070</f>
        <v>6374</v>
      </c>
      <c r="U495" s="255">
        <f>+T495*$X$1</f>
        <v>6374</v>
      </c>
      <c r="V495" s="520"/>
      <c r="W495" s="255"/>
      <c r="X495" s="963"/>
      <c r="Y495" s="964"/>
      <c r="Z495" s="964"/>
      <c r="AA495" s="965"/>
      <c r="AB495" s="348"/>
      <c r="AC495" s="35"/>
      <c r="AD495" s="35"/>
      <c r="AE495" s="35"/>
      <c r="AF495" s="35"/>
      <c r="AG495" s="35"/>
      <c r="AH495" s="35"/>
      <c r="AI495" s="35"/>
    </row>
    <row r="496" spans="1:35" ht="12.6" customHeight="1" x14ac:dyDescent="0.2">
      <c r="A496" s="17"/>
      <c r="B496" s="640" t="s">
        <v>475</v>
      </c>
      <c r="C496" s="641"/>
      <c r="D496" s="641"/>
      <c r="E496" s="642"/>
      <c r="F496" s="256">
        <v>7391</v>
      </c>
      <c r="G496" s="256">
        <f>+F496*$X$1</f>
        <v>7391</v>
      </c>
      <c r="H496" s="250"/>
      <c r="I496" s="301"/>
      <c r="J496" s="528"/>
      <c r="K496" s="256"/>
      <c r="L496" s="528">
        <f>F496+1700</f>
        <v>9091</v>
      </c>
      <c r="M496" s="256">
        <f>+L496*$X$1</f>
        <v>9091</v>
      </c>
      <c r="N496" s="528">
        <f>F496+1370</f>
        <v>8761</v>
      </c>
      <c r="O496" s="256">
        <f>+N496*$X$1</f>
        <v>8761</v>
      </c>
      <c r="P496" s="528">
        <f>F496+1150</f>
        <v>8541</v>
      </c>
      <c r="Q496" s="256">
        <f>+P496*$X$1</f>
        <v>8541</v>
      </c>
      <c r="R496" s="528">
        <f>F496+1110</f>
        <v>8501</v>
      </c>
      <c r="S496" s="256">
        <f>+R496*$X$1</f>
        <v>8501</v>
      </c>
      <c r="T496" s="528">
        <f>F496+1070</f>
        <v>8461</v>
      </c>
      <c r="U496" s="256">
        <f>+T496*$X$1</f>
        <v>8461</v>
      </c>
      <c r="V496" s="528"/>
      <c r="W496" s="256"/>
      <c r="X496" s="963"/>
      <c r="Y496" s="964"/>
      <c r="Z496" s="964"/>
      <c r="AA496" s="965"/>
      <c r="AB496" s="348"/>
      <c r="AC496" s="35"/>
      <c r="AD496" s="35"/>
      <c r="AE496" s="35"/>
      <c r="AF496" s="35"/>
      <c r="AG496" s="35"/>
      <c r="AH496" s="35"/>
      <c r="AI496" s="35"/>
    </row>
    <row r="497" spans="1:35" ht="12.6" customHeight="1" x14ac:dyDescent="0.2">
      <c r="A497" s="17"/>
      <c r="B497" s="654" t="s">
        <v>965</v>
      </c>
      <c r="C497" s="725"/>
      <c r="D497" s="725"/>
      <c r="E497" s="725"/>
      <c r="F497" s="255"/>
      <c r="G497" s="255"/>
      <c r="H497" s="251"/>
      <c r="I497" s="300"/>
      <c r="J497" s="520"/>
      <c r="K497" s="255"/>
      <c r="L497" s="520">
        <v>1300</v>
      </c>
      <c r="M497" s="255">
        <f>+L497*$X$1</f>
        <v>1300</v>
      </c>
      <c r="N497" s="520">
        <v>1275</v>
      </c>
      <c r="O497" s="255">
        <f>+N497*$X$1</f>
        <v>1275</v>
      </c>
      <c r="P497" s="520">
        <v>1268</v>
      </c>
      <c r="Q497" s="255">
        <f>+P497*$X$1</f>
        <v>1268</v>
      </c>
      <c r="R497" s="520">
        <v>1262</v>
      </c>
      <c r="S497" s="255">
        <f>+R497*$X$1</f>
        <v>1262</v>
      </c>
      <c r="T497" s="520">
        <v>1165</v>
      </c>
      <c r="U497" s="255">
        <f>+T497*$X$1</f>
        <v>1165</v>
      </c>
      <c r="V497" s="520">
        <v>1155</v>
      </c>
      <c r="W497" s="255">
        <f>+V497*$X$1</f>
        <v>1155</v>
      </c>
      <c r="X497" s="745"/>
      <c r="Y497" s="746"/>
      <c r="Z497" s="746"/>
      <c r="AA497" s="747"/>
      <c r="AB497" s="348">
        <v>10603</v>
      </c>
      <c r="AC497" s="35"/>
      <c r="AD497" s="35"/>
      <c r="AE497" s="35"/>
      <c r="AF497" s="35"/>
      <c r="AG497" s="35"/>
      <c r="AH497" s="35"/>
      <c r="AI497" s="35"/>
    </row>
    <row r="498" spans="1:35" ht="12.6" customHeight="1" x14ac:dyDescent="0.2">
      <c r="A498" s="17"/>
      <c r="B498" s="647" t="s">
        <v>967</v>
      </c>
      <c r="C498" s="688"/>
      <c r="D498" s="688"/>
      <c r="E498" s="688"/>
      <c r="F498" s="256">
        <v>2450</v>
      </c>
      <c r="G498" s="256">
        <f t="shared" ref="G498:G500" si="1334">+F498*$X$1</f>
        <v>2450</v>
      </c>
      <c r="H498" s="250"/>
      <c r="I498" s="301"/>
      <c r="J498" s="82">
        <f>F498+350</f>
        <v>2800</v>
      </c>
      <c r="K498" s="256">
        <f t="shared" ref="K498" si="1335">+J498*$X$1</f>
        <v>2800</v>
      </c>
      <c r="L498" s="528">
        <f>F498+300</f>
        <v>2750</v>
      </c>
      <c r="M498" s="256">
        <f t="shared" ref="M498" si="1336">+L498*$X$1</f>
        <v>2750</v>
      </c>
      <c r="N498" s="528">
        <f>F498+260</f>
        <v>2710</v>
      </c>
      <c r="O498" s="256">
        <f t="shared" ref="O498" si="1337">+N498*$X$1</f>
        <v>2710</v>
      </c>
      <c r="P498" s="528">
        <f>F498+230</f>
        <v>2680</v>
      </c>
      <c r="Q498" s="256">
        <f t="shared" ref="Q498" si="1338">+P498*$X$1</f>
        <v>2680</v>
      </c>
      <c r="R498" s="528">
        <f>F498+200</f>
        <v>2650</v>
      </c>
      <c r="S498" s="256">
        <f t="shared" ref="S498" si="1339">+R498*$X$1</f>
        <v>2650</v>
      </c>
      <c r="T498" s="528">
        <f>F498+175</f>
        <v>2625</v>
      </c>
      <c r="U498" s="256">
        <f t="shared" ref="U498" si="1340">+T498*$X$1</f>
        <v>2625</v>
      </c>
      <c r="V498" s="528">
        <f>F498+150</f>
        <v>2600</v>
      </c>
      <c r="W498" s="256">
        <f t="shared" ref="W498" si="1341">+V498*$X$1</f>
        <v>2600</v>
      </c>
      <c r="X498" s="745"/>
      <c r="Y498" s="746"/>
      <c r="Z498" s="746"/>
      <c r="AA498" s="747"/>
      <c r="AB498" s="348">
        <v>11604</v>
      </c>
    </row>
    <row r="499" spans="1:35" ht="12.6" customHeight="1" x14ac:dyDescent="0.2">
      <c r="A499" s="17"/>
      <c r="B499" s="654" t="s">
        <v>471</v>
      </c>
      <c r="C499" s="725"/>
      <c r="D499" s="725"/>
      <c r="E499" s="725"/>
      <c r="F499" s="255">
        <v>2450</v>
      </c>
      <c r="G499" s="255">
        <f>+F499*$X$1</f>
        <v>2450</v>
      </c>
      <c r="H499" s="251"/>
      <c r="I499" s="300"/>
      <c r="J499" s="520">
        <f>F499+490</f>
        <v>2940</v>
      </c>
      <c r="K499" s="255">
        <f t="shared" ref="K499" si="1342">+J499*$X$1</f>
        <v>2940</v>
      </c>
      <c r="L499" s="520">
        <f>F499+420</f>
        <v>2870</v>
      </c>
      <c r="M499" s="255">
        <f>+L499*$X$1</f>
        <v>2870</v>
      </c>
      <c r="N499" s="520">
        <f>F499+365</f>
        <v>2815</v>
      </c>
      <c r="O499" s="255">
        <f>+N499*$X$1</f>
        <v>2815</v>
      </c>
      <c r="P499" s="520">
        <f>F499+320</f>
        <v>2770</v>
      </c>
      <c r="Q499" s="255">
        <f t="shared" ref="Q499" si="1343">+P499*$X$1</f>
        <v>2770</v>
      </c>
      <c r="R499" s="520">
        <f>F499+280</f>
        <v>2730</v>
      </c>
      <c r="S499" s="255">
        <f>+R499*$X$1</f>
        <v>2730</v>
      </c>
      <c r="T499" s="520">
        <f>F499+250</f>
        <v>2700</v>
      </c>
      <c r="U499" s="255">
        <f t="shared" ref="U499" si="1344">+T499*$X$1</f>
        <v>2700</v>
      </c>
      <c r="V499" s="520">
        <f>F499+230</f>
        <v>2680</v>
      </c>
      <c r="W499" s="255">
        <f>+V499*$X$1</f>
        <v>2680</v>
      </c>
      <c r="X499" s="745"/>
      <c r="Y499" s="746"/>
      <c r="Z499" s="746"/>
      <c r="AA499" s="747"/>
      <c r="AB499" s="348">
        <v>11605</v>
      </c>
    </row>
    <row r="500" spans="1:35" ht="12.6" customHeight="1" x14ac:dyDescent="0.2">
      <c r="A500" s="17"/>
      <c r="B500" s="647" t="s">
        <v>968</v>
      </c>
      <c r="C500" s="688"/>
      <c r="D500" s="688"/>
      <c r="E500" s="688"/>
      <c r="F500" s="256">
        <v>860</v>
      </c>
      <c r="G500" s="256">
        <f t="shared" si="1334"/>
        <v>860</v>
      </c>
      <c r="H500" s="250"/>
      <c r="I500" s="250"/>
      <c r="J500" s="528"/>
      <c r="K500" s="256"/>
      <c r="L500" s="528"/>
      <c r="M500" s="256"/>
      <c r="N500" s="528"/>
      <c r="O500" s="256"/>
      <c r="P500" s="528"/>
      <c r="Q500" s="256"/>
      <c r="R500" s="528"/>
      <c r="S500" s="256"/>
      <c r="T500" s="528"/>
      <c r="U500" s="440"/>
      <c r="V500" s="528"/>
      <c r="W500" s="440"/>
      <c r="X500" s="745"/>
      <c r="Y500" s="746"/>
      <c r="Z500" s="746"/>
      <c r="AA500" s="747"/>
      <c r="AB500" s="351"/>
    </row>
    <row r="501" spans="1:35" ht="12.6" customHeight="1" x14ac:dyDescent="0.2">
      <c r="A501" s="17"/>
      <c r="B501" s="654" t="s">
        <v>227</v>
      </c>
      <c r="C501" s="725"/>
      <c r="D501" s="725"/>
      <c r="E501" s="725"/>
      <c r="F501" s="255">
        <v>1190</v>
      </c>
      <c r="G501" s="255">
        <f>+F501*$X$1</f>
        <v>1190</v>
      </c>
      <c r="H501" s="251"/>
      <c r="I501" s="251"/>
      <c r="J501" s="68">
        <f>F501+350</f>
        <v>1540</v>
      </c>
      <c r="K501" s="255">
        <f t="shared" ref="K501" si="1345">+J501*$X$1</f>
        <v>1540</v>
      </c>
      <c r="L501" s="520">
        <f>F501+300</f>
        <v>1490</v>
      </c>
      <c r="M501" s="255">
        <f t="shared" ref="M501" si="1346">+L501*$X$1</f>
        <v>1490</v>
      </c>
      <c r="N501" s="520">
        <f>F501+260</f>
        <v>1450</v>
      </c>
      <c r="O501" s="255">
        <f t="shared" ref="O501" si="1347">+N501*$X$1</f>
        <v>1450</v>
      </c>
      <c r="P501" s="520">
        <f>F501+230</f>
        <v>1420</v>
      </c>
      <c r="Q501" s="255">
        <f t="shared" ref="Q501" si="1348">+P501*$X$1</f>
        <v>1420</v>
      </c>
      <c r="R501" s="520">
        <f>F501+200</f>
        <v>1390</v>
      </c>
      <c r="S501" s="255">
        <f t="shared" ref="S501" si="1349">+R501*$X$1</f>
        <v>1390</v>
      </c>
      <c r="T501" s="520">
        <f>F501+175</f>
        <v>1365</v>
      </c>
      <c r="U501" s="255">
        <f t="shared" ref="U501" si="1350">+T501*$X$1</f>
        <v>1365</v>
      </c>
      <c r="V501" s="520">
        <f>F501+150</f>
        <v>1340</v>
      </c>
      <c r="W501" s="255">
        <f t="shared" ref="W501" si="1351">+V501*$X$1</f>
        <v>1340</v>
      </c>
      <c r="X501" s="138"/>
      <c r="Y501" s="119"/>
      <c r="Z501" s="119"/>
      <c r="AA501" s="119"/>
      <c r="AB501" s="352"/>
    </row>
    <row r="502" spans="1:35" ht="12.6" customHeight="1" x14ac:dyDescent="0.2">
      <c r="A502" s="94"/>
      <c r="B502" s="691" t="s">
        <v>228</v>
      </c>
      <c r="C502" s="1162"/>
      <c r="D502" s="1162"/>
      <c r="E502" s="1162"/>
      <c r="F502" s="447">
        <v>90</v>
      </c>
      <c r="G502" s="447">
        <f>+F502*$X$1</f>
        <v>90</v>
      </c>
      <c r="H502" s="617"/>
      <c r="I502" s="617"/>
      <c r="J502" s="617"/>
      <c r="K502" s="617"/>
      <c r="L502" s="617"/>
      <c r="M502" s="617"/>
      <c r="N502" s="617"/>
      <c r="O502" s="447"/>
      <c r="P502" s="617"/>
      <c r="Q502" s="447"/>
      <c r="R502" s="617"/>
      <c r="S502" s="447"/>
      <c r="T502" s="617"/>
      <c r="U502" s="447"/>
      <c r="V502" s="617"/>
      <c r="W502" s="447"/>
      <c r="X502" s="138"/>
      <c r="Y502" s="119"/>
      <c r="Z502" s="119"/>
      <c r="AA502" s="119"/>
      <c r="AB502" s="178">
        <v>11612</v>
      </c>
    </row>
    <row r="503" spans="1:35" ht="12.6" customHeight="1" x14ac:dyDescent="0.2">
      <c r="A503" s="17"/>
      <c r="B503" s="626" t="s">
        <v>985</v>
      </c>
      <c r="C503" s="627"/>
      <c r="D503" s="627"/>
      <c r="E503" s="628"/>
      <c r="F503" s="321">
        <v>2210</v>
      </c>
      <c r="G503" s="255">
        <f>+F503*$X$1</f>
        <v>2210</v>
      </c>
      <c r="H503" s="520"/>
      <c r="I503" s="255"/>
      <c r="J503" s="520"/>
      <c r="K503" s="255"/>
      <c r="L503" s="520"/>
      <c r="M503" s="255"/>
      <c r="N503" s="520">
        <f t="shared" ref="N503" si="1352">F503+200</f>
        <v>2410</v>
      </c>
      <c r="O503" s="255">
        <f t="shared" ref="O503" si="1353">+N503*$X$1</f>
        <v>2410</v>
      </c>
      <c r="P503" s="520">
        <f t="shared" ref="P503" si="1354">F503+170</f>
        <v>2380</v>
      </c>
      <c r="Q503" s="255">
        <f t="shared" ref="Q503" si="1355">+P503*$X$1</f>
        <v>2380</v>
      </c>
      <c r="R503" s="520">
        <f t="shared" ref="R503" si="1356">F503+150</f>
        <v>2360</v>
      </c>
      <c r="S503" s="255">
        <f t="shared" ref="S503" si="1357">+R503*$X$1</f>
        <v>2360</v>
      </c>
      <c r="T503" s="93">
        <f t="shared" ref="T503" si="1358">F503+130</f>
        <v>2340</v>
      </c>
      <c r="U503" s="234">
        <f t="shared" ref="U503" si="1359">+T503*$X$1</f>
        <v>2340</v>
      </c>
      <c r="V503" s="93">
        <f t="shared" ref="V503" si="1360">F503+110</f>
        <v>2320</v>
      </c>
      <c r="W503" s="234">
        <f t="shared" ref="W503" si="1361">+V503*$X$1</f>
        <v>2320</v>
      </c>
      <c r="X503" s="632"/>
      <c r="Y503" s="633"/>
      <c r="Z503" s="633"/>
      <c r="AA503" s="634"/>
      <c r="AB503" s="178" t="s">
        <v>986</v>
      </c>
    </row>
    <row r="504" spans="1:35" ht="12.6" customHeight="1" x14ac:dyDescent="0.2">
      <c r="A504" s="17"/>
      <c r="B504" s="626" t="s">
        <v>988</v>
      </c>
      <c r="C504" s="627"/>
      <c r="D504" s="627"/>
      <c r="E504" s="628"/>
      <c r="F504" s="322">
        <v>2210</v>
      </c>
      <c r="G504" s="256">
        <f>+F504*$X$1</f>
        <v>2210</v>
      </c>
      <c r="H504" s="528"/>
      <c r="I504" s="256"/>
      <c r="J504" s="528"/>
      <c r="K504" s="256"/>
      <c r="L504" s="528"/>
      <c r="M504" s="256"/>
      <c r="N504" s="528">
        <f>F504+280</f>
        <v>2490</v>
      </c>
      <c r="O504" s="256">
        <f t="shared" ref="O504:O508" si="1362">+N504*$X$1</f>
        <v>2490</v>
      </c>
      <c r="P504" s="528">
        <f>F504+240</f>
        <v>2450</v>
      </c>
      <c r="Q504" s="256">
        <f t="shared" ref="Q504:Q508" si="1363">+P504*$X$1</f>
        <v>2450</v>
      </c>
      <c r="R504" s="528">
        <f>F504+210</f>
        <v>2420</v>
      </c>
      <c r="S504" s="256">
        <f t="shared" ref="S504:S508" si="1364">+R504*$X$1</f>
        <v>2420</v>
      </c>
      <c r="T504" s="92">
        <f>F504+190</f>
        <v>2400</v>
      </c>
      <c r="U504" s="269">
        <f t="shared" ref="U504:U508" si="1365">+T504*$X$1</f>
        <v>2400</v>
      </c>
      <c r="V504" s="92">
        <f>F504+170</f>
        <v>2380</v>
      </c>
      <c r="W504" s="269">
        <f t="shared" ref="W504:W508" si="1366">+V504*$X$1</f>
        <v>2380</v>
      </c>
      <c r="X504" s="632"/>
      <c r="Y504" s="633"/>
      <c r="Z504" s="633"/>
      <c r="AA504" s="634"/>
      <c r="AB504" s="178" t="s">
        <v>1027</v>
      </c>
    </row>
    <row r="505" spans="1:35" ht="12.6" customHeight="1" x14ac:dyDescent="0.2">
      <c r="A505" s="17"/>
      <c r="B505" s="626" t="s">
        <v>907</v>
      </c>
      <c r="C505" s="627"/>
      <c r="D505" s="627"/>
      <c r="E505" s="628"/>
      <c r="F505" s="321">
        <f>3.14*X2</f>
        <v>4835.6000000000004</v>
      </c>
      <c r="G505" s="255">
        <f>+F505*$X$1</f>
        <v>4835.6000000000004</v>
      </c>
      <c r="H505" s="520">
        <f t="shared" ref="H505:H512" si="1367">F505+800</f>
        <v>5635.6</v>
      </c>
      <c r="I505" s="255">
        <f t="shared" ref="I505:I508" si="1368">+H505*$X$1</f>
        <v>5635.6</v>
      </c>
      <c r="J505" s="520">
        <f>F505+290</f>
        <v>5125.6000000000004</v>
      </c>
      <c r="K505" s="255">
        <f t="shared" ref="K505:K508" si="1369">+J505*$X$1</f>
        <v>5125.6000000000004</v>
      </c>
      <c r="L505" s="520">
        <f>F505+200</f>
        <v>5035.6000000000004</v>
      </c>
      <c r="M505" s="255">
        <f t="shared" ref="M505:M508" si="1370">+L505*$X$1</f>
        <v>5035.6000000000004</v>
      </c>
      <c r="N505" s="520">
        <f>F505+160</f>
        <v>4995.6000000000004</v>
      </c>
      <c r="O505" s="255">
        <f t="shared" si="1362"/>
        <v>4995.6000000000004</v>
      </c>
      <c r="P505" s="520">
        <f>F505+130</f>
        <v>4965.6000000000004</v>
      </c>
      <c r="Q505" s="255">
        <f t="shared" si="1363"/>
        <v>4965.6000000000004</v>
      </c>
      <c r="R505" s="520">
        <f>F505+110</f>
        <v>4945.6000000000004</v>
      </c>
      <c r="S505" s="255">
        <f t="shared" si="1364"/>
        <v>4945.6000000000004</v>
      </c>
      <c r="T505" s="520">
        <f>F505+95</f>
        <v>4930.6000000000004</v>
      </c>
      <c r="U505" s="255">
        <f t="shared" si="1365"/>
        <v>4930.6000000000004</v>
      </c>
      <c r="V505" s="520">
        <f>F505+80</f>
        <v>4915.6000000000004</v>
      </c>
      <c r="W505" s="255">
        <f t="shared" si="1366"/>
        <v>4915.6000000000004</v>
      </c>
      <c r="X505" s="632"/>
      <c r="Y505" s="633"/>
      <c r="Z505" s="633"/>
      <c r="AA505" s="634"/>
      <c r="AB505" s="178" t="s">
        <v>909</v>
      </c>
    </row>
    <row r="506" spans="1:35" ht="12.6" customHeight="1" x14ac:dyDescent="0.2">
      <c r="A506" s="17"/>
      <c r="B506" s="640" t="s">
        <v>984</v>
      </c>
      <c r="C506" s="641"/>
      <c r="D506" s="641"/>
      <c r="E506" s="642"/>
      <c r="F506" s="322">
        <f>1.16*X2</f>
        <v>1786.3999999999999</v>
      </c>
      <c r="G506" s="256">
        <f t="shared" ref="G506" si="1371">+F506*$X$1</f>
        <v>1786.3999999999999</v>
      </c>
      <c r="H506" s="528">
        <f t="shared" si="1367"/>
        <v>2586.3999999999996</v>
      </c>
      <c r="I506" s="256">
        <f t="shared" si="1368"/>
        <v>2586.3999999999996</v>
      </c>
      <c r="J506" s="528">
        <f>F506+270</f>
        <v>2056.3999999999996</v>
      </c>
      <c r="K506" s="256">
        <f t="shared" si="1369"/>
        <v>2056.3999999999996</v>
      </c>
      <c r="L506" s="528">
        <f>F506+180</f>
        <v>1966.3999999999999</v>
      </c>
      <c r="M506" s="256">
        <f t="shared" si="1370"/>
        <v>1966.3999999999999</v>
      </c>
      <c r="N506" s="528">
        <f>F506+140</f>
        <v>1926.3999999999999</v>
      </c>
      <c r="O506" s="256">
        <f t="shared" si="1362"/>
        <v>1926.3999999999999</v>
      </c>
      <c r="P506" s="528">
        <f>F506+110</f>
        <v>1896.3999999999999</v>
      </c>
      <c r="Q506" s="256">
        <f t="shared" si="1363"/>
        <v>1896.3999999999999</v>
      </c>
      <c r="R506" s="528">
        <f>F506+90</f>
        <v>1876.3999999999999</v>
      </c>
      <c r="S506" s="256">
        <f t="shared" si="1364"/>
        <v>1876.3999999999999</v>
      </c>
      <c r="T506" s="528">
        <f>F506+75</f>
        <v>1861.3999999999999</v>
      </c>
      <c r="U506" s="256">
        <f t="shared" si="1365"/>
        <v>1861.3999999999999</v>
      </c>
      <c r="V506" s="528">
        <f>F506+60</f>
        <v>1846.3999999999999</v>
      </c>
      <c r="W506" s="256">
        <f t="shared" si="1366"/>
        <v>1846.3999999999999</v>
      </c>
      <c r="X506" s="632"/>
      <c r="Y506" s="633"/>
      <c r="Z506" s="633"/>
      <c r="AA506" s="634"/>
      <c r="AB506" s="178" t="s">
        <v>987</v>
      </c>
    </row>
    <row r="507" spans="1:35" ht="12.6" customHeight="1" x14ac:dyDescent="0.2">
      <c r="A507" s="17"/>
      <c r="B507" s="657" t="s">
        <v>716</v>
      </c>
      <c r="C507" s="677"/>
      <c r="D507" s="677"/>
      <c r="E507" s="678"/>
      <c r="F507" s="321">
        <f>1.16*X2</f>
        <v>1786.3999999999999</v>
      </c>
      <c r="G507" s="255">
        <f t="shared" ref="G507" si="1372">+F507*$X$1</f>
        <v>1786.3999999999999</v>
      </c>
      <c r="H507" s="520">
        <f t="shared" si="1367"/>
        <v>2586.3999999999996</v>
      </c>
      <c r="I507" s="255">
        <f t="shared" si="1368"/>
        <v>2586.3999999999996</v>
      </c>
      <c r="J507" s="520">
        <f>F507+270</f>
        <v>2056.3999999999996</v>
      </c>
      <c r="K507" s="255">
        <f t="shared" si="1369"/>
        <v>2056.3999999999996</v>
      </c>
      <c r="L507" s="520">
        <f>F507+180</f>
        <v>1966.3999999999999</v>
      </c>
      <c r="M507" s="255">
        <f t="shared" si="1370"/>
        <v>1966.3999999999999</v>
      </c>
      <c r="N507" s="520">
        <f>F507+140</f>
        <v>1926.3999999999999</v>
      </c>
      <c r="O507" s="255">
        <f t="shared" si="1362"/>
        <v>1926.3999999999999</v>
      </c>
      <c r="P507" s="520">
        <f>F507+110</f>
        <v>1896.3999999999999</v>
      </c>
      <c r="Q507" s="255">
        <f t="shared" si="1363"/>
        <v>1896.3999999999999</v>
      </c>
      <c r="R507" s="520">
        <f>F507+90</f>
        <v>1876.3999999999999</v>
      </c>
      <c r="S507" s="255">
        <f t="shared" si="1364"/>
        <v>1876.3999999999999</v>
      </c>
      <c r="T507" s="520">
        <f>F507+75</f>
        <v>1861.3999999999999</v>
      </c>
      <c r="U507" s="255">
        <f t="shared" si="1365"/>
        <v>1861.3999999999999</v>
      </c>
      <c r="V507" s="520">
        <f>F507+60</f>
        <v>1846.3999999999999</v>
      </c>
      <c r="W507" s="255">
        <f t="shared" si="1366"/>
        <v>1846.3999999999999</v>
      </c>
      <c r="X507" s="632"/>
      <c r="Y507" s="633"/>
      <c r="Z507" s="633"/>
      <c r="AA507" s="634"/>
      <c r="AB507" s="178" t="s">
        <v>459</v>
      </c>
    </row>
    <row r="508" spans="1:35" ht="12.6" customHeight="1" x14ac:dyDescent="0.2">
      <c r="A508" s="17"/>
      <c r="B508" s="626" t="s">
        <v>895</v>
      </c>
      <c r="C508" s="627"/>
      <c r="D508" s="627"/>
      <c r="E508" s="628"/>
      <c r="F508" s="322">
        <f>1.706*X2</f>
        <v>2627.24</v>
      </c>
      <c r="G508" s="256">
        <f>+F508*$X$1</f>
        <v>2627.24</v>
      </c>
      <c r="H508" s="528">
        <f t="shared" si="1367"/>
        <v>3427.24</v>
      </c>
      <c r="I508" s="256">
        <f t="shared" si="1368"/>
        <v>3427.24</v>
      </c>
      <c r="J508" s="528">
        <f>F508+270</f>
        <v>2897.24</v>
      </c>
      <c r="K508" s="256">
        <f t="shared" si="1369"/>
        <v>2897.24</v>
      </c>
      <c r="L508" s="528">
        <f>F508+180</f>
        <v>2807.24</v>
      </c>
      <c r="M508" s="256">
        <f t="shared" si="1370"/>
        <v>2807.24</v>
      </c>
      <c r="N508" s="528">
        <f>F508+140</f>
        <v>2767.24</v>
      </c>
      <c r="O508" s="256">
        <f t="shared" si="1362"/>
        <v>2767.24</v>
      </c>
      <c r="P508" s="528">
        <f>F508+110</f>
        <v>2737.24</v>
      </c>
      <c r="Q508" s="256">
        <f t="shared" si="1363"/>
        <v>2737.24</v>
      </c>
      <c r="R508" s="528">
        <f>F508+90</f>
        <v>2717.24</v>
      </c>
      <c r="S508" s="256">
        <f t="shared" si="1364"/>
        <v>2717.24</v>
      </c>
      <c r="T508" s="528">
        <f>F508+75</f>
        <v>2702.24</v>
      </c>
      <c r="U508" s="256">
        <f t="shared" si="1365"/>
        <v>2702.24</v>
      </c>
      <c r="V508" s="528">
        <f>F508+60</f>
        <v>2687.24</v>
      </c>
      <c r="W508" s="256">
        <f t="shared" si="1366"/>
        <v>2687.24</v>
      </c>
      <c r="X508" s="632"/>
      <c r="Y508" s="633"/>
      <c r="Z508" s="633"/>
      <c r="AA508" s="634"/>
      <c r="AB508" s="178" t="s">
        <v>894</v>
      </c>
    </row>
    <row r="509" spans="1:35" ht="12.6" customHeight="1" x14ac:dyDescent="0.2">
      <c r="A509" s="17"/>
      <c r="B509" s="657" t="s">
        <v>908</v>
      </c>
      <c r="C509" s="677"/>
      <c r="D509" s="677"/>
      <c r="E509" s="678"/>
      <c r="F509" s="321">
        <f>3.14*X2</f>
        <v>4835.6000000000004</v>
      </c>
      <c r="G509" s="255">
        <f>+F509*$X$1</f>
        <v>4835.6000000000004</v>
      </c>
      <c r="H509" s="520">
        <f t="shared" si="1367"/>
        <v>5635.6</v>
      </c>
      <c r="I509" s="255">
        <f t="shared" ref="I509" si="1373">+H509*$X$1</f>
        <v>5635.6</v>
      </c>
      <c r="J509" s="520">
        <f t="shared" ref="J509:J514" si="1374">F509+290</f>
        <v>5125.6000000000004</v>
      </c>
      <c r="K509" s="255">
        <f t="shared" ref="K509" si="1375">+J509*$X$1</f>
        <v>5125.6000000000004</v>
      </c>
      <c r="L509" s="520">
        <f t="shared" ref="L509:L514" si="1376">F509+200</f>
        <v>5035.6000000000004</v>
      </c>
      <c r="M509" s="255">
        <f t="shared" ref="M509" si="1377">+L509*$X$1</f>
        <v>5035.6000000000004</v>
      </c>
      <c r="N509" s="520">
        <f t="shared" ref="N509:N514" si="1378">F509+160</f>
        <v>4995.6000000000004</v>
      </c>
      <c r="O509" s="255">
        <f t="shared" ref="O509" si="1379">+N509*$X$1</f>
        <v>4995.6000000000004</v>
      </c>
      <c r="P509" s="520">
        <f t="shared" ref="P509:P514" si="1380">F509+130</f>
        <v>4965.6000000000004</v>
      </c>
      <c r="Q509" s="255">
        <f t="shared" ref="Q509" si="1381">+P509*$X$1</f>
        <v>4965.6000000000004</v>
      </c>
      <c r="R509" s="520">
        <f t="shared" ref="R509:R514" si="1382">F509+110</f>
        <v>4945.6000000000004</v>
      </c>
      <c r="S509" s="255">
        <f t="shared" ref="S509" si="1383">+R509*$X$1</f>
        <v>4945.6000000000004</v>
      </c>
      <c r="T509" s="520">
        <f t="shared" ref="T509:T514" si="1384">F509+95</f>
        <v>4930.6000000000004</v>
      </c>
      <c r="U509" s="255">
        <f t="shared" ref="U509" si="1385">+T509*$X$1</f>
        <v>4930.6000000000004</v>
      </c>
      <c r="V509" s="520">
        <f t="shared" ref="V509:V514" si="1386">F509+80</f>
        <v>4915.6000000000004</v>
      </c>
      <c r="W509" s="255">
        <f t="shared" ref="W509" si="1387">+V509*$X$1</f>
        <v>4915.6000000000004</v>
      </c>
      <c r="X509" s="632"/>
      <c r="Y509" s="633"/>
      <c r="Z509" s="633"/>
      <c r="AA509" s="634"/>
      <c r="AB509" s="178" t="s">
        <v>910</v>
      </c>
    </row>
    <row r="510" spans="1:35" ht="12.6" customHeight="1" x14ac:dyDescent="0.2">
      <c r="A510" s="17"/>
      <c r="B510" s="626" t="s">
        <v>897</v>
      </c>
      <c r="C510" s="627"/>
      <c r="D510" s="627"/>
      <c r="E510" s="628"/>
      <c r="F510" s="322">
        <f>3.77*X2</f>
        <v>5805.8</v>
      </c>
      <c r="G510" s="256">
        <f t="shared" ref="G510" si="1388">+F510*$X$1</f>
        <v>5805.8</v>
      </c>
      <c r="H510" s="528">
        <f t="shared" si="1367"/>
        <v>6605.8</v>
      </c>
      <c r="I510" s="256">
        <f t="shared" ref="I510:I514" si="1389">+H510*$X$1</f>
        <v>6605.8</v>
      </c>
      <c r="J510" s="528">
        <f t="shared" si="1374"/>
        <v>6095.8</v>
      </c>
      <c r="K510" s="256">
        <f t="shared" ref="K510:K515" si="1390">+J510*$X$1</f>
        <v>6095.8</v>
      </c>
      <c r="L510" s="528">
        <f t="shared" si="1376"/>
        <v>6005.8</v>
      </c>
      <c r="M510" s="256">
        <f t="shared" ref="M510:M515" si="1391">+L510*$X$1</f>
        <v>6005.8</v>
      </c>
      <c r="N510" s="528">
        <f t="shared" si="1378"/>
        <v>5965.8</v>
      </c>
      <c r="O510" s="256">
        <f t="shared" ref="O510:O515" si="1392">+N510*$X$1</f>
        <v>5965.8</v>
      </c>
      <c r="P510" s="528">
        <f t="shared" si="1380"/>
        <v>5935.8</v>
      </c>
      <c r="Q510" s="256">
        <f t="shared" ref="Q510:Q515" si="1393">+P510*$X$1</f>
        <v>5935.8</v>
      </c>
      <c r="R510" s="528">
        <f t="shared" si="1382"/>
        <v>5915.8</v>
      </c>
      <c r="S510" s="256">
        <f t="shared" ref="S510:S515" si="1394">+R510*$X$1</f>
        <v>5915.8</v>
      </c>
      <c r="T510" s="528">
        <f t="shared" si="1384"/>
        <v>5900.8</v>
      </c>
      <c r="U510" s="256">
        <f t="shared" ref="U510:U515" si="1395">+T510*$X$1</f>
        <v>5900.8</v>
      </c>
      <c r="V510" s="528">
        <f t="shared" si="1386"/>
        <v>5885.8</v>
      </c>
      <c r="W510" s="256">
        <f t="shared" ref="W510:W515" si="1396">+V510*$X$1</f>
        <v>5885.8</v>
      </c>
      <c r="X510" s="632"/>
      <c r="Y510" s="633"/>
      <c r="Z510" s="633"/>
      <c r="AA510" s="634"/>
      <c r="AB510" s="178" t="s">
        <v>896</v>
      </c>
    </row>
    <row r="511" spans="1:35" ht="12.6" customHeight="1" x14ac:dyDescent="0.2">
      <c r="A511" s="17"/>
      <c r="B511" s="626" t="s">
        <v>1017</v>
      </c>
      <c r="C511" s="627"/>
      <c r="D511" s="627"/>
      <c r="E511" s="628"/>
      <c r="F511" s="321">
        <f>1.631*X2</f>
        <v>2511.7399999999998</v>
      </c>
      <c r="G511" s="255">
        <f>+F511*$X$1</f>
        <v>2511.7399999999998</v>
      </c>
      <c r="H511" s="520">
        <f t="shared" si="1367"/>
        <v>3311.74</v>
      </c>
      <c r="I511" s="255">
        <f t="shared" si="1389"/>
        <v>3311.74</v>
      </c>
      <c r="J511" s="520">
        <f t="shared" si="1374"/>
        <v>2801.74</v>
      </c>
      <c r="K511" s="255">
        <f t="shared" si="1390"/>
        <v>2801.74</v>
      </c>
      <c r="L511" s="520">
        <f t="shared" si="1376"/>
        <v>2711.74</v>
      </c>
      <c r="M511" s="255">
        <f t="shared" si="1391"/>
        <v>2711.74</v>
      </c>
      <c r="N511" s="520">
        <f t="shared" si="1378"/>
        <v>2671.74</v>
      </c>
      <c r="O511" s="255">
        <f t="shared" si="1392"/>
        <v>2671.74</v>
      </c>
      <c r="P511" s="520">
        <f t="shared" si="1380"/>
        <v>2641.74</v>
      </c>
      <c r="Q511" s="255">
        <f t="shared" si="1393"/>
        <v>2641.74</v>
      </c>
      <c r="R511" s="520">
        <f t="shared" si="1382"/>
        <v>2621.74</v>
      </c>
      <c r="S511" s="255">
        <f t="shared" si="1394"/>
        <v>2621.74</v>
      </c>
      <c r="T511" s="520">
        <f t="shared" si="1384"/>
        <v>2606.7399999999998</v>
      </c>
      <c r="U511" s="255">
        <f t="shared" si="1395"/>
        <v>2606.7399999999998</v>
      </c>
      <c r="V511" s="520">
        <f t="shared" si="1386"/>
        <v>2591.7399999999998</v>
      </c>
      <c r="W511" s="255">
        <f t="shared" si="1396"/>
        <v>2591.7399999999998</v>
      </c>
      <c r="X511" s="632"/>
      <c r="Y511" s="633"/>
      <c r="Z511" s="633"/>
      <c r="AA511" s="634"/>
      <c r="AB511" s="178" t="s">
        <v>1018</v>
      </c>
    </row>
    <row r="512" spans="1:35" ht="12.6" customHeight="1" x14ac:dyDescent="0.2">
      <c r="A512" s="94"/>
      <c r="B512" s="638" t="s">
        <v>903</v>
      </c>
      <c r="C512" s="639"/>
      <c r="D512" s="639"/>
      <c r="E512" s="639"/>
      <c r="F512" s="322">
        <f>3.77*X2</f>
        <v>5805.8</v>
      </c>
      <c r="G512" s="256">
        <f>+F512*$X$1</f>
        <v>5805.8</v>
      </c>
      <c r="H512" s="528">
        <f t="shared" si="1367"/>
        <v>6605.8</v>
      </c>
      <c r="I512" s="256">
        <f t="shared" si="1389"/>
        <v>6605.8</v>
      </c>
      <c r="J512" s="528">
        <f t="shared" si="1374"/>
        <v>6095.8</v>
      </c>
      <c r="K512" s="256">
        <f t="shared" si="1390"/>
        <v>6095.8</v>
      </c>
      <c r="L512" s="528">
        <f t="shared" si="1376"/>
        <v>6005.8</v>
      </c>
      <c r="M512" s="256">
        <f t="shared" si="1391"/>
        <v>6005.8</v>
      </c>
      <c r="N512" s="528">
        <f t="shared" si="1378"/>
        <v>5965.8</v>
      </c>
      <c r="O512" s="256">
        <f t="shared" si="1392"/>
        <v>5965.8</v>
      </c>
      <c r="P512" s="528">
        <f t="shared" si="1380"/>
        <v>5935.8</v>
      </c>
      <c r="Q512" s="256">
        <f t="shared" si="1393"/>
        <v>5935.8</v>
      </c>
      <c r="R512" s="528">
        <f t="shared" si="1382"/>
        <v>5915.8</v>
      </c>
      <c r="S512" s="256">
        <f t="shared" si="1394"/>
        <v>5915.8</v>
      </c>
      <c r="T512" s="528">
        <f t="shared" si="1384"/>
        <v>5900.8</v>
      </c>
      <c r="U512" s="256">
        <f t="shared" si="1395"/>
        <v>5900.8</v>
      </c>
      <c r="V512" s="528">
        <f t="shared" si="1386"/>
        <v>5885.8</v>
      </c>
      <c r="W512" s="256">
        <f t="shared" si="1396"/>
        <v>5885.8</v>
      </c>
      <c r="X512" s="632"/>
      <c r="Y512" s="632"/>
      <c r="Z512" s="632"/>
      <c r="AA512" s="632"/>
      <c r="AB512" s="336" t="s">
        <v>904</v>
      </c>
      <c r="AC512" s="62"/>
    </row>
    <row r="513" spans="1:33" ht="12.6" customHeight="1" x14ac:dyDescent="0.2">
      <c r="A513" s="17"/>
      <c r="B513" s="626" t="s">
        <v>1020</v>
      </c>
      <c r="C513" s="627"/>
      <c r="D513" s="627"/>
      <c r="E513" s="628"/>
      <c r="F513" s="321">
        <f>3.234*X2</f>
        <v>4980.3599999999997</v>
      </c>
      <c r="G513" s="255">
        <f>+F513*$X$1</f>
        <v>4980.3599999999997</v>
      </c>
      <c r="H513" s="520"/>
      <c r="I513" s="255"/>
      <c r="J513" s="520">
        <f t="shared" si="1374"/>
        <v>5270.36</v>
      </c>
      <c r="K513" s="255">
        <f t="shared" si="1390"/>
        <v>5270.36</v>
      </c>
      <c r="L513" s="520">
        <f t="shared" si="1376"/>
        <v>5180.3599999999997</v>
      </c>
      <c r="M513" s="255">
        <f t="shared" si="1391"/>
        <v>5180.3599999999997</v>
      </c>
      <c r="N513" s="520">
        <f t="shared" si="1378"/>
        <v>5140.3599999999997</v>
      </c>
      <c r="O513" s="255">
        <f t="shared" si="1392"/>
        <v>5140.3599999999997</v>
      </c>
      <c r="P513" s="520">
        <f t="shared" si="1380"/>
        <v>5110.3599999999997</v>
      </c>
      <c r="Q513" s="255">
        <f t="shared" si="1393"/>
        <v>5110.3599999999997</v>
      </c>
      <c r="R513" s="520">
        <f t="shared" si="1382"/>
        <v>5090.3599999999997</v>
      </c>
      <c r="S513" s="255">
        <f t="shared" si="1394"/>
        <v>5090.3599999999997</v>
      </c>
      <c r="T513" s="520">
        <f t="shared" si="1384"/>
        <v>5075.3599999999997</v>
      </c>
      <c r="U513" s="255">
        <f t="shared" si="1395"/>
        <v>5075.3599999999997</v>
      </c>
      <c r="V513" s="520">
        <f t="shared" si="1386"/>
        <v>5060.3599999999997</v>
      </c>
      <c r="W513" s="255">
        <f t="shared" si="1396"/>
        <v>5060.3599999999997</v>
      </c>
      <c r="X513" s="632"/>
      <c r="Y513" s="633"/>
      <c r="Z513" s="633"/>
      <c r="AA513" s="634"/>
      <c r="AB513" s="178" t="s">
        <v>1019</v>
      </c>
    </row>
    <row r="514" spans="1:33" ht="12.6" customHeight="1" x14ac:dyDescent="0.2">
      <c r="A514" s="17"/>
      <c r="B514" s="626" t="s">
        <v>1021</v>
      </c>
      <c r="C514" s="627"/>
      <c r="D514" s="627"/>
      <c r="E514" s="628"/>
      <c r="F514" s="322">
        <f>2.95*X2</f>
        <v>4543</v>
      </c>
      <c r="G514" s="256">
        <f>+F514*$X$1</f>
        <v>4543</v>
      </c>
      <c r="H514" s="528">
        <f>F514+800</f>
        <v>5343</v>
      </c>
      <c r="I514" s="256">
        <f t="shared" si="1389"/>
        <v>5343</v>
      </c>
      <c r="J514" s="528">
        <f t="shared" si="1374"/>
        <v>4833</v>
      </c>
      <c r="K514" s="256">
        <f t="shared" si="1390"/>
        <v>4833</v>
      </c>
      <c r="L514" s="528">
        <f t="shared" si="1376"/>
        <v>4743</v>
      </c>
      <c r="M514" s="256">
        <f t="shared" si="1391"/>
        <v>4743</v>
      </c>
      <c r="N514" s="528">
        <f t="shared" si="1378"/>
        <v>4703</v>
      </c>
      <c r="O514" s="256">
        <f t="shared" si="1392"/>
        <v>4703</v>
      </c>
      <c r="P514" s="528">
        <f t="shared" si="1380"/>
        <v>4673</v>
      </c>
      <c r="Q514" s="256">
        <f t="shared" si="1393"/>
        <v>4673</v>
      </c>
      <c r="R514" s="528">
        <f t="shared" si="1382"/>
        <v>4653</v>
      </c>
      <c r="S514" s="256">
        <f t="shared" si="1394"/>
        <v>4653</v>
      </c>
      <c r="T514" s="528">
        <f t="shared" si="1384"/>
        <v>4638</v>
      </c>
      <c r="U514" s="256">
        <f t="shared" si="1395"/>
        <v>4638</v>
      </c>
      <c r="V514" s="528">
        <f t="shared" si="1386"/>
        <v>4623</v>
      </c>
      <c r="W514" s="256">
        <f t="shared" si="1396"/>
        <v>4623</v>
      </c>
      <c r="X514" s="632"/>
      <c r="Y514" s="633"/>
      <c r="Z514" s="633"/>
      <c r="AA514" s="634"/>
      <c r="AB514" s="178" t="s">
        <v>1022</v>
      </c>
    </row>
    <row r="515" spans="1:33" ht="12.6" customHeight="1" x14ac:dyDescent="0.2">
      <c r="A515" s="17"/>
      <c r="B515" s="626" t="s">
        <v>1026</v>
      </c>
      <c r="C515" s="627"/>
      <c r="D515" s="627"/>
      <c r="E515" s="628"/>
      <c r="F515" s="321">
        <f>3.24*X2</f>
        <v>4989.6000000000004</v>
      </c>
      <c r="G515" s="255">
        <f t="shared" ref="G515" si="1397">+F515*$X$1</f>
        <v>4989.6000000000004</v>
      </c>
      <c r="H515" s="520"/>
      <c r="I515" s="255"/>
      <c r="J515" s="520">
        <f>F515+270</f>
        <v>5259.6</v>
      </c>
      <c r="K515" s="255">
        <f t="shared" si="1390"/>
        <v>5259.6</v>
      </c>
      <c r="L515" s="520">
        <f>F515+180</f>
        <v>5169.6000000000004</v>
      </c>
      <c r="M515" s="255">
        <f t="shared" si="1391"/>
        <v>5169.6000000000004</v>
      </c>
      <c r="N515" s="520">
        <f>F515+140</f>
        <v>5129.6000000000004</v>
      </c>
      <c r="O515" s="255">
        <f t="shared" si="1392"/>
        <v>5129.6000000000004</v>
      </c>
      <c r="P515" s="520">
        <f>F515+110</f>
        <v>5099.6000000000004</v>
      </c>
      <c r="Q515" s="255">
        <f t="shared" si="1393"/>
        <v>5099.6000000000004</v>
      </c>
      <c r="R515" s="520">
        <f>F515+90</f>
        <v>5079.6000000000004</v>
      </c>
      <c r="S515" s="255">
        <f t="shared" si="1394"/>
        <v>5079.6000000000004</v>
      </c>
      <c r="T515" s="520">
        <f>F515+75</f>
        <v>5064.6000000000004</v>
      </c>
      <c r="U515" s="255">
        <f t="shared" si="1395"/>
        <v>5064.6000000000004</v>
      </c>
      <c r="V515" s="520">
        <f>F515+60</f>
        <v>5049.6000000000004</v>
      </c>
      <c r="W515" s="255">
        <f t="shared" si="1396"/>
        <v>5049.6000000000004</v>
      </c>
      <c r="X515" s="632"/>
      <c r="Y515" s="633"/>
      <c r="Z515" s="633"/>
      <c r="AA515" s="634"/>
      <c r="AB515" s="178" t="s">
        <v>1025</v>
      </c>
    </row>
    <row r="516" spans="1:33" ht="12.6" customHeight="1" x14ac:dyDescent="0.2">
      <c r="A516" s="17"/>
      <c r="B516" s="626" t="s">
        <v>912</v>
      </c>
      <c r="C516" s="627"/>
      <c r="D516" s="627"/>
      <c r="E516" s="628"/>
      <c r="F516" s="322">
        <f>3.512*X2</f>
        <v>5408.48</v>
      </c>
      <c r="G516" s="256">
        <f t="shared" ref="G516" si="1398">+F516*$X$1</f>
        <v>5408.48</v>
      </c>
      <c r="H516" s="528">
        <f>F516+800</f>
        <v>6208.48</v>
      </c>
      <c r="I516" s="256">
        <f t="shared" ref="I516:I517" si="1399">+H516*$X$1</f>
        <v>6208.48</v>
      </c>
      <c r="J516" s="528">
        <f>F516+270</f>
        <v>5678.48</v>
      </c>
      <c r="K516" s="256">
        <f t="shared" ref="K516:K517" si="1400">+J516*$X$1</f>
        <v>5678.48</v>
      </c>
      <c r="L516" s="528">
        <f>F516+180</f>
        <v>5588.48</v>
      </c>
      <c r="M516" s="256">
        <f t="shared" ref="M516:M517" si="1401">+L516*$X$1</f>
        <v>5588.48</v>
      </c>
      <c r="N516" s="528">
        <f>F516+140</f>
        <v>5548.48</v>
      </c>
      <c r="O516" s="256">
        <f t="shared" ref="O516:O517" si="1402">+N516*$X$1</f>
        <v>5548.48</v>
      </c>
      <c r="P516" s="528">
        <f>F516+110</f>
        <v>5518.48</v>
      </c>
      <c r="Q516" s="256">
        <f t="shared" ref="Q516:Q517" si="1403">+P516*$X$1</f>
        <v>5518.48</v>
      </c>
      <c r="R516" s="528">
        <f>F516+90</f>
        <v>5498.48</v>
      </c>
      <c r="S516" s="256">
        <f t="shared" ref="S516:S517" si="1404">+R516*$X$1</f>
        <v>5498.48</v>
      </c>
      <c r="T516" s="528">
        <f>F516+75</f>
        <v>5483.48</v>
      </c>
      <c r="U516" s="256">
        <f t="shared" ref="U516:U517" si="1405">+T516*$X$1</f>
        <v>5483.48</v>
      </c>
      <c r="V516" s="528">
        <f>F516+60</f>
        <v>5468.48</v>
      </c>
      <c r="W516" s="256">
        <f t="shared" ref="W516:W517" si="1406">+V516*$X$1</f>
        <v>5468.48</v>
      </c>
      <c r="X516" s="632"/>
      <c r="Y516" s="633"/>
      <c r="Z516" s="633"/>
      <c r="AA516" s="634"/>
      <c r="AB516" s="178" t="s">
        <v>898</v>
      </c>
    </row>
    <row r="517" spans="1:33" ht="12.6" customHeight="1" x14ac:dyDescent="0.2">
      <c r="A517" s="17"/>
      <c r="B517" s="626" t="s">
        <v>911</v>
      </c>
      <c r="C517" s="627"/>
      <c r="D517" s="627"/>
      <c r="E517" s="628"/>
      <c r="F517" s="321">
        <f>4.4*X2</f>
        <v>6776.0000000000009</v>
      </c>
      <c r="G517" s="255">
        <f t="shared" ref="G517" si="1407">+F517*$X$1</f>
        <v>6776.0000000000009</v>
      </c>
      <c r="H517" s="520">
        <f>F517+800</f>
        <v>7576.0000000000009</v>
      </c>
      <c r="I517" s="255">
        <f t="shared" si="1399"/>
        <v>7576.0000000000009</v>
      </c>
      <c r="J517" s="520">
        <f>F517+270</f>
        <v>7046.0000000000009</v>
      </c>
      <c r="K517" s="255">
        <f t="shared" si="1400"/>
        <v>7046.0000000000009</v>
      </c>
      <c r="L517" s="520">
        <f>F517+180</f>
        <v>6956.0000000000009</v>
      </c>
      <c r="M517" s="255">
        <f t="shared" si="1401"/>
        <v>6956.0000000000009</v>
      </c>
      <c r="N517" s="520">
        <f>F517+140</f>
        <v>6916.0000000000009</v>
      </c>
      <c r="O517" s="255">
        <f t="shared" si="1402"/>
        <v>6916.0000000000009</v>
      </c>
      <c r="P517" s="520">
        <f>F517+110</f>
        <v>6886.0000000000009</v>
      </c>
      <c r="Q517" s="255">
        <f t="shared" si="1403"/>
        <v>6886.0000000000009</v>
      </c>
      <c r="R517" s="520">
        <f>F517+90</f>
        <v>6866.0000000000009</v>
      </c>
      <c r="S517" s="255">
        <f t="shared" si="1404"/>
        <v>6866.0000000000009</v>
      </c>
      <c r="T517" s="520">
        <f>F517+75</f>
        <v>6851.0000000000009</v>
      </c>
      <c r="U517" s="255">
        <f t="shared" si="1405"/>
        <v>6851.0000000000009</v>
      </c>
      <c r="V517" s="520">
        <f>F517+60</f>
        <v>6836.0000000000009</v>
      </c>
      <c r="W517" s="255">
        <f t="shared" si="1406"/>
        <v>6836.0000000000009</v>
      </c>
      <c r="X517" s="632"/>
      <c r="Y517" s="633"/>
      <c r="Z517" s="633"/>
      <c r="AA517" s="634"/>
      <c r="AB517" s="27" t="s">
        <v>1066</v>
      </c>
    </row>
    <row r="518" spans="1:33" ht="12.6" customHeight="1" x14ac:dyDescent="0.2">
      <c r="A518" s="17"/>
      <c r="B518" s="626" t="s">
        <v>1023</v>
      </c>
      <c r="C518" s="627"/>
      <c r="D518" s="627"/>
      <c r="E518" s="628"/>
      <c r="F518" s="322">
        <f>2.95*X2</f>
        <v>4543</v>
      </c>
      <c r="G518" s="256">
        <f>+F518*$X$1</f>
        <v>4543</v>
      </c>
      <c r="H518" s="528"/>
      <c r="I518" s="256"/>
      <c r="J518" s="528">
        <f>F518+290</f>
        <v>4833</v>
      </c>
      <c r="K518" s="256">
        <f t="shared" ref="K518:K519" si="1408">+J518*$X$1</f>
        <v>4833</v>
      </c>
      <c r="L518" s="528">
        <f>F518+200</f>
        <v>4743</v>
      </c>
      <c r="M518" s="256">
        <f t="shared" ref="M518:M519" si="1409">+L518*$X$1</f>
        <v>4743</v>
      </c>
      <c r="N518" s="528">
        <f>F518+160</f>
        <v>4703</v>
      </c>
      <c r="O518" s="256">
        <f t="shared" ref="O518:O519" si="1410">+N518*$X$1</f>
        <v>4703</v>
      </c>
      <c r="P518" s="528">
        <f>F518+130</f>
        <v>4673</v>
      </c>
      <c r="Q518" s="256">
        <f t="shared" ref="Q518:Q519" si="1411">+P518*$X$1</f>
        <v>4673</v>
      </c>
      <c r="R518" s="528">
        <f>F518+110</f>
        <v>4653</v>
      </c>
      <c r="S518" s="256">
        <f t="shared" ref="S518:S519" si="1412">+R518*$X$1</f>
        <v>4653</v>
      </c>
      <c r="T518" s="528">
        <f>F518+95</f>
        <v>4638</v>
      </c>
      <c r="U518" s="256">
        <f t="shared" ref="U518:U519" si="1413">+T518*$X$1</f>
        <v>4638</v>
      </c>
      <c r="V518" s="528">
        <f>F518+80</f>
        <v>4623</v>
      </c>
      <c r="W518" s="256">
        <f t="shared" ref="W518:W519" si="1414">+V518*$X$1</f>
        <v>4623</v>
      </c>
      <c r="X518" s="632"/>
      <c r="Y518" s="633"/>
      <c r="Z518" s="633"/>
      <c r="AA518" s="634"/>
      <c r="AB518" s="27" t="s">
        <v>1024</v>
      </c>
    </row>
    <row r="519" spans="1:33" ht="12.6" customHeight="1" x14ac:dyDescent="0.2">
      <c r="A519" s="17"/>
      <c r="B519" s="657" t="s">
        <v>906</v>
      </c>
      <c r="C519" s="677"/>
      <c r="D519" s="677"/>
      <c r="E519" s="678"/>
      <c r="F519" s="321">
        <f>2.7*X2</f>
        <v>4158</v>
      </c>
      <c r="G519" s="255">
        <f t="shared" ref="G519" si="1415">+F519*$X$1</f>
        <v>4158</v>
      </c>
      <c r="H519" s="520"/>
      <c r="I519" s="255"/>
      <c r="J519" s="520">
        <f>F519+270</f>
        <v>4428</v>
      </c>
      <c r="K519" s="255">
        <f t="shared" si="1408"/>
        <v>4428</v>
      </c>
      <c r="L519" s="520">
        <f>F519+180</f>
        <v>4338</v>
      </c>
      <c r="M519" s="255">
        <f t="shared" si="1409"/>
        <v>4338</v>
      </c>
      <c r="N519" s="520">
        <f>F519+140</f>
        <v>4298</v>
      </c>
      <c r="O519" s="255">
        <f t="shared" si="1410"/>
        <v>4298</v>
      </c>
      <c r="P519" s="520">
        <f>F519+110</f>
        <v>4268</v>
      </c>
      <c r="Q519" s="255">
        <f t="shared" si="1411"/>
        <v>4268</v>
      </c>
      <c r="R519" s="520">
        <f>F519+90</f>
        <v>4248</v>
      </c>
      <c r="S519" s="255">
        <f t="shared" si="1412"/>
        <v>4248</v>
      </c>
      <c r="T519" s="520">
        <f>F519+75</f>
        <v>4233</v>
      </c>
      <c r="U519" s="255">
        <f t="shared" si="1413"/>
        <v>4233</v>
      </c>
      <c r="V519" s="520">
        <f>F519+60</f>
        <v>4218</v>
      </c>
      <c r="W519" s="255">
        <f t="shared" si="1414"/>
        <v>4218</v>
      </c>
      <c r="X519" s="632"/>
      <c r="Y519" s="633"/>
      <c r="Z519" s="633"/>
      <c r="AA519" s="634"/>
      <c r="AB519" s="178" t="s">
        <v>905</v>
      </c>
    </row>
    <row r="520" spans="1:33" ht="12.6" customHeight="1" x14ac:dyDescent="0.2">
      <c r="A520" s="94"/>
      <c r="B520" s="638" t="s">
        <v>765</v>
      </c>
      <c r="C520" s="639"/>
      <c r="D520" s="639"/>
      <c r="E520" s="639"/>
      <c r="F520" s="322">
        <f>3.1*X2</f>
        <v>4774</v>
      </c>
      <c r="G520" s="256">
        <f t="shared" ref="G520" si="1416">+F520*$X$1</f>
        <v>4774</v>
      </c>
      <c r="H520" s="528"/>
      <c r="I520" s="256"/>
      <c r="J520" s="528">
        <f>F520+300</f>
        <v>5074</v>
      </c>
      <c r="K520" s="256">
        <f t="shared" ref="K520" si="1417">+J520*$X$1</f>
        <v>5074</v>
      </c>
      <c r="L520" s="528">
        <f>F520+270</f>
        <v>5044</v>
      </c>
      <c r="M520" s="256">
        <f t="shared" ref="M520" si="1418">+L520*$X$1</f>
        <v>5044</v>
      </c>
      <c r="N520" s="528">
        <f>F520+240</f>
        <v>5014</v>
      </c>
      <c r="O520" s="256">
        <f t="shared" ref="O520" si="1419">+N520*$X$1</f>
        <v>5014</v>
      </c>
      <c r="P520" s="528">
        <f>F520+210</f>
        <v>4984</v>
      </c>
      <c r="Q520" s="256">
        <f t="shared" ref="Q520" si="1420">+P520*$X$1</f>
        <v>4984</v>
      </c>
      <c r="R520" s="528">
        <f>F520+195</f>
        <v>4969</v>
      </c>
      <c r="S520" s="256">
        <f t="shared" ref="S520" si="1421">+R520*$X$1</f>
        <v>4969</v>
      </c>
      <c r="T520" s="528">
        <f>F520+175</f>
        <v>4949</v>
      </c>
      <c r="U520" s="256">
        <f t="shared" ref="U520" si="1422">+T520*$X$1</f>
        <v>4949</v>
      </c>
      <c r="V520" s="528">
        <f>F520+150</f>
        <v>4924</v>
      </c>
      <c r="W520" s="256">
        <f t="shared" ref="W520" si="1423">+V520*$X$1</f>
        <v>4924</v>
      </c>
      <c r="X520" s="632"/>
      <c r="Y520" s="632"/>
      <c r="Z520" s="632"/>
      <c r="AA520" s="632"/>
      <c r="AB520" s="336" t="s">
        <v>766</v>
      </c>
      <c r="AC520" s="62"/>
    </row>
    <row r="521" spans="1:33" ht="12.6" customHeight="1" x14ac:dyDescent="0.2">
      <c r="A521" s="94"/>
      <c r="B521" s="750" t="s">
        <v>780</v>
      </c>
      <c r="C521" s="751"/>
      <c r="D521" s="751"/>
      <c r="E521" s="751"/>
      <c r="F521" s="321">
        <v>30</v>
      </c>
      <c r="G521" s="255">
        <f t="shared" ref="G521" si="1424">+F521*$X$1</f>
        <v>30</v>
      </c>
      <c r="H521" s="520"/>
      <c r="I521" s="255"/>
      <c r="J521" s="520"/>
      <c r="K521" s="255"/>
      <c r="L521" s="520"/>
      <c r="M521" s="255"/>
      <c r="N521" s="520"/>
      <c r="O521" s="255"/>
      <c r="P521" s="520"/>
      <c r="Q521" s="255"/>
      <c r="R521" s="520"/>
      <c r="S521" s="255"/>
      <c r="T521" s="520"/>
      <c r="U521" s="255"/>
      <c r="V521" s="520"/>
      <c r="W521" s="255"/>
      <c r="X521" s="632"/>
      <c r="Y521" s="632"/>
      <c r="Z521" s="632"/>
      <c r="AA521" s="632"/>
      <c r="AB521" s="336" t="s">
        <v>781</v>
      </c>
      <c r="AC521" s="62"/>
    </row>
    <row r="522" spans="1:33" ht="12.6" customHeight="1" x14ac:dyDescent="0.2">
      <c r="A522" s="94"/>
      <c r="B522" s="750" t="s">
        <v>779</v>
      </c>
      <c r="C522" s="751"/>
      <c r="D522" s="751"/>
      <c r="E522" s="751"/>
      <c r="F522" s="322">
        <v>58</v>
      </c>
      <c r="G522" s="256">
        <f t="shared" ref="G522" si="1425">+F522*$X$1</f>
        <v>58</v>
      </c>
      <c r="H522" s="527"/>
      <c r="I522" s="256"/>
      <c r="J522" s="527"/>
      <c r="K522" s="256"/>
      <c r="L522" s="527"/>
      <c r="M522" s="256"/>
      <c r="N522" s="527"/>
      <c r="O522" s="256"/>
      <c r="P522" s="527"/>
      <c r="Q522" s="256"/>
      <c r="R522" s="527"/>
      <c r="S522" s="256"/>
      <c r="T522" s="527"/>
      <c r="U522" s="256"/>
      <c r="V522" s="527"/>
      <c r="W522" s="256"/>
      <c r="X522" s="632"/>
      <c r="Y522" s="632"/>
      <c r="Z522" s="632"/>
      <c r="AA522" s="632"/>
      <c r="AB522" s="336" t="s">
        <v>782</v>
      </c>
      <c r="AC522" s="62"/>
    </row>
    <row r="523" spans="1:33" ht="12.6" customHeight="1" x14ac:dyDescent="0.2">
      <c r="A523" s="17"/>
      <c r="B523" s="657" t="s">
        <v>305</v>
      </c>
      <c r="C523" s="677"/>
      <c r="D523" s="677"/>
      <c r="E523" s="678"/>
      <c r="F523" s="255">
        <v>1420</v>
      </c>
      <c r="G523" s="255">
        <f t="shared" ref="G523:G525" si="1426">+F523*$X$1</f>
        <v>1420</v>
      </c>
      <c r="H523" s="239"/>
      <c r="I523" s="732" t="s">
        <v>447</v>
      </c>
      <c r="J523" s="941"/>
      <c r="K523" s="941"/>
      <c r="L523" s="941"/>
      <c r="M523" s="942"/>
      <c r="N523" s="520">
        <v>2020</v>
      </c>
      <c r="O523" s="255">
        <f>+N523*$X$1</f>
        <v>2020</v>
      </c>
      <c r="P523" s="91">
        <v>2010</v>
      </c>
      <c r="Q523" s="255">
        <f t="shared" ref="Q523" si="1427">+P523*$X$1</f>
        <v>2010</v>
      </c>
      <c r="R523" s="520">
        <v>1815</v>
      </c>
      <c r="S523" s="255">
        <f>+R523*$X$1</f>
        <v>1815</v>
      </c>
      <c r="T523" s="520">
        <v>1690</v>
      </c>
      <c r="U523" s="255">
        <f>+T523*$X$1</f>
        <v>1690</v>
      </c>
      <c r="V523" s="520">
        <v>1640</v>
      </c>
      <c r="W523" s="255">
        <f t="shared" ref="W523" si="1428">+V523*$X$1</f>
        <v>1640</v>
      </c>
      <c r="X523" s="122"/>
      <c r="Y523" s="122"/>
      <c r="Z523" s="122"/>
      <c r="AA523" s="125"/>
      <c r="AB523" s="27"/>
    </row>
    <row r="524" spans="1:33" ht="12.6" customHeight="1" x14ac:dyDescent="0.2">
      <c r="A524" s="17"/>
      <c r="B524" s="640" t="s">
        <v>306</v>
      </c>
      <c r="C524" s="641"/>
      <c r="D524" s="641"/>
      <c r="E524" s="642"/>
      <c r="F524" s="256">
        <v>1420</v>
      </c>
      <c r="G524" s="256">
        <f t="shared" si="1426"/>
        <v>1420</v>
      </c>
      <c r="H524" s="237"/>
      <c r="I524" s="943"/>
      <c r="J524" s="944"/>
      <c r="K524" s="944"/>
      <c r="L524" s="944"/>
      <c r="M524" s="945"/>
      <c r="N524" s="528">
        <v>2020</v>
      </c>
      <c r="O524" s="256">
        <f>+N524*$X$1</f>
        <v>2020</v>
      </c>
      <c r="P524" s="95">
        <v>2010</v>
      </c>
      <c r="Q524" s="256">
        <f t="shared" ref="Q524:Q526" si="1429">+P524*$X$1</f>
        <v>2010</v>
      </c>
      <c r="R524" s="528">
        <v>1815</v>
      </c>
      <c r="S524" s="256">
        <f>+R524*$X$1</f>
        <v>1815</v>
      </c>
      <c r="T524" s="528">
        <v>1690</v>
      </c>
      <c r="U524" s="256">
        <f>+T524*$X$1</f>
        <v>1690</v>
      </c>
      <c r="V524" s="528">
        <v>1640</v>
      </c>
      <c r="W524" s="256">
        <f t="shared" ref="W524:W526" si="1430">+V524*$X$1</f>
        <v>1640</v>
      </c>
      <c r="X524" s="122"/>
      <c r="Y524" s="122"/>
      <c r="Z524" s="122"/>
      <c r="AA524" s="125"/>
      <c r="AB524" s="178"/>
    </row>
    <row r="525" spans="1:33" ht="12.6" customHeight="1" x14ac:dyDescent="0.2">
      <c r="A525" s="17"/>
      <c r="B525" s="657" t="s">
        <v>307</v>
      </c>
      <c r="C525" s="677"/>
      <c r="D525" s="677"/>
      <c r="E525" s="678"/>
      <c r="F525" s="255">
        <v>1420</v>
      </c>
      <c r="G525" s="255">
        <f t="shared" si="1426"/>
        <v>1420</v>
      </c>
      <c r="H525" s="239"/>
      <c r="I525" s="946"/>
      <c r="J525" s="947"/>
      <c r="K525" s="947"/>
      <c r="L525" s="947"/>
      <c r="M525" s="948"/>
      <c r="N525" s="520">
        <v>2020</v>
      </c>
      <c r="O525" s="255">
        <f>+N525*$X$1</f>
        <v>2020</v>
      </c>
      <c r="P525" s="91">
        <v>2010</v>
      </c>
      <c r="Q525" s="255">
        <f t="shared" si="1429"/>
        <v>2010</v>
      </c>
      <c r="R525" s="520">
        <v>1815</v>
      </c>
      <c r="S525" s="255">
        <f>+R525*$X$1</f>
        <v>1815</v>
      </c>
      <c r="T525" s="520">
        <v>1690</v>
      </c>
      <c r="U525" s="255">
        <f>+T525*$X$1</f>
        <v>1690</v>
      </c>
      <c r="V525" s="520">
        <v>1640</v>
      </c>
      <c r="W525" s="255">
        <f t="shared" si="1430"/>
        <v>1640</v>
      </c>
      <c r="X525" s="122"/>
      <c r="Y525" s="122"/>
      <c r="Z525" s="122"/>
      <c r="AA525" s="125"/>
      <c r="AB525" s="178"/>
      <c r="AG525" s="211"/>
    </row>
    <row r="526" spans="1:33" ht="12.6" customHeight="1" x14ac:dyDescent="0.2">
      <c r="A526" s="17"/>
      <c r="B526" s="647" t="s">
        <v>229</v>
      </c>
      <c r="C526" s="648"/>
      <c r="D526" s="648"/>
      <c r="E526" s="648"/>
      <c r="F526" s="322">
        <f>3.11*X2</f>
        <v>4789.3999999999996</v>
      </c>
      <c r="G526" s="256">
        <f>+F526*$X$1</f>
        <v>4789.3999999999996</v>
      </c>
      <c r="H526" s="528"/>
      <c r="I526" s="256"/>
      <c r="J526" s="82">
        <f t="shared" ref="J526" si="1431">F526+280</f>
        <v>5069.3999999999996</v>
      </c>
      <c r="K526" s="256">
        <f t="shared" ref="K526" si="1432">+J526*$X$1</f>
        <v>5069.3999999999996</v>
      </c>
      <c r="L526" s="528">
        <f t="shared" ref="L526" si="1433">F526+210</f>
        <v>4999.3999999999996</v>
      </c>
      <c r="M526" s="256">
        <f t="shared" ref="M526" si="1434">+L526*$X$1</f>
        <v>4999.3999999999996</v>
      </c>
      <c r="N526" s="528">
        <f t="shared" ref="N526" si="1435">F526+160</f>
        <v>4949.3999999999996</v>
      </c>
      <c r="O526" s="256">
        <f t="shared" ref="O526" si="1436">+N526*$X$1</f>
        <v>4949.3999999999996</v>
      </c>
      <c r="P526" s="528">
        <f t="shared" ref="P526" si="1437">F526+130</f>
        <v>4919.3999999999996</v>
      </c>
      <c r="Q526" s="256">
        <f t="shared" si="1429"/>
        <v>4919.3999999999996</v>
      </c>
      <c r="R526" s="528">
        <f t="shared" ref="R526" si="1438">F526+110</f>
        <v>4899.3999999999996</v>
      </c>
      <c r="S526" s="256">
        <f t="shared" ref="S526" si="1439">+R526*$X$1</f>
        <v>4899.3999999999996</v>
      </c>
      <c r="T526" s="528">
        <f t="shared" ref="T526" si="1440">F526+90</f>
        <v>4879.3999999999996</v>
      </c>
      <c r="U526" s="256">
        <f t="shared" ref="U526" si="1441">+T526*$X$1</f>
        <v>4879.3999999999996</v>
      </c>
      <c r="V526" s="528">
        <f t="shared" ref="V526" si="1442">F526+70</f>
        <v>4859.3999999999996</v>
      </c>
      <c r="W526" s="256">
        <f t="shared" si="1430"/>
        <v>4859.3999999999996</v>
      </c>
      <c r="X526" s="620"/>
      <c r="Y526" s="620"/>
      <c r="Z526" s="620"/>
      <c r="AA526" s="622"/>
      <c r="AB526" s="178" t="s">
        <v>230</v>
      </c>
    </row>
    <row r="527" spans="1:33" ht="12.6" customHeight="1" x14ac:dyDescent="0.2">
      <c r="A527" s="17"/>
      <c r="B527" s="654" t="s">
        <v>846</v>
      </c>
      <c r="C527" s="655"/>
      <c r="D527" s="655"/>
      <c r="E527" s="655"/>
      <c r="F527" s="321">
        <f>0.77*X2</f>
        <v>1185.8</v>
      </c>
      <c r="G527" s="255">
        <f>+F527*$X$1</f>
        <v>1185.8</v>
      </c>
      <c r="H527" s="251"/>
      <c r="I527" s="251"/>
      <c r="J527" s="68">
        <f t="shared" ref="J527:J528" si="1443">F527+280</f>
        <v>1465.8</v>
      </c>
      <c r="K527" s="255">
        <f t="shared" ref="K527:K528" si="1444">+J527*$X$1</f>
        <v>1465.8</v>
      </c>
      <c r="L527" s="520">
        <f t="shared" ref="L527:L528" si="1445">F527+210</f>
        <v>1395.8</v>
      </c>
      <c r="M527" s="255">
        <f t="shared" ref="M527:M528" si="1446">+L527*$X$1</f>
        <v>1395.8</v>
      </c>
      <c r="N527" s="520">
        <f t="shared" ref="N527:N528" si="1447">F527+160</f>
        <v>1345.8</v>
      </c>
      <c r="O527" s="255">
        <f t="shared" ref="O527:O528" si="1448">+N527*$X$1</f>
        <v>1345.8</v>
      </c>
      <c r="P527" s="520">
        <f t="shared" ref="P527:P528" si="1449">F527+130</f>
        <v>1315.8</v>
      </c>
      <c r="Q527" s="255">
        <f t="shared" ref="Q527:Q528" si="1450">+P527*$X$1</f>
        <v>1315.8</v>
      </c>
      <c r="R527" s="520">
        <f t="shared" ref="R527:R528" si="1451">F527+110</f>
        <v>1295.8</v>
      </c>
      <c r="S527" s="255">
        <f t="shared" ref="S527:S528" si="1452">+R527*$X$1</f>
        <v>1295.8</v>
      </c>
      <c r="T527" s="520">
        <f t="shared" ref="T527:T528" si="1453">F527+90</f>
        <v>1275.8</v>
      </c>
      <c r="U527" s="255">
        <f t="shared" ref="U527:U528" si="1454">+T527*$X$1</f>
        <v>1275.8</v>
      </c>
      <c r="V527" s="520">
        <f t="shared" ref="V527:V528" si="1455">F527+70</f>
        <v>1255.8</v>
      </c>
      <c r="W527" s="255">
        <f t="shared" ref="W527:W528" si="1456">+V527*$X$1</f>
        <v>1255.8</v>
      </c>
      <c r="X527" s="620"/>
      <c r="Y527" s="620"/>
      <c r="Z527" s="620"/>
      <c r="AA527" s="622"/>
      <c r="AB527" s="178" t="s">
        <v>847</v>
      </c>
    </row>
    <row r="528" spans="1:33" ht="12.6" customHeight="1" x14ac:dyDescent="0.2">
      <c r="A528" s="17"/>
      <c r="B528" s="647" t="s">
        <v>353</v>
      </c>
      <c r="C528" s="648"/>
      <c r="D528" s="648"/>
      <c r="E528" s="648"/>
      <c r="F528" s="322">
        <f>0.843*X2</f>
        <v>1298.22</v>
      </c>
      <c r="G528" s="256">
        <f t="shared" ref="G528" si="1457">+F528*$X$1</f>
        <v>1298.22</v>
      </c>
      <c r="H528" s="250"/>
      <c r="I528" s="250"/>
      <c r="J528" s="82">
        <f t="shared" si="1443"/>
        <v>1578.22</v>
      </c>
      <c r="K528" s="256">
        <f t="shared" si="1444"/>
        <v>1578.22</v>
      </c>
      <c r="L528" s="528">
        <f t="shared" si="1445"/>
        <v>1508.22</v>
      </c>
      <c r="M528" s="256">
        <f t="shared" si="1446"/>
        <v>1508.22</v>
      </c>
      <c r="N528" s="528">
        <f t="shared" si="1447"/>
        <v>1458.22</v>
      </c>
      <c r="O528" s="256">
        <f t="shared" si="1448"/>
        <v>1458.22</v>
      </c>
      <c r="P528" s="528">
        <f t="shared" si="1449"/>
        <v>1428.22</v>
      </c>
      <c r="Q528" s="256">
        <f t="shared" si="1450"/>
        <v>1428.22</v>
      </c>
      <c r="R528" s="528">
        <f t="shared" si="1451"/>
        <v>1408.22</v>
      </c>
      <c r="S528" s="256">
        <f t="shared" si="1452"/>
        <v>1408.22</v>
      </c>
      <c r="T528" s="528">
        <f t="shared" si="1453"/>
        <v>1388.22</v>
      </c>
      <c r="U528" s="256">
        <f t="shared" si="1454"/>
        <v>1388.22</v>
      </c>
      <c r="V528" s="528">
        <f t="shared" si="1455"/>
        <v>1368.22</v>
      </c>
      <c r="W528" s="256">
        <f t="shared" si="1456"/>
        <v>1368.22</v>
      </c>
      <c r="X528" s="620"/>
      <c r="Y528" s="620"/>
      <c r="Z528" s="620"/>
      <c r="AA528" s="622"/>
      <c r="AB528" s="178" t="s">
        <v>380</v>
      </c>
    </row>
    <row r="529" spans="1:31" s="62" customFormat="1" ht="12.6" customHeight="1" x14ac:dyDescent="0.25">
      <c r="A529" s="88"/>
      <c r="B529" s="686" t="s">
        <v>303</v>
      </c>
      <c r="C529" s="930"/>
      <c r="D529" s="930"/>
      <c r="E529" s="930"/>
      <c r="F529" s="255">
        <v>740</v>
      </c>
      <c r="G529" s="255">
        <f t="shared" ref="G529:G534" si="1458">+F529*$X$1</f>
        <v>740</v>
      </c>
      <c r="H529" s="249"/>
      <c r="I529" s="732" t="s">
        <v>443</v>
      </c>
      <c r="J529" s="733"/>
      <c r="K529" s="733"/>
      <c r="L529" s="734"/>
      <c r="M529" s="735"/>
      <c r="N529" s="520">
        <v>1450</v>
      </c>
      <c r="O529" s="255">
        <f t="shared" ref="O529:O538" si="1459">+N529*$X$1</f>
        <v>1450</v>
      </c>
      <c r="P529" s="261">
        <v>1439</v>
      </c>
      <c r="Q529" s="255">
        <f t="shared" ref="Q529:Q538" si="1460">+P529*$X$1</f>
        <v>1439</v>
      </c>
      <c r="R529" s="520">
        <v>1320</v>
      </c>
      <c r="S529" s="255">
        <f t="shared" ref="S529:S538" si="1461">+R529*$X$1</f>
        <v>1320</v>
      </c>
      <c r="T529" s="520">
        <v>1201</v>
      </c>
      <c r="U529" s="255">
        <f t="shared" ref="U529:U538" si="1462">+T529*$X$1</f>
        <v>1201</v>
      </c>
      <c r="V529" s="520">
        <v>1143</v>
      </c>
      <c r="W529" s="255">
        <f t="shared" ref="W529:W538" si="1463">+V529*$X$1</f>
        <v>1143</v>
      </c>
      <c r="X529" s="136"/>
      <c r="Y529" s="136"/>
      <c r="Z529" s="136"/>
      <c r="AA529" s="137"/>
      <c r="AB529" s="353" t="s">
        <v>231</v>
      </c>
    </row>
    <row r="530" spans="1:31" s="62" customFormat="1" ht="12.6" customHeight="1" x14ac:dyDescent="0.25">
      <c r="A530" s="88"/>
      <c r="B530" s="647" t="s">
        <v>304</v>
      </c>
      <c r="C530" s="648"/>
      <c r="D530" s="648"/>
      <c r="E530" s="648"/>
      <c r="F530" s="256">
        <v>740</v>
      </c>
      <c r="G530" s="256">
        <f t="shared" si="1458"/>
        <v>740</v>
      </c>
      <c r="H530" s="253"/>
      <c r="I530" s="736"/>
      <c r="J530" s="737"/>
      <c r="K530" s="737"/>
      <c r="L530" s="738"/>
      <c r="M530" s="739"/>
      <c r="N530" s="528">
        <v>1810</v>
      </c>
      <c r="O530" s="256">
        <f t="shared" si="1459"/>
        <v>1810</v>
      </c>
      <c r="P530" s="260">
        <v>1792</v>
      </c>
      <c r="Q530" s="256">
        <f t="shared" si="1460"/>
        <v>1792</v>
      </c>
      <c r="R530" s="528">
        <v>1710</v>
      </c>
      <c r="S530" s="256">
        <f t="shared" si="1461"/>
        <v>1710</v>
      </c>
      <c r="T530" s="528">
        <v>1640</v>
      </c>
      <c r="U530" s="256">
        <f t="shared" si="1462"/>
        <v>1640</v>
      </c>
      <c r="V530" s="528">
        <v>1560</v>
      </c>
      <c r="W530" s="256">
        <f t="shared" si="1463"/>
        <v>1560</v>
      </c>
      <c r="X530" s="158"/>
      <c r="Y530" s="122"/>
      <c r="Z530" s="122"/>
      <c r="AA530" s="125"/>
      <c r="AB530" s="354"/>
    </row>
    <row r="531" spans="1:31" s="62" customFormat="1" ht="12.6" customHeight="1" x14ac:dyDescent="0.25">
      <c r="A531" s="88"/>
      <c r="B531" s="654" t="s">
        <v>316</v>
      </c>
      <c r="C531" s="655"/>
      <c r="D531" s="655"/>
      <c r="E531" s="655"/>
      <c r="F531" s="255">
        <v>740</v>
      </c>
      <c r="G531" s="255">
        <f t="shared" si="1458"/>
        <v>740</v>
      </c>
      <c r="H531" s="248"/>
      <c r="I531" s="736"/>
      <c r="J531" s="737"/>
      <c r="K531" s="737"/>
      <c r="L531" s="738"/>
      <c r="M531" s="739"/>
      <c r="N531" s="520">
        <v>1450</v>
      </c>
      <c r="O531" s="255">
        <f t="shared" ref="O531:O532" si="1464">+N531*$X$1</f>
        <v>1450</v>
      </c>
      <c r="P531" s="261">
        <v>1439</v>
      </c>
      <c r="Q531" s="255">
        <f t="shared" ref="Q531:Q532" si="1465">+P531*$X$1</f>
        <v>1439</v>
      </c>
      <c r="R531" s="520">
        <v>1320</v>
      </c>
      <c r="S531" s="255">
        <f t="shared" ref="S531:S532" si="1466">+R531*$X$1</f>
        <v>1320</v>
      </c>
      <c r="T531" s="520">
        <v>1201</v>
      </c>
      <c r="U531" s="255">
        <f t="shared" ref="U531:U532" si="1467">+T531*$X$1</f>
        <v>1201</v>
      </c>
      <c r="V531" s="520">
        <v>1143</v>
      </c>
      <c r="W531" s="255">
        <f t="shared" ref="W531:W532" si="1468">+V531*$X$1</f>
        <v>1143</v>
      </c>
      <c r="X531" s="122"/>
      <c r="Y531" s="122"/>
      <c r="Z531" s="122"/>
      <c r="AA531" s="125"/>
      <c r="AB531" s="353" t="s">
        <v>232</v>
      </c>
    </row>
    <row r="532" spans="1:31" s="62" customFormat="1" ht="12" customHeight="1" x14ac:dyDescent="0.25">
      <c r="A532" s="88"/>
      <c r="B532" s="647" t="s">
        <v>317</v>
      </c>
      <c r="C532" s="648"/>
      <c r="D532" s="648"/>
      <c r="E532" s="648"/>
      <c r="F532" s="256">
        <v>740</v>
      </c>
      <c r="G532" s="256">
        <f t="shared" si="1458"/>
        <v>740</v>
      </c>
      <c r="H532" s="253"/>
      <c r="I532" s="736"/>
      <c r="J532" s="737"/>
      <c r="K532" s="737"/>
      <c r="L532" s="738"/>
      <c r="M532" s="739"/>
      <c r="N532" s="528">
        <v>1810</v>
      </c>
      <c r="O532" s="256">
        <f t="shared" si="1464"/>
        <v>1810</v>
      </c>
      <c r="P532" s="260">
        <v>1792</v>
      </c>
      <c r="Q532" s="256">
        <f t="shared" si="1465"/>
        <v>1792</v>
      </c>
      <c r="R532" s="528">
        <v>1710</v>
      </c>
      <c r="S532" s="256">
        <f t="shared" si="1466"/>
        <v>1710</v>
      </c>
      <c r="T532" s="528">
        <v>1640</v>
      </c>
      <c r="U532" s="256">
        <f t="shared" si="1467"/>
        <v>1640</v>
      </c>
      <c r="V532" s="528">
        <v>1560</v>
      </c>
      <c r="W532" s="256">
        <f t="shared" si="1468"/>
        <v>1560</v>
      </c>
      <c r="X532" s="136"/>
      <c r="Y532" s="136"/>
      <c r="Z532" s="122"/>
      <c r="AA532" s="125"/>
      <c r="AB532" s="354"/>
    </row>
    <row r="533" spans="1:31" s="62" customFormat="1" ht="12.6" customHeight="1" x14ac:dyDescent="0.25">
      <c r="A533" s="88"/>
      <c r="B533" s="654" t="s">
        <v>233</v>
      </c>
      <c r="C533" s="655"/>
      <c r="D533" s="655"/>
      <c r="E533" s="655"/>
      <c r="F533" s="255">
        <v>740</v>
      </c>
      <c r="G533" s="255">
        <f t="shared" si="1458"/>
        <v>740</v>
      </c>
      <c r="H533" s="248"/>
      <c r="I533" s="740"/>
      <c r="J533" s="741"/>
      <c r="K533" s="741"/>
      <c r="L533" s="738"/>
      <c r="M533" s="739"/>
      <c r="N533" s="520">
        <v>1630</v>
      </c>
      <c r="O533" s="255">
        <f t="shared" ref="O533" si="1469">+N533*$X$1</f>
        <v>1630</v>
      </c>
      <c r="P533" s="261">
        <v>1620</v>
      </c>
      <c r="Q533" s="255">
        <f t="shared" ref="Q533" si="1470">+P533*$X$1</f>
        <v>1620</v>
      </c>
      <c r="R533" s="520">
        <v>1455</v>
      </c>
      <c r="S533" s="255">
        <f t="shared" ref="S533" si="1471">+R533*$X$1</f>
        <v>1455</v>
      </c>
      <c r="T533" s="520">
        <v>1350</v>
      </c>
      <c r="U533" s="255">
        <f t="shared" ref="U533" si="1472">+T533*$X$1</f>
        <v>1350</v>
      </c>
      <c r="V533" s="520">
        <v>1270</v>
      </c>
      <c r="W533" s="255">
        <f t="shared" ref="W533" si="1473">+V533*$X$1</f>
        <v>1270</v>
      </c>
      <c r="X533" s="122"/>
      <c r="Y533" s="122"/>
      <c r="Z533" s="122"/>
      <c r="AA533" s="125"/>
      <c r="AB533" s="353" t="s">
        <v>234</v>
      </c>
      <c r="AE533" s="219"/>
    </row>
    <row r="534" spans="1:31" s="62" customFormat="1" ht="12.6" customHeight="1" x14ac:dyDescent="0.25">
      <c r="A534" s="88"/>
      <c r="B534" s="647" t="s">
        <v>235</v>
      </c>
      <c r="C534" s="648"/>
      <c r="D534" s="648"/>
      <c r="E534" s="648"/>
      <c r="F534" s="256">
        <v>740</v>
      </c>
      <c r="G534" s="256">
        <f t="shared" si="1458"/>
        <v>740</v>
      </c>
      <c r="H534" s="253"/>
      <c r="I534" s="742"/>
      <c r="J534" s="743"/>
      <c r="K534" s="743"/>
      <c r="L534" s="743"/>
      <c r="M534" s="744"/>
      <c r="N534" s="528">
        <v>1990</v>
      </c>
      <c r="O534" s="256">
        <f t="shared" si="1459"/>
        <v>1990</v>
      </c>
      <c r="P534" s="260">
        <v>1970</v>
      </c>
      <c r="Q534" s="256">
        <f t="shared" si="1460"/>
        <v>1970</v>
      </c>
      <c r="R534" s="528">
        <v>1890</v>
      </c>
      <c r="S534" s="256">
        <f t="shared" si="1461"/>
        <v>1890</v>
      </c>
      <c r="T534" s="528">
        <v>1824</v>
      </c>
      <c r="U534" s="256">
        <f t="shared" si="1462"/>
        <v>1824</v>
      </c>
      <c r="V534" s="528">
        <v>1736</v>
      </c>
      <c r="W534" s="256">
        <f t="shared" si="1463"/>
        <v>1736</v>
      </c>
      <c r="X534" s="122"/>
      <c r="Y534" s="122"/>
      <c r="Z534" s="122"/>
      <c r="AA534" s="125"/>
      <c r="AB534" s="353" t="s">
        <v>236</v>
      </c>
    </row>
    <row r="535" spans="1:31" ht="12.6" customHeight="1" x14ac:dyDescent="0.2">
      <c r="A535" s="17"/>
      <c r="B535" s="657" t="s">
        <v>237</v>
      </c>
      <c r="C535" s="677"/>
      <c r="D535" s="677"/>
      <c r="E535" s="678"/>
      <c r="F535" s="321">
        <f>2.98*X2</f>
        <v>4589.2</v>
      </c>
      <c r="G535" s="255">
        <f t="shared" ref="G535" si="1474">+F535*$X$1</f>
        <v>4589.2</v>
      </c>
      <c r="H535" s="520">
        <f>F535+800</f>
        <v>5389.2</v>
      </c>
      <c r="I535" s="255">
        <f t="shared" ref="I535:I538" si="1475">+H535*$X$1</f>
        <v>5389.2</v>
      </c>
      <c r="J535" s="520">
        <f>F535+270</f>
        <v>4859.2</v>
      </c>
      <c r="K535" s="255">
        <f t="shared" ref="K535:K538" si="1476">+J535*$X$1</f>
        <v>4859.2</v>
      </c>
      <c r="L535" s="520">
        <f>F535+180</f>
        <v>4769.2</v>
      </c>
      <c r="M535" s="255">
        <f t="shared" ref="M535:M538" si="1477">+L535*$X$1</f>
        <v>4769.2</v>
      </c>
      <c r="N535" s="520">
        <f>F535+140</f>
        <v>4729.2</v>
      </c>
      <c r="O535" s="255">
        <f t="shared" si="1459"/>
        <v>4729.2</v>
      </c>
      <c r="P535" s="520">
        <f>F535+110</f>
        <v>4699.2</v>
      </c>
      <c r="Q535" s="255">
        <f t="shared" si="1460"/>
        <v>4699.2</v>
      </c>
      <c r="R535" s="520">
        <f>F535+90</f>
        <v>4679.2</v>
      </c>
      <c r="S535" s="255">
        <f t="shared" si="1461"/>
        <v>4679.2</v>
      </c>
      <c r="T535" s="520">
        <f>F535+75</f>
        <v>4664.2</v>
      </c>
      <c r="U535" s="255">
        <f t="shared" si="1462"/>
        <v>4664.2</v>
      </c>
      <c r="V535" s="520">
        <f>F535+60</f>
        <v>4649.2</v>
      </c>
      <c r="W535" s="255">
        <f t="shared" si="1463"/>
        <v>4649.2</v>
      </c>
      <c r="X535" s="632"/>
      <c r="Y535" s="632"/>
      <c r="Z535" s="632"/>
      <c r="AA535" s="634"/>
      <c r="AB535" s="178" t="s">
        <v>238</v>
      </c>
    </row>
    <row r="536" spans="1:31" ht="12.6" customHeight="1" x14ac:dyDescent="0.2">
      <c r="A536" s="17"/>
      <c r="B536" s="640" t="s">
        <v>680</v>
      </c>
      <c r="C536" s="641"/>
      <c r="D536" s="641"/>
      <c r="E536" s="642"/>
      <c r="F536" s="288">
        <v>3950</v>
      </c>
      <c r="G536" s="256">
        <f t="shared" ref="G536" si="1478">+F536*$X$1</f>
        <v>3950</v>
      </c>
      <c r="H536" s="528"/>
      <c r="I536" s="256"/>
      <c r="J536" s="528">
        <f>F536+270</f>
        <v>4220</v>
      </c>
      <c r="K536" s="256">
        <f t="shared" si="1476"/>
        <v>4220</v>
      </c>
      <c r="L536" s="528">
        <f>F536+180</f>
        <v>4130</v>
      </c>
      <c r="M536" s="256">
        <f t="shared" si="1477"/>
        <v>4130</v>
      </c>
      <c r="N536" s="528">
        <f>F536+140</f>
        <v>4090</v>
      </c>
      <c r="O536" s="256">
        <f t="shared" si="1459"/>
        <v>4090</v>
      </c>
      <c r="P536" s="528">
        <f>F536+110</f>
        <v>4060</v>
      </c>
      <c r="Q536" s="256">
        <f t="shared" si="1460"/>
        <v>4060</v>
      </c>
      <c r="R536" s="528">
        <f>F536+90</f>
        <v>4040</v>
      </c>
      <c r="S536" s="256">
        <f t="shared" si="1461"/>
        <v>4040</v>
      </c>
      <c r="T536" s="528">
        <f>F536+75</f>
        <v>4025</v>
      </c>
      <c r="U536" s="256">
        <f t="shared" si="1462"/>
        <v>4025</v>
      </c>
      <c r="V536" s="528">
        <f>F536+60</f>
        <v>4010</v>
      </c>
      <c r="W536" s="256">
        <f t="shared" si="1463"/>
        <v>4010</v>
      </c>
      <c r="X536" s="632"/>
      <c r="Y536" s="632"/>
      <c r="Z536" s="632"/>
      <c r="AA536" s="634"/>
      <c r="AB536" s="178" t="s">
        <v>679</v>
      </c>
    </row>
    <row r="537" spans="1:31" ht="12.6" customHeight="1" x14ac:dyDescent="0.2">
      <c r="A537" s="17"/>
      <c r="B537" s="657" t="s">
        <v>342</v>
      </c>
      <c r="C537" s="677"/>
      <c r="D537" s="677"/>
      <c r="E537" s="678"/>
      <c r="F537" s="321">
        <f>0.71*X2</f>
        <v>1093.3999999999999</v>
      </c>
      <c r="G537" s="255">
        <f t="shared" ref="G537:G538" si="1479">+F537*$X$1</f>
        <v>1093.3999999999999</v>
      </c>
      <c r="H537" s="520">
        <f>F537+800</f>
        <v>1893.3999999999999</v>
      </c>
      <c r="I537" s="255">
        <f t="shared" si="1475"/>
        <v>1893.3999999999999</v>
      </c>
      <c r="J537" s="520">
        <f>F537+270</f>
        <v>1363.3999999999999</v>
      </c>
      <c r="K537" s="255">
        <f t="shared" si="1476"/>
        <v>1363.3999999999999</v>
      </c>
      <c r="L537" s="520">
        <f>F537+180</f>
        <v>1273.3999999999999</v>
      </c>
      <c r="M537" s="255">
        <f t="shared" si="1477"/>
        <v>1273.3999999999999</v>
      </c>
      <c r="N537" s="520">
        <f>F537+140</f>
        <v>1233.3999999999999</v>
      </c>
      <c r="O537" s="255">
        <f t="shared" si="1459"/>
        <v>1233.3999999999999</v>
      </c>
      <c r="P537" s="520">
        <f>F537+110</f>
        <v>1203.3999999999999</v>
      </c>
      <c r="Q537" s="255">
        <f t="shared" si="1460"/>
        <v>1203.3999999999999</v>
      </c>
      <c r="R537" s="520">
        <f>F537+90</f>
        <v>1183.3999999999999</v>
      </c>
      <c r="S537" s="255">
        <f t="shared" si="1461"/>
        <v>1183.3999999999999</v>
      </c>
      <c r="T537" s="520">
        <f>F537+75</f>
        <v>1168.3999999999999</v>
      </c>
      <c r="U537" s="255">
        <f t="shared" si="1462"/>
        <v>1168.3999999999999</v>
      </c>
      <c r="V537" s="520">
        <f>F537+60</f>
        <v>1153.3999999999999</v>
      </c>
      <c r="W537" s="255">
        <f t="shared" si="1463"/>
        <v>1153.3999999999999</v>
      </c>
      <c r="X537" s="632"/>
      <c r="Y537" s="633"/>
      <c r="Z537" s="633"/>
      <c r="AA537" s="634"/>
      <c r="AB537" s="178" t="s">
        <v>375</v>
      </c>
    </row>
    <row r="538" spans="1:31" ht="12.6" customHeight="1" x14ac:dyDescent="0.2">
      <c r="A538" s="17"/>
      <c r="B538" s="640" t="s">
        <v>764</v>
      </c>
      <c r="C538" s="641"/>
      <c r="D538" s="641"/>
      <c r="E538" s="642"/>
      <c r="F538" s="322">
        <f>2.7*X2</f>
        <v>4158</v>
      </c>
      <c r="G538" s="256">
        <f t="shared" si="1479"/>
        <v>4158</v>
      </c>
      <c r="H538" s="528">
        <f>F538+800</f>
        <v>4958</v>
      </c>
      <c r="I538" s="256">
        <f t="shared" si="1475"/>
        <v>4958</v>
      </c>
      <c r="J538" s="528">
        <f>F538+270</f>
        <v>4428</v>
      </c>
      <c r="K538" s="256">
        <f t="shared" si="1476"/>
        <v>4428</v>
      </c>
      <c r="L538" s="528">
        <f>F538+180</f>
        <v>4338</v>
      </c>
      <c r="M538" s="256">
        <f t="shared" si="1477"/>
        <v>4338</v>
      </c>
      <c r="N538" s="528">
        <f>F538+140</f>
        <v>4298</v>
      </c>
      <c r="O538" s="256">
        <f t="shared" si="1459"/>
        <v>4298</v>
      </c>
      <c r="P538" s="528">
        <f>F538+110</f>
        <v>4268</v>
      </c>
      <c r="Q538" s="256">
        <f t="shared" si="1460"/>
        <v>4268</v>
      </c>
      <c r="R538" s="528">
        <f>F538+90</f>
        <v>4248</v>
      </c>
      <c r="S538" s="256">
        <f t="shared" si="1461"/>
        <v>4248</v>
      </c>
      <c r="T538" s="528">
        <f>F538+75</f>
        <v>4233</v>
      </c>
      <c r="U538" s="256">
        <f t="shared" si="1462"/>
        <v>4233</v>
      </c>
      <c r="V538" s="528">
        <f>F538+60</f>
        <v>4218</v>
      </c>
      <c r="W538" s="256">
        <f t="shared" si="1463"/>
        <v>4218</v>
      </c>
      <c r="X538" s="632"/>
      <c r="Y538" s="632"/>
      <c r="Z538" s="632"/>
      <c r="AA538" s="634"/>
      <c r="AB538" s="178" t="s">
        <v>703</v>
      </c>
    </row>
    <row r="539" spans="1:31" ht="12.6" customHeight="1" x14ac:dyDescent="0.2">
      <c r="A539" s="17"/>
      <c r="B539" s="686" t="s">
        <v>239</v>
      </c>
      <c r="C539" s="687"/>
      <c r="D539" s="687"/>
      <c r="E539" s="687"/>
      <c r="F539" s="270">
        <v>4720</v>
      </c>
      <c r="G539" s="255">
        <f t="shared" ref="G539:G542" si="1480">+F539*$X$1</f>
        <v>4720</v>
      </c>
      <c r="H539" s="251"/>
      <c r="I539" s="300"/>
      <c r="J539" s="520">
        <f>F539+66</f>
        <v>4786</v>
      </c>
      <c r="K539" s="255"/>
      <c r="L539" s="520">
        <f t="shared" ref="L539:L545" si="1481">F539+440</f>
        <v>5160</v>
      </c>
      <c r="M539" s="255">
        <f t="shared" ref="M539:M554" si="1482">+L539*$X$1</f>
        <v>5160</v>
      </c>
      <c r="N539" s="520">
        <f t="shared" ref="N539:N545" si="1483">F539+390</f>
        <v>5110</v>
      </c>
      <c r="O539" s="255">
        <f t="shared" ref="O539" si="1484">+N539*$X$1</f>
        <v>5110</v>
      </c>
      <c r="P539" s="520">
        <f t="shared" ref="P539:P545" si="1485">F539+350</f>
        <v>5070</v>
      </c>
      <c r="Q539" s="255">
        <f t="shared" ref="Q539" si="1486">+P539*$X$1</f>
        <v>5070</v>
      </c>
      <c r="R539" s="520">
        <f t="shared" ref="R539:R545" si="1487">F539+320</f>
        <v>5040</v>
      </c>
      <c r="S539" s="255">
        <f t="shared" ref="S539" si="1488">+R539*$X$1</f>
        <v>5040</v>
      </c>
      <c r="T539" s="520">
        <f t="shared" ref="T539:T545" si="1489">F539+290</f>
        <v>5010</v>
      </c>
      <c r="U539" s="255">
        <f t="shared" ref="U539" si="1490">+T539*$X$1</f>
        <v>5010</v>
      </c>
      <c r="V539" s="520">
        <f t="shared" ref="V539:V545" si="1491">F539+260</f>
        <v>4980</v>
      </c>
      <c r="W539" s="255">
        <f t="shared" ref="W539" si="1492">+V539*$X$1</f>
        <v>4980</v>
      </c>
      <c r="X539" s="133"/>
      <c r="Y539" s="119"/>
      <c r="Z539" s="119"/>
      <c r="AA539" s="119"/>
      <c r="AB539" s="178" t="s">
        <v>240</v>
      </c>
    </row>
    <row r="540" spans="1:31" ht="12.6" customHeight="1" x14ac:dyDescent="0.2">
      <c r="A540" s="17"/>
      <c r="B540" s="647" t="s">
        <v>241</v>
      </c>
      <c r="C540" s="648"/>
      <c r="D540" s="648"/>
      <c r="E540" s="648"/>
      <c r="F540" s="256">
        <v>6550</v>
      </c>
      <c r="G540" s="256">
        <f t="shared" si="1480"/>
        <v>6550</v>
      </c>
      <c r="H540" s="250"/>
      <c r="I540" s="301"/>
      <c r="J540" s="528">
        <f>F540+66</f>
        <v>6616</v>
      </c>
      <c r="K540" s="256"/>
      <c r="L540" s="528">
        <f t="shared" si="1481"/>
        <v>6990</v>
      </c>
      <c r="M540" s="256">
        <f t="shared" ref="M540:M543" si="1493">+L540*$X$1</f>
        <v>6990</v>
      </c>
      <c r="N540" s="528">
        <f t="shared" si="1483"/>
        <v>6940</v>
      </c>
      <c r="O540" s="256">
        <f t="shared" ref="O540:O543" si="1494">+N540*$X$1</f>
        <v>6940</v>
      </c>
      <c r="P540" s="528">
        <f t="shared" si="1485"/>
        <v>6900</v>
      </c>
      <c r="Q540" s="256">
        <f t="shared" ref="Q540:Q543" si="1495">+P540*$X$1</f>
        <v>6900</v>
      </c>
      <c r="R540" s="528">
        <f t="shared" si="1487"/>
        <v>6870</v>
      </c>
      <c r="S540" s="256">
        <f t="shared" ref="S540:S543" si="1496">+R540*$X$1</f>
        <v>6870</v>
      </c>
      <c r="T540" s="528">
        <f t="shared" si="1489"/>
        <v>6840</v>
      </c>
      <c r="U540" s="256">
        <f t="shared" ref="U540:U543" si="1497">+T540*$X$1</f>
        <v>6840</v>
      </c>
      <c r="V540" s="528">
        <f t="shared" si="1491"/>
        <v>6810</v>
      </c>
      <c r="W540" s="256">
        <f t="shared" ref="W540:W543" si="1498">+V540*$X$1</f>
        <v>6810</v>
      </c>
      <c r="X540" s="133"/>
      <c r="Y540" s="119"/>
      <c r="Z540" s="119"/>
      <c r="AA540" s="119"/>
      <c r="AB540" s="352"/>
    </row>
    <row r="541" spans="1:31" ht="12.6" customHeight="1" x14ac:dyDescent="0.2">
      <c r="A541" s="17"/>
      <c r="B541" s="654" t="s">
        <v>242</v>
      </c>
      <c r="C541" s="655"/>
      <c r="D541" s="655"/>
      <c r="E541" s="655"/>
      <c r="F541" s="255">
        <v>5100</v>
      </c>
      <c r="G541" s="255">
        <f t="shared" si="1480"/>
        <v>5100</v>
      </c>
      <c r="H541" s="251"/>
      <c r="I541" s="300"/>
      <c r="J541" s="520">
        <f>F541+80</f>
        <v>5180</v>
      </c>
      <c r="K541" s="255"/>
      <c r="L541" s="520">
        <f t="shared" si="1481"/>
        <v>5540</v>
      </c>
      <c r="M541" s="255">
        <f t="shared" si="1493"/>
        <v>5540</v>
      </c>
      <c r="N541" s="520">
        <f t="shared" si="1483"/>
        <v>5490</v>
      </c>
      <c r="O541" s="255">
        <f t="shared" si="1494"/>
        <v>5490</v>
      </c>
      <c r="P541" s="520">
        <f t="shared" si="1485"/>
        <v>5450</v>
      </c>
      <c r="Q541" s="255">
        <f t="shared" si="1495"/>
        <v>5450</v>
      </c>
      <c r="R541" s="520">
        <f t="shared" si="1487"/>
        <v>5420</v>
      </c>
      <c r="S541" s="255">
        <f t="shared" si="1496"/>
        <v>5420</v>
      </c>
      <c r="T541" s="520">
        <f t="shared" si="1489"/>
        <v>5390</v>
      </c>
      <c r="U541" s="255">
        <f t="shared" si="1497"/>
        <v>5390</v>
      </c>
      <c r="V541" s="520">
        <f t="shared" si="1491"/>
        <v>5360</v>
      </c>
      <c r="W541" s="255">
        <f t="shared" si="1498"/>
        <v>5360</v>
      </c>
      <c r="X541" s="133"/>
      <c r="Y541" s="119"/>
      <c r="Z541" s="119"/>
      <c r="AA541" s="119"/>
      <c r="AB541" s="178" t="s">
        <v>243</v>
      </c>
    </row>
    <row r="542" spans="1:31" ht="12.6" customHeight="1" x14ac:dyDescent="0.2">
      <c r="A542" s="17"/>
      <c r="B542" s="647" t="s">
        <v>244</v>
      </c>
      <c r="C542" s="648"/>
      <c r="D542" s="648"/>
      <c r="E542" s="648"/>
      <c r="F542" s="256">
        <v>7100</v>
      </c>
      <c r="G542" s="256">
        <f t="shared" si="1480"/>
        <v>7100</v>
      </c>
      <c r="H542" s="250"/>
      <c r="I542" s="301"/>
      <c r="J542" s="528">
        <f>F542+80</f>
        <v>7180</v>
      </c>
      <c r="K542" s="256"/>
      <c r="L542" s="528">
        <f t="shared" si="1481"/>
        <v>7540</v>
      </c>
      <c r="M542" s="256">
        <f t="shared" si="1493"/>
        <v>7540</v>
      </c>
      <c r="N542" s="528">
        <f t="shared" si="1483"/>
        <v>7490</v>
      </c>
      <c r="O542" s="256">
        <f t="shared" si="1494"/>
        <v>7490</v>
      </c>
      <c r="P542" s="528">
        <f t="shared" si="1485"/>
        <v>7450</v>
      </c>
      <c r="Q542" s="256">
        <f t="shared" si="1495"/>
        <v>7450</v>
      </c>
      <c r="R542" s="528">
        <f t="shared" si="1487"/>
        <v>7420</v>
      </c>
      <c r="S542" s="256">
        <f t="shared" si="1496"/>
        <v>7420</v>
      </c>
      <c r="T542" s="528">
        <f t="shared" si="1489"/>
        <v>7390</v>
      </c>
      <c r="U542" s="256">
        <f t="shared" si="1497"/>
        <v>7390</v>
      </c>
      <c r="V542" s="528">
        <f t="shared" si="1491"/>
        <v>7360</v>
      </c>
      <c r="W542" s="256">
        <f t="shared" si="1498"/>
        <v>7360</v>
      </c>
      <c r="X542" s="133"/>
      <c r="Y542" s="119"/>
      <c r="Z542" s="119"/>
      <c r="AA542" s="119"/>
      <c r="AB542" s="352"/>
    </row>
    <row r="543" spans="1:31" ht="12.6" customHeight="1" x14ac:dyDescent="0.2">
      <c r="A543" s="17"/>
      <c r="B543" s="654" t="s">
        <v>768</v>
      </c>
      <c r="C543" s="655"/>
      <c r="D543" s="655"/>
      <c r="E543" s="655"/>
      <c r="F543" s="289">
        <v>12510</v>
      </c>
      <c r="G543" s="255">
        <f t="shared" ref="G543" si="1499">+F543*$X$1</f>
        <v>12510</v>
      </c>
      <c r="H543" s="251"/>
      <c r="I543" s="300"/>
      <c r="J543" s="520">
        <f>F543+500</f>
        <v>13010</v>
      </c>
      <c r="K543" s="255">
        <f t="shared" ref="K543" si="1500">+J543*$X$1</f>
        <v>13010</v>
      </c>
      <c r="L543" s="520">
        <f t="shared" si="1481"/>
        <v>12950</v>
      </c>
      <c r="M543" s="255">
        <f t="shared" si="1493"/>
        <v>12950</v>
      </c>
      <c r="N543" s="520">
        <f t="shared" si="1483"/>
        <v>12900</v>
      </c>
      <c r="O543" s="255">
        <f t="shared" si="1494"/>
        <v>12900</v>
      </c>
      <c r="P543" s="520">
        <f t="shared" si="1485"/>
        <v>12860</v>
      </c>
      <c r="Q543" s="255">
        <f t="shared" si="1495"/>
        <v>12860</v>
      </c>
      <c r="R543" s="520">
        <f t="shared" si="1487"/>
        <v>12830</v>
      </c>
      <c r="S543" s="255">
        <f t="shared" si="1496"/>
        <v>12830</v>
      </c>
      <c r="T543" s="520">
        <f t="shared" si="1489"/>
        <v>12800</v>
      </c>
      <c r="U543" s="255">
        <f t="shared" si="1497"/>
        <v>12800</v>
      </c>
      <c r="V543" s="520">
        <f t="shared" si="1491"/>
        <v>12770</v>
      </c>
      <c r="W543" s="255">
        <f t="shared" si="1498"/>
        <v>12770</v>
      </c>
      <c r="X543" s="133"/>
      <c r="Y543" s="119"/>
      <c r="Z543" s="119"/>
      <c r="AA543" s="119"/>
      <c r="AB543" s="178" t="s">
        <v>769</v>
      </c>
    </row>
    <row r="544" spans="1:31" ht="12.6" customHeight="1" x14ac:dyDescent="0.2">
      <c r="A544" s="17"/>
      <c r="B544" s="647" t="s">
        <v>1007</v>
      </c>
      <c r="C544" s="648"/>
      <c r="D544" s="648"/>
      <c r="E544" s="648"/>
      <c r="F544" s="256">
        <v>7750</v>
      </c>
      <c r="G544" s="256">
        <f>+F544*$X$1</f>
        <v>7750</v>
      </c>
      <c r="H544" s="250"/>
      <c r="I544" s="301"/>
      <c r="J544" s="528">
        <f>F544+66</f>
        <v>7816</v>
      </c>
      <c r="K544" s="256"/>
      <c r="L544" s="528">
        <f t="shared" si="1481"/>
        <v>8190</v>
      </c>
      <c r="M544" s="256">
        <f t="shared" ref="M544:M545" si="1501">+L544*$X$1</f>
        <v>8190</v>
      </c>
      <c r="N544" s="528">
        <f t="shared" si="1483"/>
        <v>8140</v>
      </c>
      <c r="O544" s="256">
        <f t="shared" ref="O544:O545" si="1502">+N544*$X$1</f>
        <v>8140</v>
      </c>
      <c r="P544" s="528">
        <f t="shared" si="1485"/>
        <v>8100</v>
      </c>
      <c r="Q544" s="256">
        <f t="shared" ref="Q544:Q545" si="1503">+P544*$X$1</f>
        <v>8100</v>
      </c>
      <c r="R544" s="528">
        <f t="shared" si="1487"/>
        <v>8070</v>
      </c>
      <c r="S544" s="256">
        <f t="shared" ref="S544:S545" si="1504">+R544*$X$1</f>
        <v>8070</v>
      </c>
      <c r="T544" s="528">
        <f t="shared" si="1489"/>
        <v>8040</v>
      </c>
      <c r="U544" s="256">
        <f t="shared" ref="U544:U545" si="1505">+T544*$X$1</f>
        <v>8040</v>
      </c>
      <c r="V544" s="528">
        <f t="shared" si="1491"/>
        <v>8010</v>
      </c>
      <c r="W544" s="256">
        <f t="shared" ref="W544:W545" si="1506">+V544*$X$1</f>
        <v>8010</v>
      </c>
      <c r="X544" s="133"/>
      <c r="Y544" s="119"/>
      <c r="Z544" s="119"/>
      <c r="AA544" s="119"/>
      <c r="AB544" s="178" t="s">
        <v>245</v>
      </c>
    </row>
    <row r="545" spans="1:34" ht="12.6" customHeight="1" x14ac:dyDescent="0.2">
      <c r="A545" s="17"/>
      <c r="B545" s="654" t="s">
        <v>1008</v>
      </c>
      <c r="C545" s="655"/>
      <c r="D545" s="655"/>
      <c r="E545" s="655"/>
      <c r="F545" s="255">
        <v>8460</v>
      </c>
      <c r="G545" s="255">
        <f>+F545*$X$1</f>
        <v>8460</v>
      </c>
      <c r="H545" s="251"/>
      <c r="I545" s="300"/>
      <c r="J545" s="520">
        <f>F545+80</f>
        <v>8540</v>
      </c>
      <c r="K545" s="255"/>
      <c r="L545" s="520">
        <f t="shared" si="1481"/>
        <v>8900</v>
      </c>
      <c r="M545" s="255">
        <f t="shared" si="1501"/>
        <v>8900</v>
      </c>
      <c r="N545" s="520">
        <f t="shared" si="1483"/>
        <v>8850</v>
      </c>
      <c r="O545" s="255">
        <f t="shared" si="1502"/>
        <v>8850</v>
      </c>
      <c r="P545" s="520">
        <f t="shared" si="1485"/>
        <v>8810</v>
      </c>
      <c r="Q545" s="255">
        <f t="shared" si="1503"/>
        <v>8810</v>
      </c>
      <c r="R545" s="520">
        <f t="shared" si="1487"/>
        <v>8780</v>
      </c>
      <c r="S545" s="255">
        <f t="shared" si="1504"/>
        <v>8780</v>
      </c>
      <c r="T545" s="520">
        <f t="shared" si="1489"/>
        <v>8750</v>
      </c>
      <c r="U545" s="255">
        <f t="shared" si="1505"/>
        <v>8750</v>
      </c>
      <c r="V545" s="520">
        <f t="shared" si="1491"/>
        <v>8720</v>
      </c>
      <c r="W545" s="255">
        <f t="shared" si="1506"/>
        <v>8720</v>
      </c>
      <c r="X545" s="133"/>
      <c r="Y545" s="119"/>
      <c r="Z545" s="119"/>
      <c r="AA545" s="119"/>
      <c r="AB545" s="178" t="s">
        <v>246</v>
      </c>
    </row>
    <row r="546" spans="1:34" ht="12.6" customHeight="1" x14ac:dyDescent="0.25">
      <c r="A546" s="17"/>
      <c r="B546" s="647" t="s">
        <v>292</v>
      </c>
      <c r="C546" s="648"/>
      <c r="D546" s="648"/>
      <c r="E546" s="648"/>
      <c r="F546" s="256">
        <v>6050</v>
      </c>
      <c r="G546" s="256">
        <f>+F546*$X$1</f>
        <v>6050</v>
      </c>
      <c r="H546" s="528">
        <f>F546+800</f>
        <v>6850</v>
      </c>
      <c r="I546" s="256">
        <f t="shared" ref="I546" si="1507">+H546*$X$1</f>
        <v>6850</v>
      </c>
      <c r="J546" s="528">
        <f t="shared" ref="J546:J551" si="1508">F546+450</f>
        <v>6500</v>
      </c>
      <c r="K546" s="256">
        <f t="shared" ref="K546" si="1509">+J546*$X$1</f>
        <v>6500</v>
      </c>
      <c r="L546" s="528">
        <f t="shared" ref="L546:L551" si="1510">F546+400</f>
        <v>6450</v>
      </c>
      <c r="M546" s="256">
        <f t="shared" si="1482"/>
        <v>6450</v>
      </c>
      <c r="N546" s="528">
        <f>F546+350</f>
        <v>6400</v>
      </c>
      <c r="O546" s="256">
        <f t="shared" ref="O546" si="1511">+N546*$X$1</f>
        <v>6400</v>
      </c>
      <c r="P546" s="528">
        <f>F546+320</f>
        <v>6370</v>
      </c>
      <c r="Q546" s="256">
        <f t="shared" ref="Q546" si="1512">+P546*$X$1</f>
        <v>6370</v>
      </c>
      <c r="R546" s="528">
        <f>F546+290</f>
        <v>6340</v>
      </c>
      <c r="S546" s="256">
        <f t="shared" ref="S546" si="1513">+R546*$X$1</f>
        <v>6340</v>
      </c>
      <c r="T546" s="528">
        <f>F546+260</f>
        <v>6310</v>
      </c>
      <c r="U546" s="256">
        <f t="shared" ref="U546" si="1514">+T546*$X$1</f>
        <v>6310</v>
      </c>
      <c r="V546" s="528">
        <f>F546+230</f>
        <v>6280</v>
      </c>
      <c r="W546" s="256">
        <f t="shared" ref="W546" si="1515">+V546*$X$1</f>
        <v>6280</v>
      </c>
      <c r="X546" s="937"/>
      <c r="Y546" s="938"/>
      <c r="Z546" s="938"/>
      <c r="AA546" s="938"/>
      <c r="AB546" s="178" t="s">
        <v>247</v>
      </c>
    </row>
    <row r="547" spans="1:34" ht="12.6" customHeight="1" x14ac:dyDescent="0.25">
      <c r="A547" s="17"/>
      <c r="B547" s="949" t="s">
        <v>451</v>
      </c>
      <c r="C547" s="677"/>
      <c r="D547" s="677"/>
      <c r="E547" s="678"/>
      <c r="F547" s="255">
        <v>4290</v>
      </c>
      <c r="G547" s="255">
        <f t="shared" ref="G547" si="1516">+F547*$X$1</f>
        <v>4290</v>
      </c>
      <c r="H547" s="520">
        <f>F547+800</f>
        <v>5090</v>
      </c>
      <c r="I547" s="255">
        <f t="shared" ref="I547:I548" si="1517">+H547*$X$1</f>
        <v>5090</v>
      </c>
      <c r="J547" s="520">
        <f t="shared" si="1508"/>
        <v>4740</v>
      </c>
      <c r="K547" s="255">
        <f t="shared" ref="K547:K548" si="1518">+J547*$X$1</f>
        <v>4740</v>
      </c>
      <c r="L547" s="520">
        <f t="shared" si="1510"/>
        <v>4690</v>
      </c>
      <c r="M547" s="255">
        <f t="shared" ref="M547:M548" si="1519">+L547*$X$1</f>
        <v>4690</v>
      </c>
      <c r="N547" s="520">
        <f>F547+350</f>
        <v>4640</v>
      </c>
      <c r="O547" s="255">
        <f t="shared" ref="O547" si="1520">+N547*$X$1</f>
        <v>4640</v>
      </c>
      <c r="P547" s="520">
        <f>F547+320</f>
        <v>4610</v>
      </c>
      <c r="Q547" s="255">
        <f t="shared" ref="Q547" si="1521">+P547*$X$1</f>
        <v>4610</v>
      </c>
      <c r="R547" s="520">
        <f>F547+290</f>
        <v>4580</v>
      </c>
      <c r="S547" s="255">
        <f t="shared" ref="S547" si="1522">+R547*$X$1</f>
        <v>4580</v>
      </c>
      <c r="T547" s="520">
        <f>F547+260</f>
        <v>4550</v>
      </c>
      <c r="U547" s="255">
        <f t="shared" ref="U547" si="1523">+T547*$X$1</f>
        <v>4550</v>
      </c>
      <c r="V547" s="520">
        <f>F547+230</f>
        <v>4520</v>
      </c>
      <c r="W547" s="255">
        <f t="shared" ref="W547" si="1524">+V547*$X$1</f>
        <v>4520</v>
      </c>
      <c r="X547" s="937"/>
      <c r="Y547" s="938"/>
      <c r="Z547" s="938"/>
      <c r="AA547" s="938"/>
      <c r="AB547" s="178" t="s">
        <v>387</v>
      </c>
    </row>
    <row r="548" spans="1:34" ht="12.6" customHeight="1" x14ac:dyDescent="0.2">
      <c r="A548" s="17"/>
      <c r="B548" s="691" t="s">
        <v>339</v>
      </c>
      <c r="C548" s="692"/>
      <c r="D548" s="692"/>
      <c r="E548" s="692"/>
      <c r="F548" s="447">
        <v>2700</v>
      </c>
      <c r="G548" s="447">
        <f>+F548*$X$1</f>
        <v>2700</v>
      </c>
      <c r="H548" s="617">
        <f>F548+800</f>
        <v>3500</v>
      </c>
      <c r="I548" s="447">
        <f t="shared" si="1517"/>
        <v>3500</v>
      </c>
      <c r="J548" s="617">
        <f t="shared" si="1508"/>
        <v>3150</v>
      </c>
      <c r="K548" s="447">
        <f t="shared" si="1518"/>
        <v>3150</v>
      </c>
      <c r="L548" s="617">
        <f t="shared" si="1510"/>
        <v>3100</v>
      </c>
      <c r="M548" s="447">
        <f t="shared" si="1519"/>
        <v>3100</v>
      </c>
      <c r="N548" s="617"/>
      <c r="O548" s="447"/>
      <c r="P548" s="617"/>
      <c r="Q548" s="447"/>
      <c r="R548" s="617"/>
      <c r="S548" s="447"/>
      <c r="T548" s="617"/>
      <c r="U548" s="447"/>
      <c r="V548" s="617"/>
      <c r="W548" s="447"/>
      <c r="X548" s="934"/>
      <c r="Y548" s="935"/>
      <c r="Z548" s="935"/>
      <c r="AA548" s="936"/>
      <c r="AB548" s="178" t="s">
        <v>248</v>
      </c>
    </row>
    <row r="549" spans="1:34" ht="12.6" customHeight="1" x14ac:dyDescent="0.25">
      <c r="A549" s="17"/>
      <c r="B549" s="643" t="s">
        <v>718</v>
      </c>
      <c r="C549" s="940"/>
      <c r="D549" s="940"/>
      <c r="E549" s="940"/>
      <c r="F549" s="255">
        <v>3980</v>
      </c>
      <c r="G549" s="255">
        <f t="shared" ref="G549:G551" si="1525">+F549*$X$1</f>
        <v>3980</v>
      </c>
      <c r="H549" s="520">
        <f>F549+800</f>
        <v>4780</v>
      </c>
      <c r="I549" s="255">
        <f t="shared" ref="I549:I550" si="1526">+H549*$X$1</f>
        <v>4780</v>
      </c>
      <c r="J549" s="520">
        <f t="shared" si="1508"/>
        <v>4430</v>
      </c>
      <c r="K549" s="255">
        <f t="shared" ref="K549:K554" si="1527">+J549*$X$1</f>
        <v>4430</v>
      </c>
      <c r="L549" s="520">
        <f t="shared" si="1510"/>
        <v>4380</v>
      </c>
      <c r="M549" s="255">
        <f t="shared" ref="M549:M551" si="1528">+L549*$X$1</f>
        <v>4380</v>
      </c>
      <c r="N549" s="520">
        <f>F549+350</f>
        <v>4330</v>
      </c>
      <c r="O549" s="255">
        <f t="shared" ref="O549:O551" si="1529">+N549*$X$1</f>
        <v>4330</v>
      </c>
      <c r="P549" s="520">
        <f>F549+320</f>
        <v>4300</v>
      </c>
      <c r="Q549" s="255">
        <f t="shared" ref="Q549:Q551" si="1530">+P549*$X$1</f>
        <v>4300</v>
      </c>
      <c r="R549" s="520">
        <f>F549+290</f>
        <v>4270</v>
      </c>
      <c r="S549" s="255">
        <f t="shared" ref="S549:S551" si="1531">+R549*$X$1</f>
        <v>4270</v>
      </c>
      <c r="T549" s="520">
        <f>F549+260</f>
        <v>4240</v>
      </c>
      <c r="U549" s="255">
        <f t="shared" ref="U549:U551" si="1532">+T549*$X$1</f>
        <v>4240</v>
      </c>
      <c r="V549" s="520">
        <f>F549+230</f>
        <v>4210</v>
      </c>
      <c r="W549" s="255">
        <f t="shared" ref="W549:W551" si="1533">+V549*$X$1</f>
        <v>4210</v>
      </c>
      <c r="X549" s="937"/>
      <c r="Y549" s="938"/>
      <c r="Z549" s="938"/>
      <c r="AA549" s="938"/>
      <c r="AB549" s="178" t="s">
        <v>249</v>
      </c>
    </row>
    <row r="550" spans="1:34" ht="12.6" customHeight="1" x14ac:dyDescent="0.25">
      <c r="A550" s="17"/>
      <c r="B550" s="939" t="s">
        <v>480</v>
      </c>
      <c r="C550" s="641"/>
      <c r="D550" s="641"/>
      <c r="E550" s="642"/>
      <c r="F550" s="258">
        <v>4290</v>
      </c>
      <c r="G550" s="256">
        <f>+F550*$X$1</f>
        <v>4290</v>
      </c>
      <c r="H550" s="528">
        <f>F550+800</f>
        <v>5090</v>
      </c>
      <c r="I550" s="256">
        <f t="shared" si="1526"/>
        <v>5090</v>
      </c>
      <c r="J550" s="528">
        <f t="shared" si="1508"/>
        <v>4740</v>
      </c>
      <c r="K550" s="256">
        <f t="shared" si="1527"/>
        <v>4740</v>
      </c>
      <c r="L550" s="528">
        <f t="shared" si="1510"/>
        <v>4690</v>
      </c>
      <c r="M550" s="256">
        <f t="shared" si="1528"/>
        <v>4690</v>
      </c>
      <c r="N550" s="528">
        <f>F550+350</f>
        <v>4640</v>
      </c>
      <c r="O550" s="256">
        <f t="shared" si="1529"/>
        <v>4640</v>
      </c>
      <c r="P550" s="528">
        <f>F550+320</f>
        <v>4610</v>
      </c>
      <c r="Q550" s="256">
        <f t="shared" si="1530"/>
        <v>4610</v>
      </c>
      <c r="R550" s="528">
        <f>F550+290</f>
        <v>4580</v>
      </c>
      <c r="S550" s="256">
        <f t="shared" si="1531"/>
        <v>4580</v>
      </c>
      <c r="T550" s="528">
        <f>F550+260</f>
        <v>4550</v>
      </c>
      <c r="U550" s="256">
        <f t="shared" si="1532"/>
        <v>4550</v>
      </c>
      <c r="V550" s="528">
        <f>F550+230</f>
        <v>4520</v>
      </c>
      <c r="W550" s="256">
        <f t="shared" si="1533"/>
        <v>4520</v>
      </c>
      <c r="X550" s="937"/>
      <c r="Y550" s="938"/>
      <c r="Z550" s="938"/>
      <c r="AA550" s="938"/>
      <c r="AB550" s="178" t="s">
        <v>1036</v>
      </c>
    </row>
    <row r="551" spans="1:34" ht="12.6" customHeight="1" x14ac:dyDescent="0.25">
      <c r="A551" s="17"/>
      <c r="B551" s="654" t="s">
        <v>291</v>
      </c>
      <c r="C551" s="655"/>
      <c r="D551" s="655"/>
      <c r="E551" s="655"/>
      <c r="F551" s="289">
        <v>7100</v>
      </c>
      <c r="G551" s="255">
        <f t="shared" si="1525"/>
        <v>7100</v>
      </c>
      <c r="H551" s="520"/>
      <c r="I551" s="255"/>
      <c r="J551" s="520">
        <f t="shared" si="1508"/>
        <v>7550</v>
      </c>
      <c r="K551" s="255">
        <f t="shared" si="1527"/>
        <v>7550</v>
      </c>
      <c r="L551" s="520">
        <f t="shared" si="1510"/>
        <v>7500</v>
      </c>
      <c r="M551" s="255">
        <f t="shared" si="1528"/>
        <v>7500</v>
      </c>
      <c r="N551" s="520">
        <f>F551+350</f>
        <v>7450</v>
      </c>
      <c r="O551" s="255">
        <f t="shared" si="1529"/>
        <v>7450</v>
      </c>
      <c r="P551" s="520">
        <f>F551+320</f>
        <v>7420</v>
      </c>
      <c r="Q551" s="255">
        <f t="shared" si="1530"/>
        <v>7420</v>
      </c>
      <c r="R551" s="520">
        <f>F551+290</f>
        <v>7390</v>
      </c>
      <c r="S551" s="255">
        <f t="shared" si="1531"/>
        <v>7390</v>
      </c>
      <c r="T551" s="520">
        <f>F551+260</f>
        <v>7360</v>
      </c>
      <c r="U551" s="255">
        <f t="shared" si="1532"/>
        <v>7360</v>
      </c>
      <c r="V551" s="520">
        <f>F551+230</f>
        <v>7330</v>
      </c>
      <c r="W551" s="255">
        <f t="shared" si="1533"/>
        <v>7330</v>
      </c>
      <c r="X551" s="937"/>
      <c r="Y551" s="938"/>
      <c r="Z551" s="938"/>
      <c r="AA551" s="938"/>
      <c r="AB551" s="178" t="s">
        <v>250</v>
      </c>
    </row>
    <row r="552" spans="1:34" ht="12.6" customHeight="1" x14ac:dyDescent="0.2">
      <c r="A552" s="17"/>
      <c r="B552" s="647" t="s">
        <v>662</v>
      </c>
      <c r="C552" s="929"/>
      <c r="D552" s="929"/>
      <c r="E552" s="929"/>
      <c r="F552" s="256">
        <v>17130</v>
      </c>
      <c r="G552" s="256">
        <f>+F552*$X$1</f>
        <v>17130</v>
      </c>
      <c r="H552" s="528"/>
      <c r="I552" s="256"/>
      <c r="J552" s="528">
        <f>F552+500</f>
        <v>17630</v>
      </c>
      <c r="K552" s="256">
        <f t="shared" si="1527"/>
        <v>17630</v>
      </c>
      <c r="L552" s="528">
        <f>F552+440</f>
        <v>17570</v>
      </c>
      <c r="M552" s="256">
        <f t="shared" si="1482"/>
        <v>17570</v>
      </c>
      <c r="N552" s="528">
        <f>F552+390</f>
        <v>17520</v>
      </c>
      <c r="O552" s="256">
        <f t="shared" ref="O552:O554" si="1534">+N552*$X$1</f>
        <v>17520</v>
      </c>
      <c r="P552" s="528">
        <f>F552+350</f>
        <v>17480</v>
      </c>
      <c r="Q552" s="256">
        <f t="shared" ref="Q552:Q554" si="1535">+P552*$X$1</f>
        <v>17480</v>
      </c>
      <c r="R552" s="528">
        <f>F552+320</f>
        <v>17450</v>
      </c>
      <c r="S552" s="256">
        <f t="shared" ref="S552:S554" si="1536">+R552*$X$1</f>
        <v>17450</v>
      </c>
      <c r="T552" s="528">
        <f>F552+290</f>
        <v>17420</v>
      </c>
      <c r="U552" s="256">
        <f t="shared" ref="U552:U554" si="1537">+T552*$X$1</f>
        <v>17420</v>
      </c>
      <c r="V552" s="528">
        <f>F552+260</f>
        <v>17390</v>
      </c>
      <c r="W552" s="256">
        <f t="shared" ref="W552:W554" si="1538">+V552*$X$1</f>
        <v>17390</v>
      </c>
      <c r="X552" s="134"/>
      <c r="Y552" s="122"/>
      <c r="Z552" s="122"/>
      <c r="AA552" s="125"/>
      <c r="AB552" s="178" t="s">
        <v>251</v>
      </c>
    </row>
    <row r="553" spans="1:34" ht="12.6" customHeight="1" x14ac:dyDescent="0.2">
      <c r="A553" s="17"/>
      <c r="B553" s="654" t="s">
        <v>663</v>
      </c>
      <c r="C553" s="928"/>
      <c r="D553" s="928"/>
      <c r="E553" s="928"/>
      <c r="F553" s="255">
        <v>19100</v>
      </c>
      <c r="G553" s="255">
        <f t="shared" ref="G553" si="1539">+F553*$X$1</f>
        <v>19100</v>
      </c>
      <c r="H553" s="520"/>
      <c r="I553" s="255"/>
      <c r="J553" s="520">
        <f>F553+500</f>
        <v>19600</v>
      </c>
      <c r="K553" s="255">
        <f t="shared" si="1527"/>
        <v>19600</v>
      </c>
      <c r="L553" s="520">
        <f>F553+440</f>
        <v>19540</v>
      </c>
      <c r="M553" s="255">
        <f t="shared" si="1482"/>
        <v>19540</v>
      </c>
      <c r="N553" s="520">
        <f>F553+390</f>
        <v>19490</v>
      </c>
      <c r="O553" s="255">
        <f t="shared" si="1534"/>
        <v>19490</v>
      </c>
      <c r="P553" s="520">
        <f>F553+350</f>
        <v>19450</v>
      </c>
      <c r="Q553" s="255">
        <f t="shared" si="1535"/>
        <v>19450</v>
      </c>
      <c r="R553" s="520">
        <f>F553+320</f>
        <v>19420</v>
      </c>
      <c r="S553" s="255">
        <f t="shared" si="1536"/>
        <v>19420</v>
      </c>
      <c r="T553" s="520">
        <f>F553+290</f>
        <v>19390</v>
      </c>
      <c r="U553" s="255">
        <f t="shared" si="1537"/>
        <v>19390</v>
      </c>
      <c r="V553" s="520">
        <f>F553+260</f>
        <v>19360</v>
      </c>
      <c r="W553" s="255">
        <f t="shared" si="1538"/>
        <v>19360</v>
      </c>
      <c r="X553" s="134"/>
      <c r="Y553" s="122"/>
      <c r="Z553" s="122"/>
      <c r="AA553" s="125"/>
      <c r="AB553" s="178" t="s">
        <v>252</v>
      </c>
    </row>
    <row r="554" spans="1:34" ht="12.6" customHeight="1" x14ac:dyDescent="0.2">
      <c r="A554" s="17"/>
      <c r="B554" s="647" t="s">
        <v>787</v>
      </c>
      <c r="C554" s="929"/>
      <c r="D554" s="929"/>
      <c r="E554" s="929"/>
      <c r="F554" s="322">
        <f>9.22*X2</f>
        <v>14198.800000000001</v>
      </c>
      <c r="G554" s="256">
        <f t="shared" ref="G554" si="1540">+F554*$X$1</f>
        <v>14198.800000000001</v>
      </c>
      <c r="H554" s="528">
        <f>F554+900</f>
        <v>15098.800000000001</v>
      </c>
      <c r="I554" s="256">
        <f>+H554*$X$1</f>
        <v>15098.800000000001</v>
      </c>
      <c r="J554" s="528">
        <f>F554+500</f>
        <v>14698.800000000001</v>
      </c>
      <c r="K554" s="256">
        <f t="shared" si="1527"/>
        <v>14698.800000000001</v>
      </c>
      <c r="L554" s="528">
        <f>F554+440</f>
        <v>14638.800000000001</v>
      </c>
      <c r="M554" s="256">
        <f t="shared" si="1482"/>
        <v>14638.800000000001</v>
      </c>
      <c r="N554" s="528">
        <f>F554+390</f>
        <v>14588.800000000001</v>
      </c>
      <c r="O554" s="256">
        <f t="shared" si="1534"/>
        <v>14588.800000000001</v>
      </c>
      <c r="P554" s="528">
        <f>F554+350</f>
        <v>14548.800000000001</v>
      </c>
      <c r="Q554" s="256">
        <f t="shared" si="1535"/>
        <v>14548.800000000001</v>
      </c>
      <c r="R554" s="528">
        <f>F554+320</f>
        <v>14518.800000000001</v>
      </c>
      <c r="S554" s="256">
        <f t="shared" si="1536"/>
        <v>14518.800000000001</v>
      </c>
      <c r="T554" s="528">
        <f>F554+290</f>
        <v>14488.800000000001</v>
      </c>
      <c r="U554" s="256">
        <f t="shared" si="1537"/>
        <v>14488.800000000001</v>
      </c>
      <c r="V554" s="528">
        <f>F554+260</f>
        <v>14458.800000000001</v>
      </c>
      <c r="W554" s="256">
        <f t="shared" si="1538"/>
        <v>14458.800000000001</v>
      </c>
      <c r="X554" s="134"/>
      <c r="Y554" s="122"/>
      <c r="Z554" s="122"/>
      <c r="AA554" s="125"/>
      <c r="AB554" s="178" t="s">
        <v>788</v>
      </c>
    </row>
    <row r="555" spans="1:34" ht="12" customHeight="1" x14ac:dyDescent="0.2">
      <c r="A555" s="94"/>
      <c r="B555" s="212"/>
      <c r="C555" s="59"/>
      <c r="D555" s="59"/>
      <c r="E555" s="59"/>
      <c r="F555" s="117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213"/>
      <c r="Y555" s="214"/>
      <c r="Z555" s="214"/>
      <c r="AA555" s="213"/>
      <c r="AB555" s="36"/>
      <c r="AC555" s="62"/>
    </row>
    <row r="556" spans="1:34" ht="12" customHeight="1" x14ac:dyDescent="0.2">
      <c r="A556" s="94"/>
      <c r="B556" s="212"/>
      <c r="C556" s="59"/>
      <c r="D556" s="59"/>
      <c r="E556" s="59"/>
      <c r="F556" s="117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213"/>
      <c r="Y556" s="214"/>
      <c r="Z556" s="214"/>
      <c r="AA556" s="213"/>
      <c r="AB556" s="36"/>
      <c r="AC556" s="62"/>
    </row>
    <row r="557" spans="1:34" ht="12" customHeight="1" x14ac:dyDescent="0.2">
      <c r="A557" s="94"/>
      <c r="B557" s="212"/>
      <c r="C557" s="59"/>
      <c r="D557" s="59"/>
      <c r="E557" s="59"/>
      <c r="F557" s="117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213"/>
      <c r="Y557" s="214"/>
      <c r="Z557" s="214"/>
      <c r="AA557" s="213"/>
      <c r="AB557" s="36"/>
      <c r="AC557" s="62"/>
    </row>
    <row r="558" spans="1:34" ht="15.75" customHeight="1" x14ac:dyDescent="0.2">
      <c r="A558" s="17"/>
      <c r="B558" s="679" t="s">
        <v>11</v>
      </c>
      <c r="C558" s="708" t="s">
        <v>12</v>
      </c>
      <c r="D558" s="709"/>
      <c r="E558" s="709"/>
      <c r="F558" s="674" t="s">
        <v>13</v>
      </c>
      <c r="G558" s="674" t="s">
        <v>13</v>
      </c>
      <c r="H558" s="670" t="s">
        <v>701</v>
      </c>
      <c r="I558" s="670"/>
      <c r="J558" s="671"/>
      <c r="K558" s="671"/>
      <c r="L558" s="671"/>
      <c r="M558" s="671"/>
      <c r="N558" s="671"/>
      <c r="O558" s="671"/>
      <c r="P558" s="671"/>
      <c r="Q558" s="671"/>
      <c r="R558" s="671"/>
      <c r="S558" s="671"/>
      <c r="T558" s="671"/>
      <c r="U558" s="671"/>
      <c r="V558" s="671"/>
      <c r="W558" s="671"/>
      <c r="X558" s="752" t="s">
        <v>14</v>
      </c>
      <c r="Y558" s="752"/>
      <c r="Z558" s="752"/>
      <c r="AA558" s="752"/>
      <c r="AB558" s="1174" t="s">
        <v>15</v>
      </c>
      <c r="AE558" s="61"/>
      <c r="AF558" s="759" t="s">
        <v>3</v>
      </c>
      <c r="AG558" s="760"/>
      <c r="AH558" s="760"/>
    </row>
    <row r="559" spans="1:34" ht="12" customHeight="1" x14ac:dyDescent="0.2">
      <c r="A559" s="17"/>
      <c r="B559" s="679"/>
      <c r="C559" s="709"/>
      <c r="D559" s="709"/>
      <c r="E559" s="709"/>
      <c r="F559" s="675"/>
      <c r="G559" s="675"/>
      <c r="H559" s="404"/>
      <c r="I559" s="396" t="s">
        <v>260</v>
      </c>
      <c r="J559" s="398"/>
      <c r="K559" s="396" t="s">
        <v>17</v>
      </c>
      <c r="L559" s="399"/>
      <c r="M559" s="399" t="s">
        <v>18</v>
      </c>
      <c r="N559" s="399"/>
      <c r="O559" s="396" t="s">
        <v>19</v>
      </c>
      <c r="P559" s="399"/>
      <c r="Q559" s="399" t="s">
        <v>261</v>
      </c>
      <c r="R559" s="399"/>
      <c r="S559" s="399" t="s">
        <v>20</v>
      </c>
      <c r="T559" s="399"/>
      <c r="U559" s="399" t="s">
        <v>21</v>
      </c>
      <c r="V559" s="399"/>
      <c r="W559" s="399" t="s">
        <v>22</v>
      </c>
      <c r="X559" s="752"/>
      <c r="Y559" s="752"/>
      <c r="Z559" s="752"/>
      <c r="AA559" s="752"/>
      <c r="AB559" s="1174"/>
    </row>
    <row r="560" spans="1:34" ht="12.6" customHeight="1" x14ac:dyDescent="0.2">
      <c r="A560" s="17"/>
      <c r="B560" s="654" t="s">
        <v>789</v>
      </c>
      <c r="C560" s="928"/>
      <c r="D560" s="928"/>
      <c r="E560" s="928"/>
      <c r="F560" s="321">
        <f>9.4*X2</f>
        <v>14476</v>
      </c>
      <c r="G560" s="255">
        <f t="shared" ref="G560" si="1541">+F560*$X$1</f>
        <v>14476</v>
      </c>
      <c r="H560" s="520">
        <f>F560+900</f>
        <v>15376</v>
      </c>
      <c r="I560" s="255">
        <f t="shared" ref="I560" si="1542">+H560*$X$1</f>
        <v>15376</v>
      </c>
      <c r="J560" s="520">
        <f>F560+500</f>
        <v>14976</v>
      </c>
      <c r="K560" s="255">
        <f>+J560*$X$1</f>
        <v>14976</v>
      </c>
      <c r="L560" s="520">
        <f>F560+440</f>
        <v>14916</v>
      </c>
      <c r="M560" s="255">
        <f>+L560*$X$1</f>
        <v>14916</v>
      </c>
      <c r="N560" s="520">
        <f>F560+390</f>
        <v>14866</v>
      </c>
      <c r="O560" s="255">
        <f>+N560*$X$1</f>
        <v>14866</v>
      </c>
      <c r="P560" s="520">
        <f>F560+350</f>
        <v>14826</v>
      </c>
      <c r="Q560" s="255">
        <f>+P560*$X$1</f>
        <v>14826</v>
      </c>
      <c r="R560" s="520">
        <f>F560+320</f>
        <v>14796</v>
      </c>
      <c r="S560" s="255">
        <f>+R560*$X$1</f>
        <v>14796</v>
      </c>
      <c r="T560" s="520">
        <f>F560+290</f>
        <v>14766</v>
      </c>
      <c r="U560" s="255">
        <f>+T560*$X$1</f>
        <v>14766</v>
      </c>
      <c r="V560" s="520">
        <f>F560+260</f>
        <v>14736</v>
      </c>
      <c r="W560" s="255">
        <f>+V560*$X$1</f>
        <v>14736</v>
      </c>
      <c r="X560" s="134"/>
      <c r="Y560" s="122"/>
      <c r="Z560" s="122"/>
      <c r="AA560" s="125"/>
      <c r="AB560" s="178" t="s">
        <v>790</v>
      </c>
    </row>
    <row r="561" spans="1:34" ht="12.6" customHeight="1" x14ac:dyDescent="0.2">
      <c r="A561" s="17"/>
      <c r="B561" s="647" t="s">
        <v>253</v>
      </c>
      <c r="C561" s="648"/>
      <c r="D561" s="648"/>
      <c r="E561" s="648"/>
      <c r="F561" s="256">
        <v>10160</v>
      </c>
      <c r="G561" s="256">
        <f>+F561*$X$1</f>
        <v>10160</v>
      </c>
      <c r="H561" s="528"/>
      <c r="I561" s="256"/>
      <c r="J561" s="528">
        <f>F561+500</f>
        <v>10660</v>
      </c>
      <c r="K561" s="256">
        <f>+J561*$X$1</f>
        <v>10660</v>
      </c>
      <c r="L561" s="528">
        <f>F561+440</f>
        <v>10600</v>
      </c>
      <c r="M561" s="256">
        <f>+L561*$X$1</f>
        <v>10600</v>
      </c>
      <c r="N561" s="528">
        <f>F561+390</f>
        <v>10550</v>
      </c>
      <c r="O561" s="256">
        <f t="shared" ref="O561" si="1543">+N561*$X$1</f>
        <v>10550</v>
      </c>
      <c r="P561" s="528">
        <f>F561+350</f>
        <v>10510</v>
      </c>
      <c r="Q561" s="256">
        <f t="shared" ref="Q561" si="1544">+P561*$X$1</f>
        <v>10510</v>
      </c>
      <c r="R561" s="528">
        <f>F561+320</f>
        <v>10480</v>
      </c>
      <c r="S561" s="256">
        <f t="shared" ref="S561" si="1545">+R561*$X$1</f>
        <v>10480</v>
      </c>
      <c r="T561" s="528">
        <f>F561+290</f>
        <v>10450</v>
      </c>
      <c r="U561" s="256">
        <f t="shared" ref="U561" si="1546">+T561*$X$1</f>
        <v>10450</v>
      </c>
      <c r="V561" s="528">
        <f>F561+260</f>
        <v>10420</v>
      </c>
      <c r="W561" s="256">
        <f t="shared" ref="W561" si="1547">+V561*$X$1</f>
        <v>10420</v>
      </c>
      <c r="X561" s="134"/>
      <c r="Y561" s="122"/>
      <c r="Z561" s="122"/>
      <c r="AA561" s="125"/>
      <c r="AB561" s="178" t="s">
        <v>254</v>
      </c>
    </row>
    <row r="562" spans="1:34" ht="12.6" customHeight="1" x14ac:dyDescent="0.2">
      <c r="A562" s="17"/>
      <c r="B562" s="654" t="s">
        <v>255</v>
      </c>
      <c r="C562" s="655"/>
      <c r="D562" s="655"/>
      <c r="E562" s="655"/>
      <c r="F562" s="255">
        <v>11120</v>
      </c>
      <c r="G562" s="255">
        <f t="shared" ref="G562:G569" si="1548">+F562*$X$1</f>
        <v>11120</v>
      </c>
      <c r="H562" s="520"/>
      <c r="I562" s="255"/>
      <c r="J562" s="520">
        <f>F562+500</f>
        <v>11620</v>
      </c>
      <c r="K562" s="255">
        <f t="shared" ref="K562:K565" si="1549">+J562*$X$1</f>
        <v>11620</v>
      </c>
      <c r="L562" s="520">
        <f>F562+440</f>
        <v>11560</v>
      </c>
      <c r="M562" s="255">
        <f t="shared" ref="M562:M565" si="1550">+L562*$X$1</f>
        <v>11560</v>
      </c>
      <c r="N562" s="520">
        <f>F562+390</f>
        <v>11510</v>
      </c>
      <c r="O562" s="255">
        <f t="shared" ref="O562:O565" si="1551">+N562*$X$1</f>
        <v>11510</v>
      </c>
      <c r="P562" s="520">
        <f>F562+350</f>
        <v>11470</v>
      </c>
      <c r="Q562" s="255">
        <f t="shared" ref="Q562:Q565" si="1552">+P562*$X$1</f>
        <v>11470</v>
      </c>
      <c r="R562" s="520">
        <f>F562+320</f>
        <v>11440</v>
      </c>
      <c r="S562" s="255">
        <f t="shared" ref="S562:S565" si="1553">+R562*$X$1</f>
        <v>11440</v>
      </c>
      <c r="T562" s="520">
        <f>F562+290</f>
        <v>11410</v>
      </c>
      <c r="U562" s="255">
        <f t="shared" ref="U562:U565" si="1554">+T562*$X$1</f>
        <v>11410</v>
      </c>
      <c r="V562" s="520">
        <f>F562+260</f>
        <v>11380</v>
      </c>
      <c r="W562" s="255">
        <f t="shared" ref="W562:W565" si="1555">+V562*$X$1</f>
        <v>11380</v>
      </c>
      <c r="X562" s="134"/>
      <c r="Y562" s="122"/>
      <c r="Z562" s="122"/>
      <c r="AA562" s="125"/>
      <c r="AB562" s="178" t="s">
        <v>256</v>
      </c>
    </row>
    <row r="563" spans="1:34" ht="12.6" customHeight="1" x14ac:dyDescent="0.2">
      <c r="A563" s="17"/>
      <c r="B563" s="647" t="s">
        <v>792</v>
      </c>
      <c r="C563" s="929"/>
      <c r="D563" s="929"/>
      <c r="E563" s="929"/>
      <c r="F563" s="288">
        <v>15200</v>
      </c>
      <c r="G563" s="256">
        <f t="shared" si="1548"/>
        <v>15200</v>
      </c>
      <c r="H563" s="528"/>
      <c r="I563" s="256"/>
      <c r="J563" s="528">
        <f>F563+500</f>
        <v>15700</v>
      </c>
      <c r="K563" s="256">
        <f t="shared" si="1549"/>
        <v>15700</v>
      </c>
      <c r="L563" s="528">
        <f>F563+440</f>
        <v>15640</v>
      </c>
      <c r="M563" s="256">
        <f t="shared" si="1550"/>
        <v>15640</v>
      </c>
      <c r="N563" s="528">
        <f>F563+390</f>
        <v>15590</v>
      </c>
      <c r="O563" s="256">
        <f t="shared" si="1551"/>
        <v>15590</v>
      </c>
      <c r="P563" s="528">
        <f>F563+350</f>
        <v>15550</v>
      </c>
      <c r="Q563" s="256">
        <f t="shared" si="1552"/>
        <v>15550</v>
      </c>
      <c r="R563" s="528">
        <f>F563+320</f>
        <v>15520</v>
      </c>
      <c r="S563" s="256">
        <f t="shared" si="1553"/>
        <v>15520</v>
      </c>
      <c r="T563" s="528">
        <f>F563+290</f>
        <v>15490</v>
      </c>
      <c r="U563" s="256">
        <f t="shared" si="1554"/>
        <v>15490</v>
      </c>
      <c r="V563" s="528">
        <f>F563+260</f>
        <v>15460</v>
      </c>
      <c r="W563" s="256">
        <f t="shared" si="1555"/>
        <v>15460</v>
      </c>
      <c r="X563" s="134"/>
      <c r="Y563" s="122"/>
      <c r="Z563" s="122"/>
      <c r="AA563" s="125"/>
      <c r="AB563" s="178" t="s">
        <v>791</v>
      </c>
    </row>
    <row r="564" spans="1:34" ht="12.6" customHeight="1" x14ac:dyDescent="0.2">
      <c r="A564" s="17"/>
      <c r="B564" s="691" t="s">
        <v>849</v>
      </c>
      <c r="C564" s="692"/>
      <c r="D564" s="692"/>
      <c r="E564" s="692"/>
      <c r="F564" s="451">
        <f>2.46*X2</f>
        <v>3788.4</v>
      </c>
      <c r="G564" s="447">
        <f t="shared" si="1548"/>
        <v>3788.4</v>
      </c>
      <c r="H564" s="520">
        <f>F564+800</f>
        <v>4588.3999999999996</v>
      </c>
      <c r="I564" s="255">
        <f t="shared" ref="I564:I565" si="1556">+H564*$X$1</f>
        <v>4588.3999999999996</v>
      </c>
      <c r="J564" s="520">
        <f t="shared" ref="J564:J565" si="1557">F564+450</f>
        <v>4238.3999999999996</v>
      </c>
      <c r="K564" s="255">
        <f t="shared" si="1549"/>
        <v>4238.3999999999996</v>
      </c>
      <c r="L564" s="520">
        <f t="shared" ref="L564:L565" si="1558">F564+400</f>
        <v>4188.3999999999996</v>
      </c>
      <c r="M564" s="255">
        <f t="shared" si="1550"/>
        <v>4188.3999999999996</v>
      </c>
      <c r="N564" s="520">
        <f>F564+350</f>
        <v>4138.3999999999996</v>
      </c>
      <c r="O564" s="255">
        <f t="shared" si="1551"/>
        <v>4138.3999999999996</v>
      </c>
      <c r="P564" s="520">
        <f>F564+320</f>
        <v>4108.3999999999996</v>
      </c>
      <c r="Q564" s="255">
        <f t="shared" si="1552"/>
        <v>4108.3999999999996</v>
      </c>
      <c r="R564" s="520">
        <f>F564+290</f>
        <v>4078.4</v>
      </c>
      <c r="S564" s="255">
        <f t="shared" si="1553"/>
        <v>4078.4</v>
      </c>
      <c r="T564" s="520">
        <f>F564+260</f>
        <v>4048.4</v>
      </c>
      <c r="U564" s="255">
        <f t="shared" si="1554"/>
        <v>4048.4</v>
      </c>
      <c r="V564" s="520">
        <f>F564+230</f>
        <v>4018.4</v>
      </c>
      <c r="W564" s="255">
        <f t="shared" si="1555"/>
        <v>4018.4</v>
      </c>
      <c r="X564" s="934"/>
      <c r="Y564" s="935"/>
      <c r="Z564" s="935"/>
      <c r="AA564" s="936"/>
      <c r="AB564" s="178" t="s">
        <v>829</v>
      </c>
    </row>
    <row r="565" spans="1:34" ht="12.6" customHeight="1" x14ac:dyDescent="0.2">
      <c r="A565" s="17"/>
      <c r="B565" s="647" t="s">
        <v>830</v>
      </c>
      <c r="C565" s="648"/>
      <c r="D565" s="648"/>
      <c r="E565" s="648"/>
      <c r="F565" s="322">
        <f>2.75*X2</f>
        <v>4235</v>
      </c>
      <c r="G565" s="256">
        <f t="shared" si="1548"/>
        <v>4235</v>
      </c>
      <c r="H565" s="528">
        <f>F565+800</f>
        <v>5035</v>
      </c>
      <c r="I565" s="256">
        <f t="shared" si="1556"/>
        <v>5035</v>
      </c>
      <c r="J565" s="528">
        <f t="shared" si="1557"/>
        <v>4685</v>
      </c>
      <c r="K565" s="256">
        <f t="shared" si="1549"/>
        <v>4685</v>
      </c>
      <c r="L565" s="528">
        <f t="shared" si="1558"/>
        <v>4635</v>
      </c>
      <c r="M565" s="256">
        <f t="shared" si="1550"/>
        <v>4635</v>
      </c>
      <c r="N565" s="528">
        <f>F565+350</f>
        <v>4585</v>
      </c>
      <c r="O565" s="256">
        <f t="shared" si="1551"/>
        <v>4585</v>
      </c>
      <c r="P565" s="528">
        <f>F565+320</f>
        <v>4555</v>
      </c>
      <c r="Q565" s="256">
        <f t="shared" si="1552"/>
        <v>4555</v>
      </c>
      <c r="R565" s="528">
        <f>F565+290</f>
        <v>4525</v>
      </c>
      <c r="S565" s="256">
        <f t="shared" si="1553"/>
        <v>4525</v>
      </c>
      <c r="T565" s="528">
        <f>F565+260</f>
        <v>4495</v>
      </c>
      <c r="U565" s="256">
        <f t="shared" si="1554"/>
        <v>4495</v>
      </c>
      <c r="V565" s="528">
        <f>F565+230</f>
        <v>4465</v>
      </c>
      <c r="W565" s="256">
        <f t="shared" si="1555"/>
        <v>4465</v>
      </c>
      <c r="X565" s="934"/>
      <c r="Y565" s="935"/>
      <c r="Z565" s="935"/>
      <c r="AA565" s="936"/>
      <c r="AB565" s="178" t="s">
        <v>831</v>
      </c>
    </row>
    <row r="566" spans="1:34" ht="12.6" customHeight="1" x14ac:dyDescent="0.2">
      <c r="A566" s="17"/>
      <c r="B566" s="654" t="s">
        <v>507</v>
      </c>
      <c r="C566" s="655"/>
      <c r="D566" s="655"/>
      <c r="E566" s="655"/>
      <c r="F566" s="321">
        <f>3.08*X2</f>
        <v>4743.2</v>
      </c>
      <c r="G566" s="255">
        <f t="shared" si="1548"/>
        <v>4743.2</v>
      </c>
      <c r="H566" s="520">
        <f>F566+800</f>
        <v>5543.2</v>
      </c>
      <c r="I566" s="255">
        <f>+H566*$X$1</f>
        <v>5543.2</v>
      </c>
      <c r="J566" s="520">
        <f>F566+400</f>
        <v>5143.2</v>
      </c>
      <c r="K566" s="255">
        <f t="shared" ref="K566:K568" si="1559">+J566*$X$1</f>
        <v>5143.2</v>
      </c>
      <c r="L566" s="520">
        <f>F566+340</f>
        <v>5083.2</v>
      </c>
      <c r="M566" s="255">
        <f t="shared" ref="M566:M568" si="1560">+L566*$X$1</f>
        <v>5083.2</v>
      </c>
      <c r="N566" s="520">
        <f>F566+300</f>
        <v>5043.2</v>
      </c>
      <c r="O566" s="255">
        <f t="shared" ref="O566:O568" si="1561">+N566*$X$1</f>
        <v>5043.2</v>
      </c>
      <c r="P566" s="520">
        <f>F566+270</f>
        <v>5013.2</v>
      </c>
      <c r="Q566" s="255">
        <f t="shared" ref="Q566:Q568" si="1562">+P566*$X$1</f>
        <v>5013.2</v>
      </c>
      <c r="R566" s="520">
        <f>F566+250</f>
        <v>4993.2</v>
      </c>
      <c r="S566" s="255">
        <f t="shared" ref="S566:S568" si="1563">+R566*$X$1</f>
        <v>4993.2</v>
      </c>
      <c r="T566" s="520">
        <f>F566+220</f>
        <v>4963.2</v>
      </c>
      <c r="U566" s="255">
        <f t="shared" ref="U566:U568" si="1564">+T566*$X$1</f>
        <v>4963.2</v>
      </c>
      <c r="V566" s="520">
        <f>F566+190</f>
        <v>4933.2</v>
      </c>
      <c r="W566" s="255">
        <f t="shared" ref="W566:W568" si="1565">+V566*$X$1</f>
        <v>4933.2</v>
      </c>
      <c r="X566" s="934"/>
      <c r="Y566" s="935"/>
      <c r="Z566" s="935"/>
      <c r="AA566" s="936"/>
      <c r="AB566" s="178" t="s">
        <v>257</v>
      </c>
    </row>
    <row r="567" spans="1:34" ht="12.6" customHeight="1" x14ac:dyDescent="0.2">
      <c r="A567" s="17"/>
      <c r="B567" s="647" t="s">
        <v>566</v>
      </c>
      <c r="C567" s="648"/>
      <c r="D567" s="648"/>
      <c r="E567" s="648"/>
      <c r="F567" s="322">
        <v>4360</v>
      </c>
      <c r="G567" s="256">
        <f t="shared" si="1548"/>
        <v>4360</v>
      </c>
      <c r="H567" s="528">
        <f>F567+800</f>
        <v>5160</v>
      </c>
      <c r="I567" s="256">
        <f t="shared" ref="I567:I568" si="1566">+H567*$X$1</f>
        <v>5160</v>
      </c>
      <c r="J567" s="528">
        <f t="shared" ref="J567:J568" si="1567">F567+450</f>
        <v>4810</v>
      </c>
      <c r="K567" s="256">
        <f t="shared" si="1559"/>
        <v>4810</v>
      </c>
      <c r="L567" s="528">
        <f t="shared" ref="L567:L568" si="1568">F567+400</f>
        <v>4760</v>
      </c>
      <c r="M567" s="256">
        <f t="shared" si="1560"/>
        <v>4760</v>
      </c>
      <c r="N567" s="528">
        <f>F567+350</f>
        <v>4710</v>
      </c>
      <c r="O567" s="256">
        <f t="shared" si="1561"/>
        <v>4710</v>
      </c>
      <c r="P567" s="528">
        <f>F567+320</f>
        <v>4680</v>
      </c>
      <c r="Q567" s="256">
        <f t="shared" si="1562"/>
        <v>4680</v>
      </c>
      <c r="R567" s="528">
        <f>F567+290</f>
        <v>4650</v>
      </c>
      <c r="S567" s="256">
        <f t="shared" si="1563"/>
        <v>4650</v>
      </c>
      <c r="T567" s="528">
        <f>F567+260</f>
        <v>4620</v>
      </c>
      <c r="U567" s="256">
        <f t="shared" si="1564"/>
        <v>4620</v>
      </c>
      <c r="V567" s="528">
        <f>F567+230</f>
        <v>4590</v>
      </c>
      <c r="W567" s="256">
        <f t="shared" si="1565"/>
        <v>4590</v>
      </c>
      <c r="X567" s="934"/>
      <c r="Y567" s="935"/>
      <c r="Z567" s="935"/>
      <c r="AA567" s="936"/>
      <c r="AB567" s="178" t="s">
        <v>567</v>
      </c>
    </row>
    <row r="568" spans="1:34" ht="12.6" customHeight="1" x14ac:dyDescent="0.2">
      <c r="A568" s="17"/>
      <c r="B568" s="654" t="s">
        <v>351</v>
      </c>
      <c r="C568" s="775"/>
      <c r="D568" s="775"/>
      <c r="E568" s="775"/>
      <c r="F568" s="321">
        <f>3.116*X2</f>
        <v>4798.6400000000003</v>
      </c>
      <c r="G568" s="255">
        <f t="shared" si="1548"/>
        <v>4798.6400000000003</v>
      </c>
      <c r="H568" s="520">
        <f>F568+800</f>
        <v>5598.64</v>
      </c>
      <c r="I568" s="255">
        <f t="shared" si="1566"/>
        <v>5598.64</v>
      </c>
      <c r="J568" s="520">
        <f t="shared" si="1567"/>
        <v>5248.64</v>
      </c>
      <c r="K568" s="255">
        <f t="shared" si="1559"/>
        <v>5248.64</v>
      </c>
      <c r="L568" s="520">
        <f t="shared" si="1568"/>
        <v>5198.6400000000003</v>
      </c>
      <c r="M568" s="255">
        <f t="shared" si="1560"/>
        <v>5198.6400000000003</v>
      </c>
      <c r="N568" s="520">
        <f>F568+350</f>
        <v>5148.6400000000003</v>
      </c>
      <c r="O568" s="255">
        <f t="shared" si="1561"/>
        <v>5148.6400000000003</v>
      </c>
      <c r="P568" s="520">
        <f>F568+320</f>
        <v>5118.6400000000003</v>
      </c>
      <c r="Q568" s="255">
        <f t="shared" si="1562"/>
        <v>5118.6400000000003</v>
      </c>
      <c r="R568" s="520">
        <f>F568+290</f>
        <v>5088.6400000000003</v>
      </c>
      <c r="S568" s="255">
        <f t="shared" si="1563"/>
        <v>5088.6400000000003</v>
      </c>
      <c r="T568" s="520">
        <f>F568+260</f>
        <v>5058.6400000000003</v>
      </c>
      <c r="U568" s="255">
        <f t="shared" si="1564"/>
        <v>5058.6400000000003</v>
      </c>
      <c r="V568" s="520">
        <f>F568+230</f>
        <v>5028.6400000000003</v>
      </c>
      <c r="W568" s="255">
        <f t="shared" si="1565"/>
        <v>5028.6400000000003</v>
      </c>
      <c r="X568" s="934"/>
      <c r="Y568" s="935"/>
      <c r="Z568" s="935"/>
      <c r="AA568" s="936"/>
      <c r="AB568" s="178" t="s">
        <v>411</v>
      </c>
    </row>
    <row r="569" spans="1:34" ht="12.6" customHeight="1" x14ac:dyDescent="0.2">
      <c r="A569" s="17"/>
      <c r="B569" s="647" t="s">
        <v>602</v>
      </c>
      <c r="C569" s="923"/>
      <c r="D569" s="923"/>
      <c r="E569" s="923"/>
      <c r="F569" s="322">
        <f>4.705*X2</f>
        <v>7245.7</v>
      </c>
      <c r="G569" s="256">
        <f t="shared" si="1548"/>
        <v>7245.7</v>
      </c>
      <c r="H569" s="528"/>
      <c r="I569" s="256"/>
      <c r="J569" s="528">
        <f t="shared" ref="J569" si="1569">F569+450</f>
        <v>7695.7</v>
      </c>
      <c r="K569" s="256">
        <f t="shared" ref="K569" si="1570">+J569*$X$1</f>
        <v>7695.7</v>
      </c>
      <c r="L569" s="528">
        <f t="shared" ref="L569" si="1571">F569+400</f>
        <v>7645.7</v>
      </c>
      <c r="M569" s="256">
        <f t="shared" ref="M569" si="1572">+L569*$X$1</f>
        <v>7645.7</v>
      </c>
      <c r="N569" s="528">
        <f>F569+350</f>
        <v>7595.7</v>
      </c>
      <c r="O569" s="256">
        <f t="shared" ref="O569" si="1573">+N569*$X$1</f>
        <v>7595.7</v>
      </c>
      <c r="P569" s="528">
        <f>F569+320</f>
        <v>7565.7</v>
      </c>
      <c r="Q569" s="256">
        <f t="shared" ref="Q569" si="1574">+P569*$X$1</f>
        <v>7565.7</v>
      </c>
      <c r="R569" s="528">
        <f>F569+290</f>
        <v>7535.7</v>
      </c>
      <c r="S569" s="256">
        <f t="shared" ref="S569" si="1575">+R569*$X$1</f>
        <v>7535.7</v>
      </c>
      <c r="T569" s="528">
        <f>F569+260</f>
        <v>7505.7</v>
      </c>
      <c r="U569" s="256">
        <f t="shared" ref="U569" si="1576">+T569*$X$1</f>
        <v>7505.7</v>
      </c>
      <c r="V569" s="528">
        <f>F569+230</f>
        <v>7475.7</v>
      </c>
      <c r="W569" s="256">
        <f t="shared" ref="W569" si="1577">+V569*$X$1</f>
        <v>7475.7</v>
      </c>
      <c r="X569" s="934"/>
      <c r="Y569" s="935"/>
      <c r="Z569" s="935"/>
      <c r="AA569" s="936"/>
      <c r="AB569" s="178" t="s">
        <v>603</v>
      </c>
    </row>
    <row r="570" spans="1:34" ht="12.6" customHeight="1" x14ac:dyDescent="0.2">
      <c r="A570" s="4"/>
      <c r="B570" s="98"/>
      <c r="C570" s="533"/>
      <c r="D570" s="533"/>
      <c r="E570" s="533"/>
      <c r="F570" s="359"/>
      <c r="G570" s="293"/>
      <c r="H570" s="106"/>
      <c r="I570" s="293"/>
      <c r="J570" s="106"/>
      <c r="K570" s="293"/>
      <c r="L570" s="106"/>
      <c r="M570" s="293"/>
      <c r="N570" s="106"/>
      <c r="O570" s="293"/>
      <c r="P570" s="106"/>
      <c r="Q570" s="293"/>
      <c r="R570" s="106"/>
      <c r="S570" s="293"/>
      <c r="T570" s="106"/>
      <c r="U570" s="293"/>
      <c r="V570" s="106"/>
      <c r="W570" s="293"/>
      <c r="X570" s="185"/>
      <c r="Y570" s="71"/>
      <c r="Z570" s="186"/>
      <c r="AA570" s="186"/>
      <c r="AB570" s="532"/>
    </row>
    <row r="571" spans="1:34" ht="15.75" customHeight="1" x14ac:dyDescent="0.2">
      <c r="B571" s="1180" t="s">
        <v>441</v>
      </c>
      <c r="C571" s="1181"/>
      <c r="D571" s="1181"/>
      <c r="E571" s="1181"/>
      <c r="F571" s="1181"/>
      <c r="G571" s="1181"/>
      <c r="H571" s="1181"/>
      <c r="I571" s="1181"/>
      <c r="J571" s="1181"/>
      <c r="K571" s="1181"/>
      <c r="L571" s="1181"/>
      <c r="M571" s="1181"/>
      <c r="N571" s="1181"/>
      <c r="O571" s="1181"/>
      <c r="P571" s="1181"/>
      <c r="Q571" s="1181"/>
      <c r="R571" s="1181"/>
      <c r="S571" s="1181"/>
      <c r="T571" s="1181"/>
      <c r="U571" s="1181"/>
      <c r="V571" s="1181"/>
      <c r="W571" s="1182"/>
      <c r="AB571" s="4"/>
      <c r="AF571" s="759"/>
      <c r="AG571" s="760"/>
      <c r="AH571" s="760"/>
    </row>
    <row r="572" spans="1:34" ht="12" customHeight="1" x14ac:dyDescent="0.2">
      <c r="B572" s="763" t="s">
        <v>11</v>
      </c>
      <c r="C572" s="763" t="s">
        <v>12</v>
      </c>
      <c r="D572" s="764"/>
      <c r="E572" s="764"/>
      <c r="F572" s="674" t="s">
        <v>258</v>
      </c>
      <c r="G572" s="674" t="s">
        <v>13</v>
      </c>
      <c r="H572" s="670" t="s">
        <v>890</v>
      </c>
      <c r="I572" s="670"/>
      <c r="J572" s="671"/>
      <c r="K572" s="671"/>
      <c r="L572" s="671"/>
      <c r="M572" s="671"/>
      <c r="N572" s="671"/>
      <c r="O572" s="671"/>
      <c r="P572" s="671"/>
      <c r="Q572" s="671"/>
      <c r="R572" s="671"/>
      <c r="S572" s="671"/>
      <c r="T572" s="671"/>
      <c r="U572" s="671"/>
      <c r="V572" s="671"/>
      <c r="W572" s="671"/>
      <c r="X572" s="762"/>
      <c r="Y572" s="762"/>
      <c r="Z572" s="762"/>
      <c r="AA572" s="762"/>
      <c r="AB572" s="774"/>
      <c r="AF572" s="759"/>
      <c r="AG572" s="760"/>
      <c r="AH572" s="760"/>
    </row>
    <row r="573" spans="1:34" ht="12" customHeight="1" x14ac:dyDescent="0.2">
      <c r="B573" s="764"/>
      <c r="C573" s="764"/>
      <c r="D573" s="764"/>
      <c r="E573" s="764"/>
      <c r="F573" s="675"/>
      <c r="G573" s="675"/>
      <c r="H573" s="397"/>
      <c r="I573" s="396" t="s">
        <v>503</v>
      </c>
      <c r="J573" s="397"/>
      <c r="K573" s="396" t="s">
        <v>259</v>
      </c>
      <c r="L573" s="397"/>
      <c r="M573" s="396" t="s">
        <v>260</v>
      </c>
      <c r="N573" s="397"/>
      <c r="O573" s="396" t="s">
        <v>505</v>
      </c>
      <c r="P573" s="397"/>
      <c r="Q573" s="396" t="s">
        <v>17</v>
      </c>
      <c r="R573" s="397"/>
      <c r="S573" s="396" t="s">
        <v>18</v>
      </c>
      <c r="T573" s="397"/>
      <c r="U573" s="396" t="s">
        <v>19</v>
      </c>
      <c r="V573" s="397"/>
      <c r="W573" s="396" t="s">
        <v>506</v>
      </c>
      <c r="X573" s="762"/>
      <c r="Y573" s="762"/>
      <c r="Z573" s="762"/>
      <c r="AA573" s="762"/>
      <c r="AB573" s="774"/>
    </row>
    <row r="574" spans="1:34" ht="12" customHeight="1" x14ac:dyDescent="0.2">
      <c r="A574" s="4"/>
      <c r="B574" s="773" t="s">
        <v>960</v>
      </c>
      <c r="C574" s="676"/>
      <c r="D574" s="676"/>
      <c r="E574" s="676"/>
      <c r="F574" s="270">
        <f>14.6*X2</f>
        <v>22484</v>
      </c>
      <c r="G574" s="270">
        <f t="shared" ref="G574" si="1578">+F574*$X$1</f>
        <v>22484</v>
      </c>
      <c r="H574" s="93">
        <f t="shared" ref="H574:H612" si="1579">F574+6000</f>
        <v>28484</v>
      </c>
      <c r="I574" s="270">
        <f t="shared" ref="I574" si="1580">+H574*$X$1</f>
        <v>28484</v>
      </c>
      <c r="J574" s="93">
        <f>F574+1600</f>
        <v>24084</v>
      </c>
      <c r="K574" s="270">
        <f t="shared" ref="K574" si="1581">+J574*$X$1</f>
        <v>24084</v>
      </c>
      <c r="L574" s="93">
        <f>F574+1200</f>
        <v>23684</v>
      </c>
      <c r="M574" s="270">
        <f t="shared" ref="M574" si="1582">+L574*$X$1</f>
        <v>23684</v>
      </c>
      <c r="N574" s="93">
        <f>F574+1000</f>
        <v>23484</v>
      </c>
      <c r="O574" s="270">
        <f t="shared" ref="O574" si="1583">+N574*$X$1</f>
        <v>23484</v>
      </c>
      <c r="P574" s="93">
        <f>F574+900</f>
        <v>23384</v>
      </c>
      <c r="Q574" s="270">
        <f t="shared" ref="Q574" si="1584">+P574*$X$1</f>
        <v>23384</v>
      </c>
      <c r="R574" s="93">
        <f>F574+800</f>
        <v>23284</v>
      </c>
      <c r="S574" s="270">
        <f t="shared" ref="S574" si="1585">+R574*$X$1</f>
        <v>23284</v>
      </c>
      <c r="T574" s="93">
        <f>F574+690</f>
        <v>23174</v>
      </c>
      <c r="U574" s="270">
        <f t="shared" ref="U574" si="1586">+T574*$X$1</f>
        <v>23174</v>
      </c>
      <c r="V574" s="93">
        <f>F574+620</f>
        <v>23104</v>
      </c>
      <c r="W574" s="270">
        <f t="shared" ref="W574" si="1587">+V574*$X$1</f>
        <v>23104</v>
      </c>
      <c r="X574" s="127"/>
      <c r="Y574" s="122"/>
      <c r="Z574" s="128"/>
      <c r="AA574" s="129"/>
      <c r="AB574" s="336">
        <v>872</v>
      </c>
    </row>
    <row r="575" spans="1:34" ht="12" customHeight="1" x14ac:dyDescent="0.2">
      <c r="A575" s="4"/>
      <c r="B575" s="776" t="s">
        <v>655</v>
      </c>
      <c r="C575" s="698"/>
      <c r="D575" s="698"/>
      <c r="E575" s="698"/>
      <c r="F575" s="280">
        <f>7.9*X2</f>
        <v>12166</v>
      </c>
      <c r="G575" s="280">
        <f t="shared" ref="G575" si="1588">+F575*$X$1</f>
        <v>12166</v>
      </c>
      <c r="H575" s="92">
        <f>F575+7000</f>
        <v>19166</v>
      </c>
      <c r="I575" s="280">
        <f t="shared" ref="I575:I577" si="1589">+H575*$X$1</f>
        <v>19166</v>
      </c>
      <c r="J575" s="92">
        <f>F575+3000</f>
        <v>15166</v>
      </c>
      <c r="K575" s="280">
        <f t="shared" ref="K575:K577" si="1590">+J575*$X$1</f>
        <v>15166</v>
      </c>
      <c r="L575" s="92">
        <f>F575+2200</f>
        <v>14366</v>
      </c>
      <c r="M575" s="280">
        <f t="shared" ref="M575:M577" si="1591">+L575*$X$1</f>
        <v>14366</v>
      </c>
      <c r="N575" s="92">
        <f>F575+2000</f>
        <v>14166</v>
      </c>
      <c r="O575" s="280">
        <f t="shared" ref="O575:O577" si="1592">+N575*$X$1</f>
        <v>14166</v>
      </c>
      <c r="P575" s="92">
        <f>F575+1800</f>
        <v>13966</v>
      </c>
      <c r="Q575" s="280">
        <f t="shared" ref="Q575:Q577" si="1593">+P575*$X$1</f>
        <v>13966</v>
      </c>
      <c r="R575" s="92">
        <f>F575+1650</f>
        <v>13816</v>
      </c>
      <c r="S575" s="280">
        <f t="shared" ref="S575:S577" si="1594">+R575*$X$1</f>
        <v>13816</v>
      </c>
      <c r="T575" s="92">
        <f>F575+1500</f>
        <v>13666</v>
      </c>
      <c r="U575" s="280">
        <f t="shared" ref="U575:U577" si="1595">+T575*$X$1</f>
        <v>13666</v>
      </c>
      <c r="V575" s="92">
        <f>F575+1300</f>
        <v>13466</v>
      </c>
      <c r="W575" s="280">
        <f t="shared" ref="W575:W577" si="1596">+V575*$X$1</f>
        <v>13466</v>
      </c>
      <c r="X575" s="127"/>
      <c r="Y575" s="122"/>
      <c r="Z575" s="128"/>
      <c r="AA575" s="129"/>
      <c r="AB575" s="350" t="s">
        <v>659</v>
      </c>
    </row>
    <row r="576" spans="1:34" ht="12" customHeight="1" x14ac:dyDescent="0.2">
      <c r="A576" s="4"/>
      <c r="B576" s="758" t="s">
        <v>654</v>
      </c>
      <c r="C576" s="687"/>
      <c r="D576" s="687"/>
      <c r="E576" s="687"/>
      <c r="F576" s="270">
        <f>7.9*X2</f>
        <v>12166</v>
      </c>
      <c r="G576" s="270">
        <f t="shared" ref="G576" si="1597">+F576*$X$1</f>
        <v>12166</v>
      </c>
      <c r="H576" s="93">
        <f t="shared" si="1579"/>
        <v>18166</v>
      </c>
      <c r="I576" s="270">
        <f t="shared" si="1589"/>
        <v>18166</v>
      </c>
      <c r="J576" s="93">
        <f>F576+1600</f>
        <v>13766</v>
      </c>
      <c r="K576" s="270">
        <f t="shared" si="1590"/>
        <v>13766</v>
      </c>
      <c r="L576" s="93">
        <f>F576+1200</f>
        <v>13366</v>
      </c>
      <c r="M576" s="270">
        <f t="shared" si="1591"/>
        <v>13366</v>
      </c>
      <c r="N576" s="93">
        <f>F576+1000</f>
        <v>13166</v>
      </c>
      <c r="O576" s="270">
        <f t="shared" si="1592"/>
        <v>13166</v>
      </c>
      <c r="P576" s="93">
        <f>F576+900</f>
        <v>13066</v>
      </c>
      <c r="Q576" s="270">
        <f t="shared" si="1593"/>
        <v>13066</v>
      </c>
      <c r="R576" s="93">
        <f>F576+800</f>
        <v>12966</v>
      </c>
      <c r="S576" s="270">
        <f t="shared" si="1594"/>
        <v>12966</v>
      </c>
      <c r="T576" s="93">
        <f>F576+690</f>
        <v>12856</v>
      </c>
      <c r="U576" s="270">
        <f t="shared" si="1595"/>
        <v>12856</v>
      </c>
      <c r="V576" s="93">
        <f>F576+620</f>
        <v>12786</v>
      </c>
      <c r="W576" s="270">
        <f t="shared" si="1596"/>
        <v>12786</v>
      </c>
      <c r="X576" s="127"/>
      <c r="Y576" s="122"/>
      <c r="Z576" s="128"/>
      <c r="AA576" s="129"/>
      <c r="AB576" s="336">
        <v>873</v>
      </c>
    </row>
    <row r="577" spans="1:28" ht="12" customHeight="1" x14ac:dyDescent="0.2">
      <c r="A577" s="4"/>
      <c r="B577" s="776" t="s">
        <v>615</v>
      </c>
      <c r="C577" s="698"/>
      <c r="D577" s="698"/>
      <c r="E577" s="698"/>
      <c r="F577" s="280">
        <f>14*X2</f>
        <v>21560</v>
      </c>
      <c r="G577" s="280">
        <f t="shared" ref="G577" si="1598">+F577*$X$1</f>
        <v>21560</v>
      </c>
      <c r="H577" s="92">
        <f t="shared" si="1579"/>
        <v>27560</v>
      </c>
      <c r="I577" s="280">
        <f t="shared" si="1589"/>
        <v>27560</v>
      </c>
      <c r="J577" s="92">
        <f>F577+1600</f>
        <v>23160</v>
      </c>
      <c r="K577" s="280">
        <f t="shared" si="1590"/>
        <v>23160</v>
      </c>
      <c r="L577" s="92">
        <f>F577+1200</f>
        <v>22760</v>
      </c>
      <c r="M577" s="280">
        <f t="shared" si="1591"/>
        <v>22760</v>
      </c>
      <c r="N577" s="92">
        <f>F577+1000</f>
        <v>22560</v>
      </c>
      <c r="O577" s="280">
        <f t="shared" si="1592"/>
        <v>22560</v>
      </c>
      <c r="P577" s="92">
        <f>F577+900</f>
        <v>22460</v>
      </c>
      <c r="Q577" s="280">
        <f t="shared" si="1593"/>
        <v>22460</v>
      </c>
      <c r="R577" s="92">
        <f>F577+800</f>
        <v>22360</v>
      </c>
      <c r="S577" s="280">
        <f t="shared" si="1594"/>
        <v>22360</v>
      </c>
      <c r="T577" s="92">
        <f>F577+690</f>
        <v>22250</v>
      </c>
      <c r="U577" s="280">
        <f t="shared" si="1595"/>
        <v>22250</v>
      </c>
      <c r="V577" s="92">
        <f>F577+620</f>
        <v>22180</v>
      </c>
      <c r="W577" s="280">
        <f t="shared" si="1596"/>
        <v>22180</v>
      </c>
      <c r="X577" s="127"/>
      <c r="Y577" s="122"/>
      <c r="Z577" s="128"/>
      <c r="AA577" s="129"/>
      <c r="AB577" s="336">
        <v>874</v>
      </c>
    </row>
    <row r="578" spans="1:28" ht="12.6" customHeight="1" x14ac:dyDescent="0.2">
      <c r="A578" s="4"/>
      <c r="B578" s="758" t="s">
        <v>586</v>
      </c>
      <c r="C578" s="687"/>
      <c r="D578" s="687"/>
      <c r="E578" s="687"/>
      <c r="F578" s="270">
        <f>9.1*X2</f>
        <v>14014</v>
      </c>
      <c r="G578" s="270">
        <f t="shared" ref="G578:G579" si="1599">+F578*$X$1</f>
        <v>14014</v>
      </c>
      <c r="H578" s="93">
        <f>F578+7000</f>
        <v>21014</v>
      </c>
      <c r="I578" s="270">
        <f t="shared" ref="I578" si="1600">+H578*$X$1</f>
        <v>21014</v>
      </c>
      <c r="J578" s="93">
        <f>F578+3000</f>
        <v>17014</v>
      </c>
      <c r="K578" s="270">
        <f t="shared" ref="K578" si="1601">+J578*$X$1</f>
        <v>17014</v>
      </c>
      <c r="L578" s="93">
        <f>F578+2200</f>
        <v>16214</v>
      </c>
      <c r="M578" s="270">
        <f t="shared" ref="M578" si="1602">+L578*$X$1</f>
        <v>16214</v>
      </c>
      <c r="N578" s="93">
        <f>F578+2000</f>
        <v>16014</v>
      </c>
      <c r="O578" s="270">
        <f t="shared" ref="O578" si="1603">+N578*$X$1</f>
        <v>16014</v>
      </c>
      <c r="P578" s="93">
        <f>F578+1800</f>
        <v>15814</v>
      </c>
      <c r="Q578" s="270">
        <f t="shared" ref="Q578" si="1604">+P578*$X$1</f>
        <v>15814</v>
      </c>
      <c r="R578" s="93">
        <f>F578+1650</f>
        <v>15664</v>
      </c>
      <c r="S578" s="270">
        <f t="shared" ref="S578" si="1605">+R578*$X$1</f>
        <v>15664</v>
      </c>
      <c r="T578" s="93">
        <f>F578+1500</f>
        <v>15514</v>
      </c>
      <c r="U578" s="270">
        <f t="shared" ref="U578" si="1606">+T578*$X$1</f>
        <v>15514</v>
      </c>
      <c r="V578" s="93">
        <f>F578+1300</f>
        <v>15314</v>
      </c>
      <c r="W578" s="270">
        <f t="shared" ref="W578" si="1607">+V578*$X$1</f>
        <v>15314</v>
      </c>
      <c r="X578" s="127"/>
      <c r="Y578" s="122"/>
      <c r="Z578" s="128"/>
      <c r="AA578" s="129"/>
      <c r="AB578" s="336" t="s">
        <v>596</v>
      </c>
    </row>
    <row r="579" spans="1:28" ht="12" customHeight="1" x14ac:dyDescent="0.2">
      <c r="A579" s="4"/>
      <c r="B579" s="771" t="s">
        <v>587</v>
      </c>
      <c r="C579" s="648"/>
      <c r="D579" s="648"/>
      <c r="E579" s="648"/>
      <c r="F579" s="280">
        <f>9.1*X2</f>
        <v>14014</v>
      </c>
      <c r="G579" s="280">
        <f t="shared" si="1599"/>
        <v>14014</v>
      </c>
      <c r="H579" s="92">
        <f t="shared" si="1579"/>
        <v>20014</v>
      </c>
      <c r="I579" s="280">
        <f t="shared" ref="I579:I581" si="1608">+H579*$X$1</f>
        <v>20014</v>
      </c>
      <c r="J579" s="92">
        <f>F579+1600</f>
        <v>15614</v>
      </c>
      <c r="K579" s="280">
        <f t="shared" ref="K579:K581" si="1609">+J579*$X$1</f>
        <v>15614</v>
      </c>
      <c r="L579" s="92">
        <f>F579+1200</f>
        <v>15214</v>
      </c>
      <c r="M579" s="280">
        <f t="shared" ref="M579:M581" si="1610">+L579*$X$1</f>
        <v>15214</v>
      </c>
      <c r="N579" s="92">
        <f>F579+1000</f>
        <v>15014</v>
      </c>
      <c r="O579" s="280">
        <f t="shared" ref="O579:O581" si="1611">+N579*$X$1</f>
        <v>15014</v>
      </c>
      <c r="P579" s="92">
        <f>F579+900</f>
        <v>14914</v>
      </c>
      <c r="Q579" s="280">
        <f t="shared" ref="Q579:Q581" si="1612">+P579*$X$1</f>
        <v>14914</v>
      </c>
      <c r="R579" s="92">
        <f>F579+800</f>
        <v>14814</v>
      </c>
      <c r="S579" s="280">
        <f t="shared" ref="S579:S581" si="1613">+R579*$X$1</f>
        <v>14814</v>
      </c>
      <c r="T579" s="92">
        <f>F579+690</f>
        <v>14704</v>
      </c>
      <c r="U579" s="280">
        <f t="shared" ref="U579:U581" si="1614">+T579*$X$1</f>
        <v>14704</v>
      </c>
      <c r="V579" s="92">
        <f>F579+620</f>
        <v>14634</v>
      </c>
      <c r="W579" s="280">
        <f t="shared" ref="W579:W581" si="1615">+V579*$X$1</f>
        <v>14634</v>
      </c>
      <c r="X579" s="127"/>
      <c r="Y579" s="122"/>
      <c r="Z579" s="128"/>
      <c r="AA579" s="129"/>
      <c r="AB579" s="336">
        <v>875</v>
      </c>
    </row>
    <row r="580" spans="1:28" ht="12.6" customHeight="1" x14ac:dyDescent="0.2">
      <c r="A580" s="4"/>
      <c r="B580" s="758" t="s">
        <v>656</v>
      </c>
      <c r="C580" s="687"/>
      <c r="D580" s="687"/>
      <c r="E580" s="687"/>
      <c r="F580" s="270">
        <f>18.1*X2</f>
        <v>27874.000000000004</v>
      </c>
      <c r="G580" s="270">
        <f t="shared" ref="G580" si="1616">+F580*$X$1</f>
        <v>27874.000000000004</v>
      </c>
      <c r="H580" s="93">
        <f t="shared" si="1579"/>
        <v>33874</v>
      </c>
      <c r="I580" s="270">
        <f t="shared" si="1608"/>
        <v>33874</v>
      </c>
      <c r="J580" s="93">
        <f>F580+1600</f>
        <v>29474.000000000004</v>
      </c>
      <c r="K580" s="270">
        <f t="shared" si="1609"/>
        <v>29474.000000000004</v>
      </c>
      <c r="L580" s="93">
        <f>F580+1200</f>
        <v>29074.000000000004</v>
      </c>
      <c r="M580" s="270">
        <f t="shared" si="1610"/>
        <v>29074.000000000004</v>
      </c>
      <c r="N580" s="93">
        <f>F580+1000</f>
        <v>28874.000000000004</v>
      </c>
      <c r="O580" s="270">
        <f t="shared" si="1611"/>
        <v>28874.000000000004</v>
      </c>
      <c r="P580" s="93">
        <f>F580+900</f>
        <v>28774.000000000004</v>
      </c>
      <c r="Q580" s="270">
        <f t="shared" si="1612"/>
        <v>28774.000000000004</v>
      </c>
      <c r="R580" s="93">
        <f>F580+800</f>
        <v>28674.000000000004</v>
      </c>
      <c r="S580" s="270">
        <f t="shared" si="1613"/>
        <v>28674.000000000004</v>
      </c>
      <c r="T580" s="93">
        <f>F580+690</f>
        <v>28564.000000000004</v>
      </c>
      <c r="U580" s="270">
        <f t="shared" si="1614"/>
        <v>28564.000000000004</v>
      </c>
      <c r="V580" s="93">
        <f>F580+620</f>
        <v>28494.000000000004</v>
      </c>
      <c r="W580" s="270">
        <f t="shared" si="1615"/>
        <v>28494.000000000004</v>
      </c>
      <c r="X580" s="127"/>
      <c r="Y580" s="122"/>
      <c r="Z580" s="128"/>
      <c r="AA580" s="129"/>
      <c r="AB580" s="336">
        <v>876</v>
      </c>
    </row>
    <row r="581" spans="1:28" ht="12.6" customHeight="1" x14ac:dyDescent="0.2">
      <c r="A581" s="4"/>
      <c r="B581" s="776" t="s">
        <v>616</v>
      </c>
      <c r="C581" s="698"/>
      <c r="D581" s="698"/>
      <c r="E581" s="698"/>
      <c r="F581" s="280">
        <f>15.37*X2</f>
        <v>23669.8</v>
      </c>
      <c r="G581" s="280">
        <f t="shared" ref="G581" si="1617">+F581*$X$1</f>
        <v>23669.8</v>
      </c>
      <c r="H581" s="92">
        <f>F581+7000</f>
        <v>30669.8</v>
      </c>
      <c r="I581" s="280">
        <f t="shared" si="1608"/>
        <v>30669.8</v>
      </c>
      <c r="J581" s="92">
        <f>F581+3000</f>
        <v>26669.8</v>
      </c>
      <c r="K581" s="280">
        <f t="shared" si="1609"/>
        <v>26669.8</v>
      </c>
      <c r="L581" s="92">
        <f>F581+2200</f>
        <v>25869.8</v>
      </c>
      <c r="M581" s="280">
        <f t="shared" si="1610"/>
        <v>25869.8</v>
      </c>
      <c r="N581" s="92">
        <f>F581+2000</f>
        <v>25669.8</v>
      </c>
      <c r="O581" s="280">
        <f t="shared" si="1611"/>
        <v>25669.8</v>
      </c>
      <c r="P581" s="92">
        <f>F581+1800</f>
        <v>25469.8</v>
      </c>
      <c r="Q581" s="280">
        <f t="shared" si="1612"/>
        <v>25469.8</v>
      </c>
      <c r="R581" s="92">
        <f>F581+1650</f>
        <v>25319.8</v>
      </c>
      <c r="S581" s="280">
        <f t="shared" si="1613"/>
        <v>25319.8</v>
      </c>
      <c r="T581" s="92">
        <f>F581+1500</f>
        <v>25169.8</v>
      </c>
      <c r="U581" s="280">
        <f t="shared" si="1614"/>
        <v>25169.8</v>
      </c>
      <c r="V581" s="92">
        <f>F581+1300</f>
        <v>24969.8</v>
      </c>
      <c r="W581" s="280">
        <f t="shared" si="1615"/>
        <v>24969.8</v>
      </c>
      <c r="X581" s="127"/>
      <c r="Y581" s="122"/>
      <c r="Z581" s="128"/>
      <c r="AA581" s="129"/>
      <c r="AB581" s="336" t="s">
        <v>555</v>
      </c>
    </row>
    <row r="582" spans="1:28" ht="12.6" customHeight="1" x14ac:dyDescent="0.2">
      <c r="A582" s="4"/>
      <c r="B582" s="758" t="s">
        <v>617</v>
      </c>
      <c r="C582" s="687"/>
      <c r="D582" s="687"/>
      <c r="E582" s="687"/>
      <c r="F582" s="270">
        <f>15.37*X2</f>
        <v>23669.8</v>
      </c>
      <c r="G582" s="270">
        <f t="shared" ref="G582" si="1618">+F582*$X$1</f>
        <v>23669.8</v>
      </c>
      <c r="H582" s="93">
        <f t="shared" si="1579"/>
        <v>29669.8</v>
      </c>
      <c r="I582" s="270">
        <f t="shared" ref="I582:I583" si="1619">+H582*$X$1</f>
        <v>29669.8</v>
      </c>
      <c r="J582" s="93">
        <f>F582+1600</f>
        <v>25269.8</v>
      </c>
      <c r="K582" s="270">
        <f t="shared" ref="K582:K583" si="1620">+J582*$X$1</f>
        <v>25269.8</v>
      </c>
      <c r="L582" s="93">
        <f>F582+1200</f>
        <v>24869.8</v>
      </c>
      <c r="M582" s="270">
        <f t="shared" ref="M582:M583" si="1621">+L582*$X$1</f>
        <v>24869.8</v>
      </c>
      <c r="N582" s="93">
        <f>F582+1000</f>
        <v>24669.8</v>
      </c>
      <c r="O582" s="270">
        <f t="shared" ref="O582:O583" si="1622">+N582*$X$1</f>
        <v>24669.8</v>
      </c>
      <c r="P582" s="93">
        <f>F582+900</f>
        <v>24569.8</v>
      </c>
      <c r="Q582" s="270">
        <f t="shared" ref="Q582:Q583" si="1623">+P582*$X$1</f>
        <v>24569.8</v>
      </c>
      <c r="R582" s="93">
        <f>F582+800</f>
        <v>24469.8</v>
      </c>
      <c r="S582" s="270">
        <f t="shared" ref="S582:S583" si="1624">+R582*$X$1</f>
        <v>24469.8</v>
      </c>
      <c r="T582" s="93">
        <f>F582+690</f>
        <v>24359.8</v>
      </c>
      <c r="U582" s="270">
        <f t="shared" ref="U582:U583" si="1625">+T582*$X$1</f>
        <v>24359.8</v>
      </c>
      <c r="V582" s="93">
        <f>F582+620</f>
        <v>24289.8</v>
      </c>
      <c r="W582" s="270">
        <f t="shared" ref="W582:W583" si="1626">+V582*$X$1</f>
        <v>24289.8</v>
      </c>
      <c r="X582" s="127"/>
      <c r="Y582" s="122"/>
      <c r="Z582" s="128"/>
      <c r="AA582" s="129"/>
      <c r="AB582" s="336">
        <v>878</v>
      </c>
    </row>
    <row r="583" spans="1:28" ht="12.6" customHeight="1" x14ac:dyDescent="0.2">
      <c r="A583" s="4"/>
      <c r="B583" s="931" t="s">
        <v>588</v>
      </c>
      <c r="C583" s="932"/>
      <c r="D583" s="932"/>
      <c r="E583" s="932"/>
      <c r="F583" s="446">
        <f>12*X2</f>
        <v>18480</v>
      </c>
      <c r="G583" s="446">
        <f t="shared" ref="G583" si="1627">+F583*$X$1</f>
        <v>18480</v>
      </c>
      <c r="H583" s="516">
        <f>F583+7000</f>
        <v>25480</v>
      </c>
      <c r="I583" s="446">
        <f t="shared" si="1619"/>
        <v>25480</v>
      </c>
      <c r="J583" s="516">
        <f>F583+3000</f>
        <v>21480</v>
      </c>
      <c r="K583" s="446">
        <f t="shared" si="1620"/>
        <v>21480</v>
      </c>
      <c r="L583" s="516">
        <f>F583+2200</f>
        <v>20680</v>
      </c>
      <c r="M583" s="446">
        <f t="shared" si="1621"/>
        <v>20680</v>
      </c>
      <c r="N583" s="516">
        <f>F583+2000</f>
        <v>20480</v>
      </c>
      <c r="O583" s="446">
        <f t="shared" si="1622"/>
        <v>20480</v>
      </c>
      <c r="P583" s="516">
        <f>F583+1800</f>
        <v>20280</v>
      </c>
      <c r="Q583" s="446">
        <f t="shared" si="1623"/>
        <v>20280</v>
      </c>
      <c r="R583" s="516">
        <f>F583+1650</f>
        <v>20130</v>
      </c>
      <c r="S583" s="446">
        <f t="shared" si="1624"/>
        <v>20130</v>
      </c>
      <c r="T583" s="516">
        <f>F583+1500</f>
        <v>19980</v>
      </c>
      <c r="U583" s="446">
        <f t="shared" si="1625"/>
        <v>19980</v>
      </c>
      <c r="V583" s="516">
        <f>F583+1300</f>
        <v>19780</v>
      </c>
      <c r="W583" s="446">
        <f t="shared" si="1626"/>
        <v>19780</v>
      </c>
      <c r="X583" s="127"/>
      <c r="Y583" s="122"/>
      <c r="Z583" s="128"/>
      <c r="AA583" s="129"/>
      <c r="AB583" s="336" t="s">
        <v>530</v>
      </c>
    </row>
    <row r="584" spans="1:28" ht="12.6" customHeight="1" x14ac:dyDescent="0.2">
      <c r="A584" s="4"/>
      <c r="B584" s="1175" t="s">
        <v>589</v>
      </c>
      <c r="C584" s="1150"/>
      <c r="D584" s="1150"/>
      <c r="E584" s="1150"/>
      <c r="F584" s="446">
        <f>12*X2</f>
        <v>18480</v>
      </c>
      <c r="G584" s="446">
        <f t="shared" ref="G584" si="1628">+F584*$X$1</f>
        <v>18480</v>
      </c>
      <c r="H584" s="516">
        <f t="shared" si="1579"/>
        <v>24480</v>
      </c>
      <c r="I584" s="446">
        <f t="shared" ref="I584:I585" si="1629">+H584*$X$1</f>
        <v>24480</v>
      </c>
      <c r="J584" s="516">
        <f>F584+1600</f>
        <v>20080</v>
      </c>
      <c r="K584" s="446">
        <f t="shared" ref="K584:K585" si="1630">+J584*$X$1</f>
        <v>20080</v>
      </c>
      <c r="L584" s="516">
        <f>F584+1200</f>
        <v>19680</v>
      </c>
      <c r="M584" s="446">
        <f t="shared" ref="M584:M585" si="1631">+L584*$X$1</f>
        <v>19680</v>
      </c>
      <c r="N584" s="516">
        <f>F584+1000</f>
        <v>19480</v>
      </c>
      <c r="O584" s="446">
        <f t="shared" ref="O584:O585" si="1632">+N584*$X$1</f>
        <v>19480</v>
      </c>
      <c r="P584" s="516">
        <f>F584+900</f>
        <v>19380</v>
      </c>
      <c r="Q584" s="446">
        <f t="shared" ref="Q584:Q585" si="1633">+P584*$X$1</f>
        <v>19380</v>
      </c>
      <c r="R584" s="516">
        <f>F584+800</f>
        <v>19280</v>
      </c>
      <c r="S584" s="446">
        <f t="shared" ref="S584:S585" si="1634">+R584*$X$1</f>
        <v>19280</v>
      </c>
      <c r="T584" s="516">
        <f>F584+690</f>
        <v>19170</v>
      </c>
      <c r="U584" s="446">
        <f t="shared" ref="U584:U585" si="1635">+T584*$X$1</f>
        <v>19170</v>
      </c>
      <c r="V584" s="516">
        <f>F584+620</f>
        <v>19100</v>
      </c>
      <c r="W584" s="446">
        <f t="shared" ref="W584:W585" si="1636">+V584*$X$1</f>
        <v>19100</v>
      </c>
      <c r="X584" s="127"/>
      <c r="Y584" s="122"/>
      <c r="Z584" s="128"/>
      <c r="AA584" s="129"/>
      <c r="AB584" s="336">
        <v>880</v>
      </c>
    </row>
    <row r="585" spans="1:28" ht="12.6" customHeight="1" x14ac:dyDescent="0.2">
      <c r="A585" s="4"/>
      <c r="B585" s="776" t="s">
        <v>590</v>
      </c>
      <c r="C585" s="698"/>
      <c r="D585" s="698"/>
      <c r="E585" s="698"/>
      <c r="F585" s="280">
        <f>31.386*X2</f>
        <v>48334.44</v>
      </c>
      <c r="G585" s="280">
        <f>+F585*$X$1</f>
        <v>48334.44</v>
      </c>
      <c r="H585" s="92">
        <f>F585+7000</f>
        <v>55334.44</v>
      </c>
      <c r="I585" s="280">
        <f t="shared" si="1629"/>
        <v>55334.44</v>
      </c>
      <c r="J585" s="92">
        <f>F585+3000</f>
        <v>51334.44</v>
      </c>
      <c r="K585" s="280">
        <f t="shared" si="1630"/>
        <v>51334.44</v>
      </c>
      <c r="L585" s="92">
        <f>F585+2200</f>
        <v>50534.44</v>
      </c>
      <c r="M585" s="280">
        <f t="shared" si="1631"/>
        <v>50534.44</v>
      </c>
      <c r="N585" s="92">
        <f>F585+2000</f>
        <v>50334.44</v>
      </c>
      <c r="O585" s="280">
        <f t="shared" si="1632"/>
        <v>50334.44</v>
      </c>
      <c r="P585" s="92">
        <f>F585+1800</f>
        <v>50134.44</v>
      </c>
      <c r="Q585" s="280">
        <f t="shared" si="1633"/>
        <v>50134.44</v>
      </c>
      <c r="R585" s="92">
        <f>F585+1650</f>
        <v>49984.44</v>
      </c>
      <c r="S585" s="280">
        <f t="shared" si="1634"/>
        <v>49984.44</v>
      </c>
      <c r="T585" s="92">
        <f>F585+1500</f>
        <v>49834.44</v>
      </c>
      <c r="U585" s="280">
        <f t="shared" si="1635"/>
        <v>49834.44</v>
      </c>
      <c r="V585" s="92">
        <f>F585+1300</f>
        <v>49634.44</v>
      </c>
      <c r="W585" s="280">
        <f t="shared" si="1636"/>
        <v>49634.44</v>
      </c>
      <c r="X585" s="127"/>
      <c r="Y585" s="122"/>
      <c r="Z585" s="128"/>
      <c r="AA585" s="129"/>
      <c r="AB585" s="336" t="s">
        <v>531</v>
      </c>
    </row>
    <row r="586" spans="1:28" ht="12.6" customHeight="1" x14ac:dyDescent="0.2">
      <c r="A586" s="4"/>
      <c r="B586" s="772" t="s">
        <v>591</v>
      </c>
      <c r="C586" s="655"/>
      <c r="D586" s="655"/>
      <c r="E586" s="655"/>
      <c r="F586" s="270">
        <f>31.386*X2</f>
        <v>48334.44</v>
      </c>
      <c r="G586" s="270">
        <f t="shared" ref="G586" si="1637">+F586*$X$1</f>
        <v>48334.44</v>
      </c>
      <c r="H586" s="93">
        <f t="shared" si="1579"/>
        <v>54334.44</v>
      </c>
      <c r="I586" s="270">
        <f t="shared" ref="I586:I590" si="1638">+H586*$X$1</f>
        <v>54334.44</v>
      </c>
      <c r="J586" s="93">
        <f>F586+1600</f>
        <v>49934.44</v>
      </c>
      <c r="K586" s="270">
        <f t="shared" ref="K586:K590" si="1639">+J586*$X$1</f>
        <v>49934.44</v>
      </c>
      <c r="L586" s="93">
        <f>F586+1200</f>
        <v>49534.44</v>
      </c>
      <c r="M586" s="270">
        <f t="shared" ref="M586:M590" si="1640">+L586*$X$1</f>
        <v>49534.44</v>
      </c>
      <c r="N586" s="93">
        <f>F586+1000</f>
        <v>49334.44</v>
      </c>
      <c r="O586" s="270">
        <f t="shared" ref="O586:O590" si="1641">+N586*$X$1</f>
        <v>49334.44</v>
      </c>
      <c r="P586" s="93">
        <f>F586+900</f>
        <v>49234.44</v>
      </c>
      <c r="Q586" s="270">
        <f t="shared" ref="Q586:Q590" si="1642">+P586*$X$1</f>
        <v>49234.44</v>
      </c>
      <c r="R586" s="93">
        <f>F586+800</f>
        <v>49134.44</v>
      </c>
      <c r="S586" s="270">
        <f t="shared" ref="S586:S590" si="1643">+R586*$X$1</f>
        <v>49134.44</v>
      </c>
      <c r="T586" s="93">
        <f>F586+690</f>
        <v>49024.44</v>
      </c>
      <c r="U586" s="270">
        <f t="shared" ref="U586:U590" si="1644">+T586*$X$1</f>
        <v>49024.44</v>
      </c>
      <c r="V586" s="93">
        <f>F586+620</f>
        <v>48954.44</v>
      </c>
      <c r="W586" s="270">
        <f t="shared" ref="W586:W590" si="1645">+V586*$X$1</f>
        <v>48954.44</v>
      </c>
      <c r="X586" s="127"/>
      <c r="Y586" s="122"/>
      <c r="Z586" s="128"/>
      <c r="AA586" s="129"/>
      <c r="AB586" s="336">
        <v>881</v>
      </c>
    </row>
    <row r="587" spans="1:28" ht="12.6" customHeight="1" x14ac:dyDescent="0.2">
      <c r="A587" s="4"/>
      <c r="B587" s="776" t="s">
        <v>592</v>
      </c>
      <c r="C587" s="698"/>
      <c r="D587" s="698"/>
      <c r="E587" s="698"/>
      <c r="F587" s="280">
        <f>13.2*X2</f>
        <v>20328</v>
      </c>
      <c r="G587" s="280">
        <f>+F587*$X$1</f>
        <v>20328</v>
      </c>
      <c r="H587" s="92">
        <f t="shared" si="1579"/>
        <v>26328</v>
      </c>
      <c r="I587" s="280">
        <f t="shared" si="1638"/>
        <v>26328</v>
      </c>
      <c r="J587" s="92">
        <f>F587+1600</f>
        <v>21928</v>
      </c>
      <c r="K587" s="280">
        <f t="shared" si="1639"/>
        <v>21928</v>
      </c>
      <c r="L587" s="92">
        <f>F587+1200</f>
        <v>21528</v>
      </c>
      <c r="M587" s="280">
        <f t="shared" si="1640"/>
        <v>21528</v>
      </c>
      <c r="N587" s="92">
        <f>F587+1000</f>
        <v>21328</v>
      </c>
      <c r="O587" s="280">
        <f t="shared" si="1641"/>
        <v>21328</v>
      </c>
      <c r="P587" s="92">
        <f>F587+900</f>
        <v>21228</v>
      </c>
      <c r="Q587" s="280">
        <f t="shared" si="1642"/>
        <v>21228</v>
      </c>
      <c r="R587" s="92">
        <f>F587+800</f>
        <v>21128</v>
      </c>
      <c r="S587" s="280">
        <f t="shared" si="1643"/>
        <v>21128</v>
      </c>
      <c r="T587" s="92">
        <f>F587+690</f>
        <v>21018</v>
      </c>
      <c r="U587" s="280">
        <f t="shared" si="1644"/>
        <v>21018</v>
      </c>
      <c r="V587" s="92">
        <f>F587+620</f>
        <v>20948</v>
      </c>
      <c r="W587" s="280">
        <f t="shared" si="1645"/>
        <v>20948</v>
      </c>
      <c r="X587" s="127"/>
      <c r="Y587" s="122"/>
      <c r="Z587" s="128"/>
      <c r="AA587" s="129"/>
      <c r="AB587" s="336">
        <v>882</v>
      </c>
    </row>
    <row r="588" spans="1:28" ht="12.6" customHeight="1" x14ac:dyDescent="0.2">
      <c r="A588" s="4"/>
      <c r="B588" s="758" t="s">
        <v>410</v>
      </c>
      <c r="C588" s="687"/>
      <c r="D588" s="687"/>
      <c r="E588" s="687"/>
      <c r="F588" s="270">
        <f>24*X2</f>
        <v>36960</v>
      </c>
      <c r="G588" s="270">
        <f t="shared" ref="G588" si="1646">+F588*$X$1</f>
        <v>36960</v>
      </c>
      <c r="H588" s="93">
        <f t="shared" si="1579"/>
        <v>42960</v>
      </c>
      <c r="I588" s="270">
        <f t="shared" si="1638"/>
        <v>42960</v>
      </c>
      <c r="J588" s="93">
        <f>F588+1600</f>
        <v>38560</v>
      </c>
      <c r="K588" s="270">
        <f t="shared" si="1639"/>
        <v>38560</v>
      </c>
      <c r="L588" s="93">
        <f>F588+1200</f>
        <v>38160</v>
      </c>
      <c r="M588" s="270">
        <f t="shared" si="1640"/>
        <v>38160</v>
      </c>
      <c r="N588" s="93">
        <f>F588+1000</f>
        <v>37960</v>
      </c>
      <c r="O588" s="270">
        <f t="shared" si="1641"/>
        <v>37960</v>
      </c>
      <c r="P588" s="93">
        <f>F588+900</f>
        <v>37860</v>
      </c>
      <c r="Q588" s="270">
        <f t="shared" si="1642"/>
        <v>37860</v>
      </c>
      <c r="R588" s="93">
        <f>F588+800</f>
        <v>37760</v>
      </c>
      <c r="S588" s="270">
        <f t="shared" si="1643"/>
        <v>37760</v>
      </c>
      <c r="T588" s="93">
        <f>F588+690</f>
        <v>37650</v>
      </c>
      <c r="U588" s="270">
        <f t="shared" si="1644"/>
        <v>37650</v>
      </c>
      <c r="V588" s="93">
        <f>F588+620</f>
        <v>37580</v>
      </c>
      <c r="W588" s="270">
        <f t="shared" si="1645"/>
        <v>37580</v>
      </c>
      <c r="X588" s="127"/>
      <c r="Y588" s="122"/>
      <c r="Z588" s="128"/>
      <c r="AA588" s="129"/>
      <c r="AB588" s="336">
        <v>883</v>
      </c>
    </row>
    <row r="589" spans="1:28" ht="12.6" customHeight="1" x14ac:dyDescent="0.2">
      <c r="A589" s="4"/>
      <c r="B589" s="771" t="s">
        <v>852</v>
      </c>
      <c r="C589" s="923"/>
      <c r="D589" s="923"/>
      <c r="E589" s="923"/>
      <c r="F589" s="256">
        <f>36.4*X2</f>
        <v>56056</v>
      </c>
      <c r="G589" s="256">
        <f>+F589*$X$1</f>
        <v>56056</v>
      </c>
      <c r="H589" s="92">
        <f t="shared" si="1579"/>
        <v>62056</v>
      </c>
      <c r="I589" s="280">
        <f t="shared" si="1638"/>
        <v>62056</v>
      </c>
      <c r="J589" s="92">
        <f>F589+1600</f>
        <v>57656</v>
      </c>
      <c r="K589" s="280">
        <f t="shared" si="1639"/>
        <v>57656</v>
      </c>
      <c r="L589" s="92">
        <f>F589+1200</f>
        <v>57256</v>
      </c>
      <c r="M589" s="280">
        <f t="shared" si="1640"/>
        <v>57256</v>
      </c>
      <c r="N589" s="92">
        <f>F589+1000</f>
        <v>57056</v>
      </c>
      <c r="O589" s="280">
        <f t="shared" si="1641"/>
        <v>57056</v>
      </c>
      <c r="P589" s="92">
        <f>F589+900</f>
        <v>56956</v>
      </c>
      <c r="Q589" s="280">
        <f t="shared" si="1642"/>
        <v>56956</v>
      </c>
      <c r="R589" s="92">
        <f>F589+800</f>
        <v>56856</v>
      </c>
      <c r="S589" s="280">
        <f t="shared" si="1643"/>
        <v>56856</v>
      </c>
      <c r="T589" s="92">
        <f>F589+690</f>
        <v>56746</v>
      </c>
      <c r="U589" s="280">
        <f t="shared" si="1644"/>
        <v>56746</v>
      </c>
      <c r="V589" s="92">
        <f>F589+620</f>
        <v>56676</v>
      </c>
      <c r="W589" s="280">
        <f t="shared" si="1645"/>
        <v>56676</v>
      </c>
      <c r="X589" s="127"/>
      <c r="Y589" s="122"/>
      <c r="Z589" s="128"/>
      <c r="AA589" s="129"/>
      <c r="AB589" s="336">
        <v>884</v>
      </c>
    </row>
    <row r="590" spans="1:28" ht="12.6" customHeight="1" x14ac:dyDescent="0.2">
      <c r="A590" s="4"/>
      <c r="B590" s="765" t="s">
        <v>666</v>
      </c>
      <c r="C590" s="677"/>
      <c r="D590" s="677"/>
      <c r="E590" s="678"/>
      <c r="F590" s="270">
        <f>12*X2</f>
        <v>18480</v>
      </c>
      <c r="G590" s="270">
        <f>+F590*$X$1</f>
        <v>18480</v>
      </c>
      <c r="H590" s="93">
        <f>F590+7000</f>
        <v>25480</v>
      </c>
      <c r="I590" s="270">
        <f t="shared" si="1638"/>
        <v>25480</v>
      </c>
      <c r="J590" s="93">
        <f>F590+3000</f>
        <v>21480</v>
      </c>
      <c r="K590" s="270">
        <f t="shared" si="1639"/>
        <v>21480</v>
      </c>
      <c r="L590" s="93">
        <f>F590+2200</f>
        <v>20680</v>
      </c>
      <c r="M590" s="270">
        <f t="shared" si="1640"/>
        <v>20680</v>
      </c>
      <c r="N590" s="93">
        <f>F590+2000</f>
        <v>20480</v>
      </c>
      <c r="O590" s="270">
        <f t="shared" si="1641"/>
        <v>20480</v>
      </c>
      <c r="P590" s="93">
        <f>F590+1800</f>
        <v>20280</v>
      </c>
      <c r="Q590" s="270">
        <f t="shared" si="1642"/>
        <v>20280</v>
      </c>
      <c r="R590" s="93">
        <f>F590+1650</f>
        <v>20130</v>
      </c>
      <c r="S590" s="270">
        <f t="shared" si="1643"/>
        <v>20130</v>
      </c>
      <c r="T590" s="93">
        <f>F590+1500</f>
        <v>19980</v>
      </c>
      <c r="U590" s="270">
        <f t="shared" si="1644"/>
        <v>19980</v>
      </c>
      <c r="V590" s="93">
        <f>F590+1300</f>
        <v>19780</v>
      </c>
      <c r="W590" s="270">
        <f t="shared" si="1645"/>
        <v>19780</v>
      </c>
      <c r="X590" s="127"/>
      <c r="Y590" s="122"/>
      <c r="Z590" s="128"/>
      <c r="AA590" s="129"/>
      <c r="AB590" s="336" t="s">
        <v>665</v>
      </c>
    </row>
    <row r="591" spans="1:28" ht="12.6" customHeight="1" x14ac:dyDescent="0.2">
      <c r="A591" s="4"/>
      <c r="B591" s="933" t="s">
        <v>667</v>
      </c>
      <c r="C591" s="711"/>
      <c r="D591" s="711"/>
      <c r="E591" s="712"/>
      <c r="F591" s="280">
        <f>12*X2</f>
        <v>18480</v>
      </c>
      <c r="G591" s="280">
        <f>+F591*$X$1</f>
        <v>18480</v>
      </c>
      <c r="H591" s="92">
        <f t="shared" si="1579"/>
        <v>24480</v>
      </c>
      <c r="I591" s="280">
        <f t="shared" ref="I591:I592" si="1647">+H591*$X$1</f>
        <v>24480</v>
      </c>
      <c r="J591" s="92">
        <f>F591+1600</f>
        <v>20080</v>
      </c>
      <c r="K591" s="280">
        <f t="shared" ref="K591:K592" si="1648">+J591*$X$1</f>
        <v>20080</v>
      </c>
      <c r="L591" s="92">
        <f>F591+1200</f>
        <v>19680</v>
      </c>
      <c r="M591" s="280">
        <f t="shared" ref="M591:M592" si="1649">+L591*$X$1</f>
        <v>19680</v>
      </c>
      <c r="N591" s="92">
        <f>F591+1000</f>
        <v>19480</v>
      </c>
      <c r="O591" s="280">
        <f t="shared" ref="O591:O592" si="1650">+N591*$X$1</f>
        <v>19480</v>
      </c>
      <c r="P591" s="92">
        <f>F591+900</f>
        <v>19380</v>
      </c>
      <c r="Q591" s="280">
        <f t="shared" ref="Q591:Q592" si="1651">+P591*$X$1</f>
        <v>19380</v>
      </c>
      <c r="R591" s="92">
        <f>F591+800</f>
        <v>19280</v>
      </c>
      <c r="S591" s="280">
        <f t="shared" ref="S591:S592" si="1652">+R591*$X$1</f>
        <v>19280</v>
      </c>
      <c r="T591" s="92">
        <f>F591+690</f>
        <v>19170</v>
      </c>
      <c r="U591" s="280">
        <f t="shared" ref="U591:U592" si="1653">+T591*$X$1</f>
        <v>19170</v>
      </c>
      <c r="V591" s="92">
        <f>F591+620</f>
        <v>19100</v>
      </c>
      <c r="W591" s="280">
        <f t="shared" ref="W591:W592" si="1654">+V591*$X$1</f>
        <v>19100</v>
      </c>
      <c r="X591" s="127"/>
      <c r="Y591" s="122"/>
      <c r="Z591" s="128"/>
      <c r="AA591" s="129"/>
      <c r="AB591" s="336">
        <v>886</v>
      </c>
    </row>
    <row r="592" spans="1:28" ht="12.6" customHeight="1" x14ac:dyDescent="0.2">
      <c r="A592" s="4"/>
      <c r="B592" s="758" t="s">
        <v>619</v>
      </c>
      <c r="C592" s="687"/>
      <c r="D592" s="687"/>
      <c r="E592" s="687"/>
      <c r="F592" s="255">
        <f>16.1*X2</f>
        <v>24794.000000000004</v>
      </c>
      <c r="G592" s="255">
        <f t="shared" ref="G592" si="1655">+F592*$X$1</f>
        <v>24794.000000000004</v>
      </c>
      <c r="H592" s="93">
        <f>F592+7000</f>
        <v>31794.000000000004</v>
      </c>
      <c r="I592" s="270">
        <f t="shared" si="1647"/>
        <v>31794.000000000004</v>
      </c>
      <c r="J592" s="93">
        <f>F592+3000</f>
        <v>27794.000000000004</v>
      </c>
      <c r="K592" s="270">
        <f t="shared" si="1648"/>
        <v>27794.000000000004</v>
      </c>
      <c r="L592" s="93">
        <f>F592+2200</f>
        <v>26994.000000000004</v>
      </c>
      <c r="M592" s="270">
        <f t="shared" si="1649"/>
        <v>26994.000000000004</v>
      </c>
      <c r="N592" s="93">
        <f>F592+2000</f>
        <v>26794.000000000004</v>
      </c>
      <c r="O592" s="270">
        <f t="shared" si="1650"/>
        <v>26794.000000000004</v>
      </c>
      <c r="P592" s="93">
        <f>F592+1800</f>
        <v>26594.000000000004</v>
      </c>
      <c r="Q592" s="270">
        <f t="shared" si="1651"/>
        <v>26594.000000000004</v>
      </c>
      <c r="R592" s="93">
        <f>F592+1650</f>
        <v>26444.000000000004</v>
      </c>
      <c r="S592" s="270">
        <f t="shared" si="1652"/>
        <v>26444.000000000004</v>
      </c>
      <c r="T592" s="93">
        <f>F592+1500</f>
        <v>26294.000000000004</v>
      </c>
      <c r="U592" s="270">
        <f t="shared" si="1653"/>
        <v>26294.000000000004</v>
      </c>
      <c r="V592" s="93">
        <f>F592+1300</f>
        <v>26094.000000000004</v>
      </c>
      <c r="W592" s="270">
        <f t="shared" si="1654"/>
        <v>26094.000000000004</v>
      </c>
      <c r="X592" s="127"/>
      <c r="Y592" s="122"/>
      <c r="Z592" s="128"/>
      <c r="AA592" s="129"/>
      <c r="AB592" s="336" t="s">
        <v>606</v>
      </c>
    </row>
    <row r="593" spans="1:28" ht="12.6" customHeight="1" x14ac:dyDescent="0.2">
      <c r="A593" s="4"/>
      <c r="B593" s="776" t="s">
        <v>618</v>
      </c>
      <c r="C593" s="698"/>
      <c r="D593" s="698"/>
      <c r="E593" s="698"/>
      <c r="F593" s="256">
        <f>16.1*X2</f>
        <v>24794.000000000004</v>
      </c>
      <c r="G593" s="256">
        <f t="shared" ref="G593" si="1656">+F593*$X$1</f>
        <v>24794.000000000004</v>
      </c>
      <c r="H593" s="92">
        <f t="shared" si="1579"/>
        <v>30794.000000000004</v>
      </c>
      <c r="I593" s="280">
        <f t="shared" ref="I593:I596" si="1657">+H593*$X$1</f>
        <v>30794.000000000004</v>
      </c>
      <c r="J593" s="92">
        <f>F593+1600</f>
        <v>26394.000000000004</v>
      </c>
      <c r="K593" s="280">
        <f t="shared" ref="K593:K596" si="1658">+J593*$X$1</f>
        <v>26394.000000000004</v>
      </c>
      <c r="L593" s="92">
        <f>F593+1200</f>
        <v>25994.000000000004</v>
      </c>
      <c r="M593" s="280">
        <f t="shared" ref="M593:M596" si="1659">+L593*$X$1</f>
        <v>25994.000000000004</v>
      </c>
      <c r="N593" s="92">
        <f>F593+1000</f>
        <v>25794.000000000004</v>
      </c>
      <c r="O593" s="280">
        <f t="shared" ref="O593:O596" si="1660">+N593*$X$1</f>
        <v>25794.000000000004</v>
      </c>
      <c r="P593" s="92">
        <f>F593+900</f>
        <v>25694.000000000004</v>
      </c>
      <c r="Q593" s="280">
        <f t="shared" ref="Q593:Q596" si="1661">+P593*$X$1</f>
        <v>25694.000000000004</v>
      </c>
      <c r="R593" s="92">
        <f>F593+800</f>
        <v>25594.000000000004</v>
      </c>
      <c r="S593" s="280">
        <f t="shared" ref="S593:S596" si="1662">+R593*$X$1</f>
        <v>25594.000000000004</v>
      </c>
      <c r="T593" s="92">
        <f>F593+690</f>
        <v>25484.000000000004</v>
      </c>
      <c r="U593" s="280">
        <f t="shared" ref="U593:U596" si="1663">+T593*$X$1</f>
        <v>25484.000000000004</v>
      </c>
      <c r="V593" s="92">
        <f>F593+620</f>
        <v>25414.000000000004</v>
      </c>
      <c r="W593" s="280">
        <f t="shared" ref="W593:W596" si="1664">+V593*$X$1</f>
        <v>25414.000000000004</v>
      </c>
      <c r="X593" s="127"/>
      <c r="Y593" s="122"/>
      <c r="Z593" s="128"/>
      <c r="AA593" s="129"/>
      <c r="AB593" s="336">
        <v>887</v>
      </c>
    </row>
    <row r="594" spans="1:28" ht="12.6" customHeight="1" x14ac:dyDescent="0.2">
      <c r="A594" s="4"/>
      <c r="B594" s="772" t="s">
        <v>554</v>
      </c>
      <c r="C594" s="655"/>
      <c r="D594" s="655"/>
      <c r="E594" s="655"/>
      <c r="F594" s="255">
        <f>14.7*X2</f>
        <v>22638</v>
      </c>
      <c r="G594" s="255">
        <f t="shared" ref="G594:G595" si="1665">+F594*$X$1</f>
        <v>22638</v>
      </c>
      <c r="H594" s="93">
        <f t="shared" si="1579"/>
        <v>28638</v>
      </c>
      <c r="I594" s="270">
        <f t="shared" si="1657"/>
        <v>28638</v>
      </c>
      <c r="J594" s="93">
        <f>F594+1600</f>
        <v>24238</v>
      </c>
      <c r="K594" s="270">
        <f t="shared" si="1658"/>
        <v>24238</v>
      </c>
      <c r="L594" s="93">
        <f>F594+1200</f>
        <v>23838</v>
      </c>
      <c r="M594" s="270">
        <f t="shared" si="1659"/>
        <v>23838</v>
      </c>
      <c r="N594" s="93">
        <f>F594+1000</f>
        <v>23638</v>
      </c>
      <c r="O594" s="270">
        <f t="shared" si="1660"/>
        <v>23638</v>
      </c>
      <c r="P594" s="93">
        <f>F594+900</f>
        <v>23538</v>
      </c>
      <c r="Q594" s="270">
        <f t="shared" si="1661"/>
        <v>23538</v>
      </c>
      <c r="R594" s="93">
        <f>F594+800</f>
        <v>23438</v>
      </c>
      <c r="S594" s="270">
        <f t="shared" si="1662"/>
        <v>23438</v>
      </c>
      <c r="T594" s="93">
        <f>F594+690</f>
        <v>23328</v>
      </c>
      <c r="U594" s="270">
        <f t="shared" si="1663"/>
        <v>23328</v>
      </c>
      <c r="V594" s="93">
        <f>F594+620</f>
        <v>23258</v>
      </c>
      <c r="W594" s="270">
        <f t="shared" si="1664"/>
        <v>23258</v>
      </c>
      <c r="X594" s="127"/>
      <c r="Y594" s="122"/>
      <c r="Z594" s="128"/>
      <c r="AA594" s="129"/>
      <c r="AB594" s="336">
        <v>888</v>
      </c>
    </row>
    <row r="595" spans="1:28" ht="12.6" customHeight="1" x14ac:dyDescent="0.2">
      <c r="A595" s="4"/>
      <c r="B595" s="773" t="s">
        <v>1000</v>
      </c>
      <c r="C595" s="676"/>
      <c r="D595" s="676"/>
      <c r="E595" s="676"/>
      <c r="F595" s="256">
        <f>12.47*X2</f>
        <v>19203.8</v>
      </c>
      <c r="G595" s="256">
        <f t="shared" si="1665"/>
        <v>19203.8</v>
      </c>
      <c r="H595" s="92">
        <f t="shared" si="1579"/>
        <v>25203.8</v>
      </c>
      <c r="I595" s="280">
        <f t="shared" si="1657"/>
        <v>25203.8</v>
      </c>
      <c r="J595" s="92">
        <f>F595+1600</f>
        <v>20803.8</v>
      </c>
      <c r="K595" s="280">
        <f t="shared" si="1658"/>
        <v>20803.8</v>
      </c>
      <c r="L595" s="92">
        <f>F595+1200</f>
        <v>20403.8</v>
      </c>
      <c r="M595" s="280">
        <f t="shared" si="1659"/>
        <v>20403.8</v>
      </c>
      <c r="N595" s="92">
        <f>F595+1000</f>
        <v>20203.8</v>
      </c>
      <c r="O595" s="280">
        <f t="shared" si="1660"/>
        <v>20203.8</v>
      </c>
      <c r="P595" s="92">
        <f>F595+900</f>
        <v>20103.8</v>
      </c>
      <c r="Q595" s="280">
        <f t="shared" si="1661"/>
        <v>20103.8</v>
      </c>
      <c r="R595" s="92">
        <f>F595+800</f>
        <v>20003.8</v>
      </c>
      <c r="S595" s="280">
        <f t="shared" si="1662"/>
        <v>20003.8</v>
      </c>
      <c r="T595" s="92">
        <f>F595+690</f>
        <v>19893.8</v>
      </c>
      <c r="U595" s="280">
        <f t="shared" si="1663"/>
        <v>19893.8</v>
      </c>
      <c r="V595" s="92">
        <f>F595+620</f>
        <v>19823.8</v>
      </c>
      <c r="W595" s="280">
        <f t="shared" si="1664"/>
        <v>19823.8</v>
      </c>
      <c r="X595" s="127"/>
      <c r="Y595" s="122"/>
      <c r="Z595" s="128"/>
      <c r="AA595" s="129"/>
      <c r="AB595" s="336">
        <v>894</v>
      </c>
    </row>
    <row r="596" spans="1:28" ht="12.6" customHeight="1" x14ac:dyDescent="0.2">
      <c r="A596" s="4"/>
      <c r="B596" s="772" t="s">
        <v>584</v>
      </c>
      <c r="C596" s="655"/>
      <c r="D596" s="655"/>
      <c r="E596" s="655"/>
      <c r="F596" s="255">
        <f>12*X2</f>
        <v>18480</v>
      </c>
      <c r="G596" s="255">
        <f t="shared" ref="G596:G601" si="1666">+F596*$X$1</f>
        <v>18480</v>
      </c>
      <c r="H596" s="93">
        <f>F596+7000</f>
        <v>25480</v>
      </c>
      <c r="I596" s="270">
        <f t="shared" si="1657"/>
        <v>25480</v>
      </c>
      <c r="J596" s="93">
        <f>F596+3000</f>
        <v>21480</v>
      </c>
      <c r="K596" s="270">
        <f t="shared" si="1658"/>
        <v>21480</v>
      </c>
      <c r="L596" s="93">
        <f>F596+2200</f>
        <v>20680</v>
      </c>
      <c r="M596" s="270">
        <f t="shared" si="1659"/>
        <v>20680</v>
      </c>
      <c r="N596" s="93">
        <f>F596+2000</f>
        <v>20480</v>
      </c>
      <c r="O596" s="270">
        <f t="shared" si="1660"/>
        <v>20480</v>
      </c>
      <c r="P596" s="93">
        <f>F596+1800</f>
        <v>20280</v>
      </c>
      <c r="Q596" s="270">
        <f t="shared" si="1661"/>
        <v>20280</v>
      </c>
      <c r="R596" s="93">
        <f>F596+1650</f>
        <v>20130</v>
      </c>
      <c r="S596" s="270">
        <f t="shared" si="1662"/>
        <v>20130</v>
      </c>
      <c r="T596" s="93">
        <f>F596+1500</f>
        <v>19980</v>
      </c>
      <c r="U596" s="270">
        <f t="shared" si="1663"/>
        <v>19980</v>
      </c>
      <c r="V596" s="93">
        <f>F596+1300</f>
        <v>19780</v>
      </c>
      <c r="W596" s="270">
        <f t="shared" si="1664"/>
        <v>19780</v>
      </c>
      <c r="X596" s="127"/>
      <c r="Y596" s="122"/>
      <c r="Z596" s="128"/>
      <c r="AA596" s="129"/>
      <c r="AB596" s="336">
        <v>896</v>
      </c>
    </row>
    <row r="597" spans="1:28" ht="12.6" customHeight="1" x14ac:dyDescent="0.2">
      <c r="A597" s="4"/>
      <c r="B597" s="771" t="s">
        <v>856</v>
      </c>
      <c r="C597" s="648"/>
      <c r="D597" s="648"/>
      <c r="E597" s="648"/>
      <c r="F597" s="256">
        <f>12*X2</f>
        <v>18480</v>
      </c>
      <c r="G597" s="256">
        <f t="shared" si="1666"/>
        <v>18480</v>
      </c>
      <c r="H597" s="92">
        <f t="shared" si="1579"/>
        <v>24480</v>
      </c>
      <c r="I597" s="280">
        <f t="shared" ref="I597:I598" si="1667">+H597*$X$1</f>
        <v>24480</v>
      </c>
      <c r="J597" s="92">
        <f>F597+1600</f>
        <v>20080</v>
      </c>
      <c r="K597" s="280">
        <f t="shared" ref="K597:K598" si="1668">+J597*$X$1</f>
        <v>20080</v>
      </c>
      <c r="L597" s="92">
        <f>F597+1200</f>
        <v>19680</v>
      </c>
      <c r="M597" s="280">
        <f t="shared" ref="M597:M598" si="1669">+L597*$X$1</f>
        <v>19680</v>
      </c>
      <c r="N597" s="92">
        <f>F597+1000</f>
        <v>19480</v>
      </c>
      <c r="O597" s="280">
        <f t="shared" ref="O597:O598" si="1670">+N597*$X$1</f>
        <v>19480</v>
      </c>
      <c r="P597" s="92">
        <f>F597+900</f>
        <v>19380</v>
      </c>
      <c r="Q597" s="280">
        <f t="shared" ref="Q597:Q598" si="1671">+P597*$X$1</f>
        <v>19380</v>
      </c>
      <c r="R597" s="92">
        <f>F597+800</f>
        <v>19280</v>
      </c>
      <c r="S597" s="280">
        <f t="shared" ref="S597:S598" si="1672">+R597*$X$1</f>
        <v>19280</v>
      </c>
      <c r="T597" s="92">
        <f>F597+690</f>
        <v>19170</v>
      </c>
      <c r="U597" s="280">
        <f t="shared" ref="U597:U598" si="1673">+T597*$X$1</f>
        <v>19170</v>
      </c>
      <c r="V597" s="92">
        <f>F597+620</f>
        <v>19100</v>
      </c>
      <c r="W597" s="280">
        <f t="shared" ref="W597:W598" si="1674">+V597*$X$1</f>
        <v>19100</v>
      </c>
      <c r="X597" s="127"/>
      <c r="Y597" s="122"/>
      <c r="Z597" s="128"/>
      <c r="AA597" s="129"/>
      <c r="AB597" s="336">
        <v>896</v>
      </c>
    </row>
    <row r="598" spans="1:28" ht="12.6" customHeight="1" x14ac:dyDescent="0.2">
      <c r="A598" s="4"/>
      <c r="B598" s="773" t="s">
        <v>997</v>
      </c>
      <c r="C598" s="676"/>
      <c r="D598" s="676"/>
      <c r="E598" s="676"/>
      <c r="F598" s="255">
        <f>12.3*X2</f>
        <v>18942</v>
      </c>
      <c r="G598" s="255">
        <f t="shared" ref="G598:G599" si="1675">+F598*$X$1</f>
        <v>18942</v>
      </c>
      <c r="H598" s="93">
        <f>F598+7000</f>
        <v>25942</v>
      </c>
      <c r="I598" s="270">
        <f t="shared" si="1667"/>
        <v>25942</v>
      </c>
      <c r="J598" s="93">
        <f>F598+3000</f>
        <v>21942</v>
      </c>
      <c r="K598" s="270">
        <f t="shared" si="1668"/>
        <v>21942</v>
      </c>
      <c r="L598" s="93">
        <f>F598+2200</f>
        <v>21142</v>
      </c>
      <c r="M598" s="270">
        <f t="shared" si="1669"/>
        <v>21142</v>
      </c>
      <c r="N598" s="93">
        <f>F598+2000</f>
        <v>20942</v>
      </c>
      <c r="O598" s="270">
        <f t="shared" si="1670"/>
        <v>20942</v>
      </c>
      <c r="P598" s="93">
        <f>F598+1800</f>
        <v>20742</v>
      </c>
      <c r="Q598" s="270">
        <f t="shared" si="1671"/>
        <v>20742</v>
      </c>
      <c r="R598" s="93">
        <f>F598+1650</f>
        <v>20592</v>
      </c>
      <c r="S598" s="270">
        <f t="shared" si="1672"/>
        <v>20592</v>
      </c>
      <c r="T598" s="93">
        <f>F598+1500</f>
        <v>20442</v>
      </c>
      <c r="U598" s="270">
        <f t="shared" si="1673"/>
        <v>20442</v>
      </c>
      <c r="V598" s="93">
        <f>F598+1300</f>
        <v>20242</v>
      </c>
      <c r="W598" s="270">
        <f t="shared" si="1674"/>
        <v>20242</v>
      </c>
      <c r="X598" s="127"/>
      <c r="Y598" s="122"/>
      <c r="Z598" s="128"/>
      <c r="AA598" s="129"/>
      <c r="AB598" s="336">
        <v>897</v>
      </c>
    </row>
    <row r="599" spans="1:28" ht="12.6" customHeight="1" x14ac:dyDescent="0.2">
      <c r="A599" s="4"/>
      <c r="B599" s="773" t="s">
        <v>1001</v>
      </c>
      <c r="C599" s="676"/>
      <c r="D599" s="676"/>
      <c r="E599" s="676"/>
      <c r="F599" s="256">
        <f>12.3*X2</f>
        <v>18942</v>
      </c>
      <c r="G599" s="256">
        <f t="shared" si="1675"/>
        <v>18942</v>
      </c>
      <c r="H599" s="92">
        <f t="shared" si="1579"/>
        <v>24942</v>
      </c>
      <c r="I599" s="280">
        <f t="shared" ref="I599:I601" si="1676">+H599*$X$1</f>
        <v>24942</v>
      </c>
      <c r="J599" s="92">
        <f>F599+1600</f>
        <v>20542</v>
      </c>
      <c r="K599" s="280">
        <f t="shared" ref="K599:K601" si="1677">+J599*$X$1</f>
        <v>20542</v>
      </c>
      <c r="L599" s="92">
        <f>F599+1200</f>
        <v>20142</v>
      </c>
      <c r="M599" s="280">
        <f t="shared" ref="M599:M601" si="1678">+L599*$X$1</f>
        <v>20142</v>
      </c>
      <c r="N599" s="92">
        <f>F599+1000</f>
        <v>19942</v>
      </c>
      <c r="O599" s="280">
        <f t="shared" ref="O599:O601" si="1679">+N599*$X$1</f>
        <v>19942</v>
      </c>
      <c r="P599" s="92">
        <f>F599+900</f>
        <v>19842</v>
      </c>
      <c r="Q599" s="280">
        <f t="shared" ref="Q599:Q601" si="1680">+P599*$X$1</f>
        <v>19842</v>
      </c>
      <c r="R599" s="92">
        <f>F599+800</f>
        <v>19742</v>
      </c>
      <c r="S599" s="280">
        <f t="shared" ref="S599:S601" si="1681">+R599*$X$1</f>
        <v>19742</v>
      </c>
      <c r="T599" s="92">
        <f>F599+690</f>
        <v>19632</v>
      </c>
      <c r="U599" s="280">
        <f t="shared" ref="U599:U601" si="1682">+T599*$X$1</f>
        <v>19632</v>
      </c>
      <c r="V599" s="92">
        <f>F599+620</f>
        <v>19562</v>
      </c>
      <c r="W599" s="280">
        <f t="shared" ref="W599:W601" si="1683">+V599*$X$1</f>
        <v>19562</v>
      </c>
      <c r="X599" s="127"/>
      <c r="Y599" s="122"/>
      <c r="Z599" s="128"/>
      <c r="AA599" s="129"/>
      <c r="AB599" s="336" t="s">
        <v>999</v>
      </c>
    </row>
    <row r="600" spans="1:28" ht="12.6" customHeight="1" x14ac:dyDescent="0.2">
      <c r="A600" s="4"/>
      <c r="B600" s="772" t="s">
        <v>777</v>
      </c>
      <c r="C600" s="775"/>
      <c r="D600" s="775"/>
      <c r="E600" s="775"/>
      <c r="F600" s="255">
        <v>25220</v>
      </c>
      <c r="G600" s="255">
        <f t="shared" ref="G600" si="1684">+F600*$X$1</f>
        <v>25220</v>
      </c>
      <c r="H600" s="93">
        <f>F600+7000</f>
        <v>32220</v>
      </c>
      <c r="I600" s="270">
        <f t="shared" si="1676"/>
        <v>32220</v>
      </c>
      <c r="J600" s="93">
        <f>F600+3000</f>
        <v>28220</v>
      </c>
      <c r="K600" s="270">
        <f t="shared" si="1677"/>
        <v>28220</v>
      </c>
      <c r="L600" s="93">
        <f>F600+2200</f>
        <v>27420</v>
      </c>
      <c r="M600" s="270">
        <f t="shared" si="1678"/>
        <v>27420</v>
      </c>
      <c r="N600" s="93">
        <f>F600+2000</f>
        <v>27220</v>
      </c>
      <c r="O600" s="270">
        <f t="shared" si="1679"/>
        <v>27220</v>
      </c>
      <c r="P600" s="93">
        <f>F600+1800</f>
        <v>27020</v>
      </c>
      <c r="Q600" s="270">
        <f t="shared" si="1680"/>
        <v>27020</v>
      </c>
      <c r="R600" s="93">
        <f>F600+1650</f>
        <v>26870</v>
      </c>
      <c r="S600" s="270">
        <f t="shared" si="1681"/>
        <v>26870</v>
      </c>
      <c r="T600" s="93">
        <f>F600+1500</f>
        <v>26720</v>
      </c>
      <c r="U600" s="270">
        <f t="shared" si="1682"/>
        <v>26720</v>
      </c>
      <c r="V600" s="93">
        <f>F600+1300</f>
        <v>26520</v>
      </c>
      <c r="W600" s="270">
        <f t="shared" si="1683"/>
        <v>26520</v>
      </c>
      <c r="X600" s="127"/>
      <c r="Y600" s="122"/>
      <c r="Z600" s="128"/>
      <c r="AA600" s="129"/>
      <c r="AB600" s="336">
        <v>898</v>
      </c>
    </row>
    <row r="601" spans="1:28" ht="12.6" customHeight="1" x14ac:dyDescent="0.2">
      <c r="A601" s="4"/>
      <c r="B601" s="771" t="s">
        <v>556</v>
      </c>
      <c r="C601" s="923"/>
      <c r="D601" s="923"/>
      <c r="E601" s="923"/>
      <c r="F601" s="256">
        <f>18.7*X2</f>
        <v>28798</v>
      </c>
      <c r="G601" s="256">
        <f t="shared" si="1666"/>
        <v>28798</v>
      </c>
      <c r="H601" s="92">
        <f>F601+7000</f>
        <v>35798</v>
      </c>
      <c r="I601" s="280">
        <f t="shared" si="1676"/>
        <v>35798</v>
      </c>
      <c r="J601" s="92">
        <f>F601+3000</f>
        <v>31798</v>
      </c>
      <c r="K601" s="280">
        <f t="shared" si="1677"/>
        <v>31798</v>
      </c>
      <c r="L601" s="92">
        <f>F601+2200</f>
        <v>30998</v>
      </c>
      <c r="M601" s="280">
        <f t="shared" si="1678"/>
        <v>30998</v>
      </c>
      <c r="N601" s="92">
        <f>F601+2000</f>
        <v>30798</v>
      </c>
      <c r="O601" s="280">
        <f t="shared" si="1679"/>
        <v>30798</v>
      </c>
      <c r="P601" s="92">
        <f>F601+1800</f>
        <v>30598</v>
      </c>
      <c r="Q601" s="280">
        <f t="shared" si="1680"/>
        <v>30598</v>
      </c>
      <c r="R601" s="92">
        <f>F601+1650</f>
        <v>30448</v>
      </c>
      <c r="S601" s="280">
        <f t="shared" si="1681"/>
        <v>30448</v>
      </c>
      <c r="T601" s="92">
        <f>F601+1500</f>
        <v>30298</v>
      </c>
      <c r="U601" s="280">
        <f t="shared" si="1682"/>
        <v>30298</v>
      </c>
      <c r="V601" s="92">
        <f>F601+1300</f>
        <v>30098</v>
      </c>
      <c r="W601" s="280">
        <f t="shared" si="1683"/>
        <v>30098</v>
      </c>
      <c r="X601" s="127"/>
      <c r="Y601" s="122"/>
      <c r="Z601" s="128"/>
      <c r="AA601" s="129"/>
      <c r="AB601" s="336">
        <v>899</v>
      </c>
    </row>
    <row r="602" spans="1:28" ht="12.6" customHeight="1" x14ac:dyDescent="0.2">
      <c r="A602" s="4"/>
      <c r="B602" s="772" t="s">
        <v>562</v>
      </c>
      <c r="C602" s="775"/>
      <c r="D602" s="775"/>
      <c r="E602" s="775"/>
      <c r="F602" s="255">
        <f>18.7*X2</f>
        <v>28798</v>
      </c>
      <c r="G602" s="255">
        <f>+F602*$X$1</f>
        <v>28798</v>
      </c>
      <c r="H602" s="93">
        <f t="shared" si="1579"/>
        <v>34798</v>
      </c>
      <c r="I602" s="270">
        <f t="shared" ref="I602:I603" si="1685">+H602*$X$1</f>
        <v>34798</v>
      </c>
      <c r="J602" s="93">
        <f>F602+1600</f>
        <v>30398</v>
      </c>
      <c r="K602" s="270">
        <f t="shared" ref="K602:K603" si="1686">+J602*$X$1</f>
        <v>30398</v>
      </c>
      <c r="L602" s="93">
        <f>F602+1200</f>
        <v>29998</v>
      </c>
      <c r="M602" s="270">
        <f t="shared" ref="M602:M603" si="1687">+L602*$X$1</f>
        <v>29998</v>
      </c>
      <c r="N602" s="93">
        <f>F602+1000</f>
        <v>29798</v>
      </c>
      <c r="O602" s="270">
        <f t="shared" ref="O602:O603" si="1688">+N602*$X$1</f>
        <v>29798</v>
      </c>
      <c r="P602" s="93">
        <f>F602+900</f>
        <v>29698</v>
      </c>
      <c r="Q602" s="270">
        <f t="shared" ref="Q602:Q603" si="1689">+P602*$X$1</f>
        <v>29698</v>
      </c>
      <c r="R602" s="93">
        <f>F602+800</f>
        <v>29598</v>
      </c>
      <c r="S602" s="270">
        <f t="shared" ref="S602:S603" si="1690">+R602*$X$1</f>
        <v>29598</v>
      </c>
      <c r="T602" s="93">
        <f>F602+690</f>
        <v>29488</v>
      </c>
      <c r="U602" s="270">
        <f t="shared" ref="U602:U603" si="1691">+T602*$X$1</f>
        <v>29488</v>
      </c>
      <c r="V602" s="93">
        <f>F602+620</f>
        <v>29418</v>
      </c>
      <c r="W602" s="270">
        <f t="shared" ref="W602:W603" si="1692">+V602*$X$1</f>
        <v>29418</v>
      </c>
      <c r="X602" s="127"/>
      <c r="Y602" s="122"/>
      <c r="Z602" s="128"/>
      <c r="AA602" s="129"/>
      <c r="AB602" s="336" t="s">
        <v>563</v>
      </c>
    </row>
    <row r="603" spans="1:28" ht="12.6" customHeight="1" x14ac:dyDescent="0.2">
      <c r="A603" s="4"/>
      <c r="B603" s="771" t="s">
        <v>440</v>
      </c>
      <c r="C603" s="688"/>
      <c r="D603" s="688"/>
      <c r="E603" s="688"/>
      <c r="F603" s="256">
        <f>19*X2</f>
        <v>29260</v>
      </c>
      <c r="G603" s="256">
        <f t="shared" ref="G603" si="1693">+F603*$X$1</f>
        <v>29260</v>
      </c>
      <c r="H603" s="92">
        <f>F603+7000</f>
        <v>36260</v>
      </c>
      <c r="I603" s="280">
        <f t="shared" si="1685"/>
        <v>36260</v>
      </c>
      <c r="J603" s="92">
        <f>F603+3000</f>
        <v>32260</v>
      </c>
      <c r="K603" s="280">
        <f t="shared" si="1686"/>
        <v>32260</v>
      </c>
      <c r="L603" s="92">
        <f>F603+2200</f>
        <v>31460</v>
      </c>
      <c r="M603" s="280">
        <f t="shared" si="1687"/>
        <v>31460</v>
      </c>
      <c r="N603" s="92">
        <f>F603+2000</f>
        <v>31260</v>
      </c>
      <c r="O603" s="280">
        <f t="shared" si="1688"/>
        <v>31260</v>
      </c>
      <c r="P603" s="92">
        <f>F603+1800</f>
        <v>31060</v>
      </c>
      <c r="Q603" s="280">
        <f t="shared" si="1689"/>
        <v>31060</v>
      </c>
      <c r="R603" s="92">
        <f>F603+1650</f>
        <v>30910</v>
      </c>
      <c r="S603" s="280">
        <f t="shared" si="1690"/>
        <v>30910</v>
      </c>
      <c r="T603" s="92">
        <f>F603+1500</f>
        <v>30760</v>
      </c>
      <c r="U603" s="280">
        <f t="shared" si="1691"/>
        <v>30760</v>
      </c>
      <c r="V603" s="92">
        <f>F603+1300</f>
        <v>30560</v>
      </c>
      <c r="W603" s="280">
        <f t="shared" si="1692"/>
        <v>30560</v>
      </c>
      <c r="X603" s="127"/>
      <c r="Y603" s="122"/>
      <c r="Z603" s="128"/>
      <c r="AA603" s="129"/>
      <c r="AB603" s="336">
        <v>900</v>
      </c>
    </row>
    <row r="604" spans="1:28" ht="12.6" customHeight="1" x14ac:dyDescent="0.2">
      <c r="A604" s="4"/>
      <c r="B604" s="773" t="s">
        <v>990</v>
      </c>
      <c r="C604" s="636"/>
      <c r="D604" s="636"/>
      <c r="E604" s="636"/>
      <c r="F604" s="255">
        <f>19*X2</f>
        <v>29260</v>
      </c>
      <c r="G604" s="255">
        <f>+F604*$X$1</f>
        <v>29260</v>
      </c>
      <c r="H604" s="93">
        <f t="shared" si="1579"/>
        <v>35260</v>
      </c>
      <c r="I604" s="270">
        <f t="shared" ref="I604:I605" si="1694">+H604*$X$1</f>
        <v>35260</v>
      </c>
      <c r="J604" s="93">
        <f>F604+1600</f>
        <v>30860</v>
      </c>
      <c r="K604" s="270">
        <f t="shared" ref="K604:K611" si="1695">+J604*$X$1</f>
        <v>30860</v>
      </c>
      <c r="L604" s="93">
        <f>F604+1200</f>
        <v>30460</v>
      </c>
      <c r="M604" s="270">
        <f t="shared" ref="M604:M611" si="1696">+L604*$X$1</f>
        <v>30460</v>
      </c>
      <c r="N604" s="93">
        <f>F604+1000</f>
        <v>30260</v>
      </c>
      <c r="O604" s="270">
        <f t="shared" ref="O604:O611" si="1697">+N604*$X$1</f>
        <v>30260</v>
      </c>
      <c r="P604" s="93">
        <f>F604+900</f>
        <v>30160</v>
      </c>
      <c r="Q604" s="270">
        <f t="shared" ref="Q604:Q605" si="1698">+P604*$X$1</f>
        <v>30160</v>
      </c>
      <c r="R604" s="93">
        <f>F604+800</f>
        <v>30060</v>
      </c>
      <c r="S604" s="270">
        <f t="shared" ref="S604:S605" si="1699">+R604*$X$1</f>
        <v>30060</v>
      </c>
      <c r="T604" s="93">
        <f>F604+690</f>
        <v>29950</v>
      </c>
      <c r="U604" s="270">
        <f t="shared" ref="U604:U605" si="1700">+T604*$X$1</f>
        <v>29950</v>
      </c>
      <c r="V604" s="93">
        <f>F604+620</f>
        <v>29880</v>
      </c>
      <c r="W604" s="270">
        <f t="shared" ref="W604:W605" si="1701">+V604*$X$1</f>
        <v>29880</v>
      </c>
      <c r="X604" s="127"/>
      <c r="Y604" s="122"/>
      <c r="Z604" s="128"/>
      <c r="AA604" s="129"/>
      <c r="AB604" s="336" t="s">
        <v>991</v>
      </c>
    </row>
    <row r="605" spans="1:28" ht="12.6" customHeight="1" x14ac:dyDescent="0.2">
      <c r="A605" s="4"/>
      <c r="B605" s="771" t="s">
        <v>994</v>
      </c>
      <c r="C605" s="688"/>
      <c r="D605" s="688"/>
      <c r="E605" s="688"/>
      <c r="F605" s="256">
        <v>17450</v>
      </c>
      <c r="G605" s="256">
        <f t="shared" ref="G605" si="1702">+F605*$X$1</f>
        <v>17450</v>
      </c>
      <c r="H605" s="92">
        <f>F605+7000</f>
        <v>24450</v>
      </c>
      <c r="I605" s="280">
        <f t="shared" si="1694"/>
        <v>24450</v>
      </c>
      <c r="J605" s="92">
        <f>F605+3000</f>
        <v>20450</v>
      </c>
      <c r="K605" s="280">
        <f t="shared" si="1695"/>
        <v>20450</v>
      </c>
      <c r="L605" s="92">
        <f>F605+2200</f>
        <v>19650</v>
      </c>
      <c r="M605" s="280">
        <f t="shared" si="1696"/>
        <v>19650</v>
      </c>
      <c r="N605" s="92">
        <f>F605+2000</f>
        <v>19450</v>
      </c>
      <c r="O605" s="280">
        <f t="shared" si="1697"/>
        <v>19450</v>
      </c>
      <c r="P605" s="92">
        <f>F605+1800</f>
        <v>19250</v>
      </c>
      <c r="Q605" s="280">
        <f t="shared" si="1698"/>
        <v>19250</v>
      </c>
      <c r="R605" s="92">
        <f>F605+1650</f>
        <v>19100</v>
      </c>
      <c r="S605" s="280">
        <f t="shared" si="1699"/>
        <v>19100</v>
      </c>
      <c r="T605" s="92">
        <f>F605+1500</f>
        <v>18950</v>
      </c>
      <c r="U605" s="280">
        <f t="shared" si="1700"/>
        <v>18950</v>
      </c>
      <c r="V605" s="92">
        <f>F605+1300</f>
        <v>18750</v>
      </c>
      <c r="W605" s="280">
        <f t="shared" si="1701"/>
        <v>18750</v>
      </c>
      <c r="X605" s="127"/>
      <c r="Y605" s="122"/>
      <c r="Z605" s="128"/>
      <c r="AA605" s="129"/>
      <c r="AB605" s="336" t="s">
        <v>995</v>
      </c>
    </row>
    <row r="606" spans="1:28" ht="12.6" customHeight="1" x14ac:dyDescent="0.2">
      <c r="A606" s="4"/>
      <c r="B606" s="772" t="s">
        <v>993</v>
      </c>
      <c r="C606" s="655"/>
      <c r="D606" s="655"/>
      <c r="E606" s="655"/>
      <c r="F606" s="255">
        <v>17450</v>
      </c>
      <c r="G606" s="255">
        <f t="shared" ref="G606" si="1703">+F606*$X$1</f>
        <v>17450</v>
      </c>
      <c r="H606" s="93">
        <f t="shared" si="1579"/>
        <v>23450</v>
      </c>
      <c r="I606" s="270">
        <f t="shared" ref="I606:I607" si="1704">+H606*$X$1</f>
        <v>23450</v>
      </c>
      <c r="J606" s="93">
        <f>F606+1600</f>
        <v>19050</v>
      </c>
      <c r="K606" s="270">
        <f t="shared" ref="K606:K607" si="1705">+J606*$X$1</f>
        <v>19050</v>
      </c>
      <c r="L606" s="93">
        <f>F606+1200</f>
        <v>18650</v>
      </c>
      <c r="M606" s="270">
        <f t="shared" ref="M606:M607" si="1706">+L606*$X$1</f>
        <v>18650</v>
      </c>
      <c r="N606" s="93">
        <f>F606+1000</f>
        <v>18450</v>
      </c>
      <c r="O606" s="270">
        <f t="shared" ref="O606:O607" si="1707">+N606*$X$1</f>
        <v>18450</v>
      </c>
      <c r="P606" s="93">
        <f>F606+900</f>
        <v>18350</v>
      </c>
      <c r="Q606" s="270">
        <f t="shared" ref="Q606:Q607" si="1708">+P606*$X$1</f>
        <v>18350</v>
      </c>
      <c r="R606" s="93">
        <f>F606+800</f>
        <v>18250</v>
      </c>
      <c r="S606" s="270">
        <f t="shared" ref="S606:S607" si="1709">+R606*$X$1</f>
        <v>18250</v>
      </c>
      <c r="T606" s="93">
        <f>F606+690</f>
        <v>18140</v>
      </c>
      <c r="U606" s="270">
        <f t="shared" ref="U606:U607" si="1710">+T606*$X$1</f>
        <v>18140</v>
      </c>
      <c r="V606" s="93">
        <f>F606+620</f>
        <v>18070</v>
      </c>
      <c r="W606" s="270">
        <f t="shared" ref="W606:W607" si="1711">+V606*$X$1</f>
        <v>18070</v>
      </c>
      <c r="X606" s="127"/>
      <c r="Y606" s="122"/>
      <c r="Z606" s="128"/>
      <c r="AA606" s="129"/>
      <c r="AB606" s="336">
        <v>902</v>
      </c>
    </row>
    <row r="607" spans="1:28" ht="12.6" customHeight="1" x14ac:dyDescent="0.2">
      <c r="A607" s="4"/>
      <c r="B607" s="771" t="s">
        <v>970</v>
      </c>
      <c r="C607" s="688"/>
      <c r="D607" s="688"/>
      <c r="E607" s="688"/>
      <c r="F607" s="288">
        <v>20490</v>
      </c>
      <c r="G607" s="256">
        <f>+F607*$X$1</f>
        <v>20490</v>
      </c>
      <c r="H607" s="92">
        <f>F607+7000</f>
        <v>27490</v>
      </c>
      <c r="I607" s="280">
        <f t="shared" si="1704"/>
        <v>27490</v>
      </c>
      <c r="J607" s="92">
        <f>F607+3000</f>
        <v>23490</v>
      </c>
      <c r="K607" s="280">
        <f t="shared" si="1705"/>
        <v>23490</v>
      </c>
      <c r="L607" s="92">
        <f>F607+2200</f>
        <v>22690</v>
      </c>
      <c r="M607" s="280">
        <f t="shared" si="1706"/>
        <v>22690</v>
      </c>
      <c r="N607" s="92">
        <f>F607+2000</f>
        <v>22490</v>
      </c>
      <c r="O607" s="280">
        <f t="shared" si="1707"/>
        <v>22490</v>
      </c>
      <c r="P607" s="92">
        <f>F607+1800</f>
        <v>22290</v>
      </c>
      <c r="Q607" s="280">
        <f t="shared" si="1708"/>
        <v>22290</v>
      </c>
      <c r="R607" s="92">
        <f>F607+1650</f>
        <v>22140</v>
      </c>
      <c r="S607" s="280">
        <f t="shared" si="1709"/>
        <v>22140</v>
      </c>
      <c r="T607" s="92">
        <f>F607+1500</f>
        <v>21990</v>
      </c>
      <c r="U607" s="280">
        <f t="shared" si="1710"/>
        <v>21990</v>
      </c>
      <c r="V607" s="92">
        <f>F607+1300</f>
        <v>21790</v>
      </c>
      <c r="W607" s="280">
        <f t="shared" si="1711"/>
        <v>21790</v>
      </c>
      <c r="X607" s="127"/>
      <c r="Y607" s="122"/>
      <c r="Z607" s="128"/>
      <c r="AA607" s="129"/>
      <c r="AB607" s="336" t="s">
        <v>998</v>
      </c>
    </row>
    <row r="608" spans="1:28" ht="12.6" customHeight="1" x14ac:dyDescent="0.2">
      <c r="A608" s="4"/>
      <c r="B608" s="772" t="s">
        <v>971</v>
      </c>
      <c r="C608" s="725"/>
      <c r="D608" s="725"/>
      <c r="E608" s="725"/>
      <c r="F608" s="289">
        <v>20490</v>
      </c>
      <c r="G608" s="255">
        <f>+F608*$X$1</f>
        <v>20490</v>
      </c>
      <c r="H608" s="93">
        <f t="shared" si="1579"/>
        <v>26490</v>
      </c>
      <c r="I608" s="270">
        <f t="shared" ref="I608:I609" si="1712">+H608*$X$1</f>
        <v>26490</v>
      </c>
      <c r="J608" s="93">
        <f>F608+1600</f>
        <v>22090</v>
      </c>
      <c r="K608" s="270">
        <f t="shared" ref="K608:K609" si="1713">+J608*$X$1</f>
        <v>22090</v>
      </c>
      <c r="L608" s="93">
        <f>F608+1200</f>
        <v>21690</v>
      </c>
      <c r="M608" s="270">
        <f t="shared" ref="M608:M609" si="1714">+L608*$X$1</f>
        <v>21690</v>
      </c>
      <c r="N608" s="93">
        <f>F608+1000</f>
        <v>21490</v>
      </c>
      <c r="O608" s="270">
        <f t="shared" ref="O608:O609" si="1715">+N608*$X$1</f>
        <v>21490</v>
      </c>
      <c r="P608" s="93">
        <f>F608+900</f>
        <v>21390</v>
      </c>
      <c r="Q608" s="270">
        <f t="shared" ref="Q608:Q609" si="1716">+P608*$X$1</f>
        <v>21390</v>
      </c>
      <c r="R608" s="93">
        <f>F608+800</f>
        <v>21290</v>
      </c>
      <c r="S608" s="270">
        <f t="shared" ref="S608:S609" si="1717">+R608*$X$1</f>
        <v>21290</v>
      </c>
      <c r="T608" s="93">
        <f>F608+690</f>
        <v>21180</v>
      </c>
      <c r="U608" s="270">
        <f t="shared" ref="U608:U609" si="1718">+T608*$X$1</f>
        <v>21180</v>
      </c>
      <c r="V608" s="93">
        <f>F608+620</f>
        <v>21110</v>
      </c>
      <c r="W608" s="270">
        <f t="shared" ref="W608:W609" si="1719">+V608*$X$1</f>
        <v>21110</v>
      </c>
      <c r="X608" s="127"/>
      <c r="Y608" s="122"/>
      <c r="Z608" s="128"/>
      <c r="AA608" s="129"/>
      <c r="AB608" s="336">
        <v>905</v>
      </c>
    </row>
    <row r="609" spans="1:34" ht="12.6" customHeight="1" x14ac:dyDescent="0.2">
      <c r="A609" s="4"/>
      <c r="B609" s="771" t="s">
        <v>594</v>
      </c>
      <c r="C609" s="688"/>
      <c r="D609" s="688"/>
      <c r="E609" s="688"/>
      <c r="F609" s="256">
        <f>13.5*X2</f>
        <v>20790</v>
      </c>
      <c r="G609" s="256">
        <f>+F609*$X$1</f>
        <v>20790</v>
      </c>
      <c r="H609" s="92">
        <f>F609+7000</f>
        <v>27790</v>
      </c>
      <c r="I609" s="280">
        <f t="shared" si="1712"/>
        <v>27790</v>
      </c>
      <c r="J609" s="92">
        <f>F609+3000</f>
        <v>23790</v>
      </c>
      <c r="K609" s="280">
        <f t="shared" si="1713"/>
        <v>23790</v>
      </c>
      <c r="L609" s="92">
        <f>F609+2200</f>
        <v>22990</v>
      </c>
      <c r="M609" s="280">
        <f t="shared" si="1714"/>
        <v>22990</v>
      </c>
      <c r="N609" s="92">
        <f>F609+2000</f>
        <v>22790</v>
      </c>
      <c r="O609" s="280">
        <f t="shared" si="1715"/>
        <v>22790</v>
      </c>
      <c r="P609" s="92">
        <f>F609+1800</f>
        <v>22590</v>
      </c>
      <c r="Q609" s="280">
        <f t="shared" si="1716"/>
        <v>22590</v>
      </c>
      <c r="R609" s="92">
        <f>F609+1650</f>
        <v>22440</v>
      </c>
      <c r="S609" s="280">
        <f t="shared" si="1717"/>
        <v>22440</v>
      </c>
      <c r="T609" s="92">
        <f>F609+1500</f>
        <v>22290</v>
      </c>
      <c r="U609" s="280">
        <f t="shared" si="1718"/>
        <v>22290</v>
      </c>
      <c r="V609" s="92">
        <f>F609+1300</f>
        <v>22090</v>
      </c>
      <c r="W609" s="280">
        <f t="shared" si="1719"/>
        <v>22090</v>
      </c>
      <c r="X609" s="127"/>
      <c r="Y609" s="122"/>
      <c r="Z609" s="128"/>
      <c r="AA609" s="129"/>
      <c r="AB609" s="336">
        <v>906</v>
      </c>
    </row>
    <row r="610" spans="1:34" ht="12.6" customHeight="1" x14ac:dyDescent="0.2">
      <c r="A610" s="4"/>
      <c r="B610" s="772" t="s">
        <v>595</v>
      </c>
      <c r="C610" s="725"/>
      <c r="D610" s="725"/>
      <c r="E610" s="725"/>
      <c r="F610" s="255">
        <f>13.5*X2</f>
        <v>20790</v>
      </c>
      <c r="G610" s="255">
        <f>+F610*$X$1</f>
        <v>20790</v>
      </c>
      <c r="H610" s="93">
        <f t="shared" si="1579"/>
        <v>26790</v>
      </c>
      <c r="I610" s="270">
        <f t="shared" ref="I610:I611" si="1720">+H610*$X$1</f>
        <v>26790</v>
      </c>
      <c r="J610" s="93">
        <f>F610+1600</f>
        <v>22390</v>
      </c>
      <c r="K610" s="270">
        <f t="shared" si="1695"/>
        <v>22390</v>
      </c>
      <c r="L610" s="93">
        <f>F610+1200</f>
        <v>21990</v>
      </c>
      <c r="M610" s="270">
        <f t="shared" si="1696"/>
        <v>21990</v>
      </c>
      <c r="N610" s="93">
        <f>F610+1000</f>
        <v>21790</v>
      </c>
      <c r="O610" s="270">
        <f t="shared" si="1697"/>
        <v>21790</v>
      </c>
      <c r="P610" s="93">
        <f>F610+900</f>
        <v>21690</v>
      </c>
      <c r="Q610" s="270">
        <f t="shared" ref="Q610:Q611" si="1721">+P610*$X$1</f>
        <v>21690</v>
      </c>
      <c r="R610" s="93">
        <f>F610+800</f>
        <v>21590</v>
      </c>
      <c r="S610" s="270">
        <f t="shared" ref="S610:S611" si="1722">+R610*$X$1</f>
        <v>21590</v>
      </c>
      <c r="T610" s="93">
        <f>F610+690</f>
        <v>21480</v>
      </c>
      <c r="U610" s="270">
        <f t="shared" ref="U610:U611" si="1723">+T610*$X$1</f>
        <v>21480</v>
      </c>
      <c r="V610" s="93">
        <f>F610+620</f>
        <v>21410</v>
      </c>
      <c r="W610" s="270">
        <f t="shared" ref="W610:W611" si="1724">+V610*$X$1</f>
        <v>21410</v>
      </c>
      <c r="X610" s="127"/>
      <c r="Y610" s="122"/>
      <c r="Z610" s="128"/>
      <c r="AA610" s="129"/>
      <c r="AB610" s="336">
        <v>906</v>
      </c>
    </row>
    <row r="611" spans="1:34" ht="12.6" customHeight="1" x14ac:dyDescent="0.2">
      <c r="A611" s="4"/>
      <c r="B611" s="771" t="s">
        <v>553</v>
      </c>
      <c r="C611" s="648"/>
      <c r="D611" s="648"/>
      <c r="E611" s="648"/>
      <c r="F611" s="282">
        <f>21.1*X2</f>
        <v>32494.000000000004</v>
      </c>
      <c r="G611" s="256">
        <f t="shared" ref="G611" si="1725">+F611*$X$1</f>
        <v>32494.000000000004</v>
      </c>
      <c r="H611" s="92">
        <f>F611+7000</f>
        <v>39494</v>
      </c>
      <c r="I611" s="280">
        <f t="shared" si="1720"/>
        <v>39494</v>
      </c>
      <c r="J611" s="92">
        <f>F611+3000</f>
        <v>35494</v>
      </c>
      <c r="K611" s="280">
        <f t="shared" si="1695"/>
        <v>35494</v>
      </c>
      <c r="L611" s="92">
        <f>F611+2200</f>
        <v>34694</v>
      </c>
      <c r="M611" s="280">
        <f t="shared" si="1696"/>
        <v>34694</v>
      </c>
      <c r="N611" s="92">
        <f>F611+2000</f>
        <v>34494</v>
      </c>
      <c r="O611" s="280">
        <f t="shared" si="1697"/>
        <v>34494</v>
      </c>
      <c r="P611" s="92">
        <f>F611+1800</f>
        <v>34294</v>
      </c>
      <c r="Q611" s="280">
        <f t="shared" si="1721"/>
        <v>34294</v>
      </c>
      <c r="R611" s="92">
        <f>F611+1650</f>
        <v>34144</v>
      </c>
      <c r="S611" s="280">
        <f t="shared" si="1722"/>
        <v>34144</v>
      </c>
      <c r="T611" s="92">
        <f>F611+1500</f>
        <v>33994</v>
      </c>
      <c r="U611" s="280">
        <f t="shared" si="1723"/>
        <v>33994</v>
      </c>
      <c r="V611" s="92">
        <f>F611+1300</f>
        <v>33794</v>
      </c>
      <c r="W611" s="280">
        <f t="shared" si="1724"/>
        <v>33794</v>
      </c>
      <c r="X611" s="127"/>
      <c r="Y611" s="122"/>
      <c r="Z611" s="128"/>
      <c r="AA611" s="129"/>
      <c r="AB611" s="336" t="s">
        <v>564</v>
      </c>
    </row>
    <row r="612" spans="1:34" ht="12.6" customHeight="1" x14ac:dyDescent="0.2">
      <c r="A612" s="4"/>
      <c r="B612" s="772" t="s">
        <v>593</v>
      </c>
      <c r="C612" s="655"/>
      <c r="D612" s="655"/>
      <c r="E612" s="655"/>
      <c r="F612" s="596">
        <f>21.1*X2</f>
        <v>32494.000000000004</v>
      </c>
      <c r="G612" s="255">
        <f t="shared" ref="G612" si="1726">+F612*$X$1</f>
        <v>32494.000000000004</v>
      </c>
      <c r="H612" s="93">
        <f t="shared" si="1579"/>
        <v>38494</v>
      </c>
      <c r="I612" s="270">
        <f t="shared" ref="I612" si="1727">+H612*$X$1</f>
        <v>38494</v>
      </c>
      <c r="J612" s="93">
        <f>F612+1600</f>
        <v>34094</v>
      </c>
      <c r="K612" s="270">
        <f t="shared" ref="K612" si="1728">+J612*$X$1</f>
        <v>34094</v>
      </c>
      <c r="L612" s="93">
        <f>F612+1200</f>
        <v>33694</v>
      </c>
      <c r="M612" s="270">
        <f t="shared" ref="M612" si="1729">+L612*$X$1</f>
        <v>33694</v>
      </c>
      <c r="N612" s="93">
        <f>F612+1000</f>
        <v>33494</v>
      </c>
      <c r="O612" s="270">
        <f t="shared" ref="O612" si="1730">+N612*$X$1</f>
        <v>33494</v>
      </c>
      <c r="P612" s="93"/>
      <c r="Q612" s="270"/>
      <c r="R612" s="93"/>
      <c r="S612" s="270"/>
      <c r="T612" s="93"/>
      <c r="U612" s="270"/>
      <c r="V612" s="93"/>
      <c r="W612" s="270"/>
      <c r="X612" s="127"/>
      <c r="Y612" s="122"/>
      <c r="Z612" s="128"/>
      <c r="AA612" s="129"/>
      <c r="AB612" s="336">
        <v>907</v>
      </c>
    </row>
    <row r="613" spans="1:34" ht="12.6" customHeight="1" x14ac:dyDescent="0.2">
      <c r="A613" s="4"/>
      <c r="B613" s="1168" t="s">
        <v>534</v>
      </c>
      <c r="C613" s="1169"/>
      <c r="D613" s="1169"/>
      <c r="E613" s="1169"/>
      <c r="F613" s="1170"/>
      <c r="G613" s="1171"/>
      <c r="H613" s="528">
        <v>2600</v>
      </c>
      <c r="I613" s="256">
        <f t="shared" ref="I613" si="1731">+H613*$X$1</f>
        <v>2600</v>
      </c>
      <c r="J613" s="528">
        <v>1400</v>
      </c>
      <c r="K613" s="256">
        <f t="shared" ref="K613" si="1732">+J613*$X$1</f>
        <v>1400</v>
      </c>
      <c r="L613" s="528">
        <v>1100</v>
      </c>
      <c r="M613" s="256">
        <f t="shared" ref="M613" si="1733">+L613*$X$1</f>
        <v>1100</v>
      </c>
      <c r="N613" s="528">
        <v>950</v>
      </c>
      <c r="O613" s="256">
        <f t="shared" ref="O613" si="1734">+N613*$X$1</f>
        <v>950</v>
      </c>
      <c r="P613" s="528">
        <v>850</v>
      </c>
      <c r="Q613" s="256">
        <f t="shared" ref="Q613" si="1735">+P613*$X$1</f>
        <v>850</v>
      </c>
      <c r="R613" s="528">
        <v>760</v>
      </c>
      <c r="S613" s="256">
        <f t="shared" ref="S613" si="1736">+R613*$X$1</f>
        <v>760</v>
      </c>
      <c r="T613" s="528">
        <v>670</v>
      </c>
      <c r="U613" s="256">
        <f t="shared" ref="U613" si="1737">+T613*$X$1</f>
        <v>670</v>
      </c>
      <c r="V613" s="528">
        <v>610</v>
      </c>
      <c r="W613" s="256">
        <f t="shared" ref="W613" si="1738">+V613*$X$1</f>
        <v>610</v>
      </c>
      <c r="X613" s="127"/>
      <c r="Y613" s="122"/>
      <c r="Z613" s="128"/>
      <c r="AA613" s="129"/>
      <c r="AB613" s="30"/>
    </row>
    <row r="614" spans="1:34" ht="12.6" customHeight="1" x14ac:dyDescent="0.2">
      <c r="A614" s="4"/>
      <c r="B614" s="1172" t="s">
        <v>1069</v>
      </c>
      <c r="C614" s="1173"/>
      <c r="D614" s="1173"/>
      <c r="E614" s="1173"/>
      <c r="F614" s="1170"/>
      <c r="G614" s="1171"/>
      <c r="H614" s="520">
        <v>1100</v>
      </c>
      <c r="I614" s="255">
        <f t="shared" ref="I614" si="1739">+H614*$X$1</f>
        <v>1100</v>
      </c>
      <c r="J614" s="520">
        <v>900</v>
      </c>
      <c r="K614" s="255">
        <f t="shared" ref="K614" si="1740">+J614*$X$1</f>
        <v>900</v>
      </c>
      <c r="L614" s="520">
        <v>750</v>
      </c>
      <c r="M614" s="255">
        <f t="shared" ref="M614" si="1741">+L614*$X$1</f>
        <v>750</v>
      </c>
      <c r="N614" s="520">
        <v>660</v>
      </c>
      <c r="O614" s="255">
        <f t="shared" ref="O614" si="1742">+N614*$X$1</f>
        <v>660</v>
      </c>
      <c r="P614" s="520">
        <v>600</v>
      </c>
      <c r="Q614" s="255">
        <f t="shared" ref="Q614" si="1743">+P614*$X$1</f>
        <v>600</v>
      </c>
      <c r="R614" s="520">
        <v>540</v>
      </c>
      <c r="S614" s="255">
        <f t="shared" ref="S614" si="1744">+R614*$X$1</f>
        <v>540</v>
      </c>
      <c r="T614" s="520">
        <v>480</v>
      </c>
      <c r="U614" s="255">
        <f t="shared" ref="U614" si="1745">+T614*$X$1</f>
        <v>480</v>
      </c>
      <c r="V614" s="520">
        <v>450</v>
      </c>
      <c r="W614" s="255">
        <f t="shared" ref="W614" si="1746">+V614*$X$1</f>
        <v>450</v>
      </c>
      <c r="X614" s="127"/>
      <c r="Y614" s="122"/>
      <c r="Z614" s="128"/>
      <c r="AA614" s="129"/>
      <c r="AB614" s="30"/>
    </row>
    <row r="615" spans="1:34" ht="12.6" customHeight="1" x14ac:dyDescent="0.2">
      <c r="A615" s="88"/>
      <c r="B615" s="73"/>
      <c r="C615" s="74"/>
      <c r="D615" s="74"/>
      <c r="E615" s="74"/>
      <c r="F615" s="74"/>
      <c r="G615" s="74"/>
      <c r="H615" s="74"/>
      <c r="I615" s="293"/>
      <c r="J615" s="106"/>
      <c r="K615" s="293"/>
      <c r="L615" s="106"/>
      <c r="M615" s="293"/>
      <c r="N615" s="106"/>
      <c r="O615" s="293"/>
      <c r="P615" s="106"/>
      <c r="Q615" s="293"/>
      <c r="R615" s="106"/>
      <c r="S615" s="293"/>
      <c r="T615" s="106"/>
      <c r="U615" s="293"/>
      <c r="V615" s="106"/>
      <c r="W615" s="293"/>
      <c r="AB615" s="75"/>
    </row>
    <row r="616" spans="1:34" ht="15" customHeight="1" x14ac:dyDescent="0.2">
      <c r="B616" s="753" t="s">
        <v>515</v>
      </c>
      <c r="C616" s="754"/>
      <c r="D616" s="754"/>
      <c r="E616" s="754"/>
      <c r="F616" s="754"/>
      <c r="G616" s="754"/>
      <c r="H616" s="754"/>
      <c r="I616" s="754"/>
      <c r="J616" s="754"/>
      <c r="K616" s="754"/>
      <c r="L616" s="754"/>
      <c r="M616" s="754"/>
      <c r="N616" s="754"/>
      <c r="O616" s="754"/>
      <c r="P616" s="754"/>
      <c r="Q616" s="754"/>
      <c r="R616" s="754"/>
      <c r="S616" s="754"/>
      <c r="T616" s="754"/>
      <c r="U616" s="754"/>
      <c r="V616" s="754"/>
      <c r="W616" s="754"/>
      <c r="AB616" s="4"/>
      <c r="AF616" s="759"/>
      <c r="AG616" s="760"/>
      <c r="AH616" s="760"/>
    </row>
    <row r="617" spans="1:34" ht="14.25" customHeight="1" x14ac:dyDescent="0.2">
      <c r="B617" s="924" t="s">
        <v>11</v>
      </c>
      <c r="C617" s="807" t="s">
        <v>12</v>
      </c>
      <c r="D617" s="808"/>
      <c r="E617" s="808"/>
      <c r="F617" s="913" t="s">
        <v>258</v>
      </c>
      <c r="G617" s="913" t="s">
        <v>13</v>
      </c>
      <c r="H617" s="920" t="s">
        <v>707</v>
      </c>
      <c r="I617" s="920"/>
      <c r="J617" s="921"/>
      <c r="K617" s="921"/>
      <c r="L617" s="921"/>
      <c r="M617" s="921"/>
      <c r="N617" s="921"/>
      <c r="O617" s="921"/>
      <c r="P617" s="921"/>
      <c r="Q617" s="921"/>
      <c r="R617" s="921"/>
      <c r="S617" s="921"/>
      <c r="T617" s="921"/>
      <c r="U617" s="921"/>
      <c r="V617" s="921"/>
      <c r="W617" s="922"/>
      <c r="X617" s="779" t="s">
        <v>14</v>
      </c>
      <c r="Y617" s="793"/>
      <c r="Z617" s="793"/>
      <c r="AA617" s="966"/>
      <c r="AB617" s="777" t="s">
        <v>15</v>
      </c>
      <c r="AF617" s="759" t="s">
        <v>3</v>
      </c>
      <c r="AG617" s="760"/>
      <c r="AH617" s="760"/>
    </row>
    <row r="618" spans="1:34" ht="12" customHeight="1" x14ac:dyDescent="0.2">
      <c r="B618" s="925"/>
      <c r="C618" s="809"/>
      <c r="D618" s="809"/>
      <c r="E618" s="809"/>
      <c r="F618" s="914"/>
      <c r="G618" s="914"/>
      <c r="H618" s="406"/>
      <c r="I618" s="407" t="s">
        <v>503</v>
      </c>
      <c r="J618" s="406"/>
      <c r="K618" s="407" t="s">
        <v>259</v>
      </c>
      <c r="L618" s="406"/>
      <c r="M618" s="407" t="s">
        <v>260</v>
      </c>
      <c r="N618" s="406"/>
      <c r="O618" s="407" t="s">
        <v>505</v>
      </c>
      <c r="P618" s="406"/>
      <c r="Q618" s="407" t="s">
        <v>17</v>
      </c>
      <c r="R618" s="406"/>
      <c r="S618" s="407" t="s">
        <v>18</v>
      </c>
      <c r="T618" s="406"/>
      <c r="U618" s="407" t="s">
        <v>19</v>
      </c>
      <c r="V618" s="406"/>
      <c r="W618" s="408" t="s">
        <v>506</v>
      </c>
      <c r="X618" s="794"/>
      <c r="Y618" s="795"/>
      <c r="Z618" s="795"/>
      <c r="AA618" s="967"/>
      <c r="AB618" s="778"/>
    </row>
    <row r="619" spans="1:34" ht="12" customHeight="1" x14ac:dyDescent="0.2">
      <c r="A619" s="4"/>
      <c r="B619" s="635" t="s">
        <v>1070</v>
      </c>
      <c r="C619" s="729"/>
      <c r="D619" s="729"/>
      <c r="E619" s="729"/>
      <c r="F619" s="280">
        <f>8.1*X2</f>
        <v>12474</v>
      </c>
      <c r="G619" s="280">
        <f t="shared" ref="G619" si="1747">+F619*$X$1</f>
        <v>12474</v>
      </c>
      <c r="H619" s="92"/>
      <c r="I619" s="280"/>
      <c r="J619" s="92"/>
      <c r="K619" s="280"/>
      <c r="L619" s="92"/>
      <c r="M619" s="280"/>
      <c r="N619" s="92"/>
      <c r="O619" s="280"/>
      <c r="P619" s="92">
        <f t="shared" ref="P619" si="1748">F619+600</f>
        <v>13074</v>
      </c>
      <c r="Q619" s="280">
        <f t="shared" ref="Q619" si="1749">+P619*$X$1</f>
        <v>13074</v>
      </c>
      <c r="R619" s="92">
        <f t="shared" ref="R619" si="1750">F619+500</f>
        <v>12974</v>
      </c>
      <c r="S619" s="280">
        <f t="shared" ref="S619" si="1751">+R619*$X$1</f>
        <v>12974</v>
      </c>
      <c r="T619" s="92">
        <f t="shared" ref="T619" si="1752">F619+450</f>
        <v>12924</v>
      </c>
      <c r="U619" s="280">
        <f t="shared" ref="U619" si="1753">+T619*$X$1</f>
        <v>12924</v>
      </c>
      <c r="V619" s="92">
        <f>F619+390</f>
        <v>12864</v>
      </c>
      <c r="W619" s="280">
        <f t="shared" ref="W619" si="1754">+V619*$X$1</f>
        <v>12864</v>
      </c>
      <c r="X619" s="127"/>
      <c r="Y619" s="122"/>
      <c r="Z619" s="128"/>
      <c r="AA619" s="129"/>
      <c r="AB619" s="336">
        <v>532</v>
      </c>
    </row>
    <row r="620" spans="1:34" ht="12" customHeight="1" x14ac:dyDescent="0.2">
      <c r="A620" s="4"/>
      <c r="B620" s="654" t="s">
        <v>750</v>
      </c>
      <c r="C620" s="725"/>
      <c r="D620" s="725"/>
      <c r="E620" s="725"/>
      <c r="F620" s="270">
        <f>10.44*X2</f>
        <v>16077.599999999999</v>
      </c>
      <c r="G620" s="270">
        <f t="shared" ref="G620:G621" si="1755">+F620*$X$1</f>
        <v>16077.599999999999</v>
      </c>
      <c r="H620" s="93"/>
      <c r="I620" s="270"/>
      <c r="J620" s="93">
        <f>F620+1200</f>
        <v>17277.599999999999</v>
      </c>
      <c r="K620" s="270">
        <f t="shared" ref="K620" si="1756">+J620*$X$1</f>
        <v>17277.599999999999</v>
      </c>
      <c r="L620" s="93">
        <f t="shared" ref="L620:L624" si="1757">F620+800</f>
        <v>16877.599999999999</v>
      </c>
      <c r="M620" s="270">
        <f t="shared" ref="M620" si="1758">+L620*$X$1</f>
        <v>16877.599999999999</v>
      </c>
      <c r="N620" s="93">
        <f t="shared" ref="N620:N624" si="1759">F620+700</f>
        <v>16777.599999999999</v>
      </c>
      <c r="O620" s="270">
        <f t="shared" ref="O620" si="1760">+N620*$X$1</f>
        <v>16777.599999999999</v>
      </c>
      <c r="P620" s="93">
        <f t="shared" ref="P620:P624" si="1761">F620+600</f>
        <v>16677.599999999999</v>
      </c>
      <c r="Q620" s="270">
        <f t="shared" ref="Q620" si="1762">+P620*$X$1</f>
        <v>16677.599999999999</v>
      </c>
      <c r="R620" s="93">
        <f t="shared" ref="R620:R635" si="1763">F620+500</f>
        <v>16577.599999999999</v>
      </c>
      <c r="S620" s="270">
        <f t="shared" ref="S620" si="1764">+R620*$X$1</f>
        <v>16577.599999999999</v>
      </c>
      <c r="T620" s="93">
        <f t="shared" ref="T620:T635" si="1765">F620+450</f>
        <v>16527.599999999999</v>
      </c>
      <c r="U620" s="270">
        <f t="shared" ref="U620" si="1766">+T620*$X$1</f>
        <v>16527.599999999999</v>
      </c>
      <c r="V620" s="93">
        <f>F620+390</f>
        <v>16467.599999999999</v>
      </c>
      <c r="W620" s="270">
        <f t="shared" ref="W620" si="1767">+V620*$X$1</f>
        <v>16467.599999999999</v>
      </c>
      <c r="X620" s="127"/>
      <c r="Y620" s="122"/>
      <c r="Z620" s="128"/>
      <c r="AA620" s="129"/>
      <c r="AB620" s="336">
        <v>533</v>
      </c>
    </row>
    <row r="621" spans="1:34" ht="12" customHeight="1" x14ac:dyDescent="0.2">
      <c r="A621" s="4"/>
      <c r="B621" s="652" t="s">
        <v>821</v>
      </c>
      <c r="C621" s="656"/>
      <c r="D621" s="656"/>
      <c r="E621" s="656"/>
      <c r="F621" s="280">
        <f>6.6*X2</f>
        <v>10164</v>
      </c>
      <c r="G621" s="280">
        <f t="shared" si="1755"/>
        <v>10164</v>
      </c>
      <c r="H621" s="92"/>
      <c r="I621" s="280"/>
      <c r="J621" s="92"/>
      <c r="K621" s="280"/>
      <c r="L621" s="92">
        <f t="shared" si="1757"/>
        <v>10964</v>
      </c>
      <c r="M621" s="280">
        <f t="shared" ref="M621:M624" si="1768">+L621*$X$1</f>
        <v>10964</v>
      </c>
      <c r="N621" s="92">
        <f t="shared" si="1759"/>
        <v>10864</v>
      </c>
      <c r="O621" s="280">
        <f t="shared" ref="O621:O624" si="1769">+N621*$X$1</f>
        <v>10864</v>
      </c>
      <c r="P621" s="92">
        <f t="shared" si="1761"/>
        <v>10764</v>
      </c>
      <c r="Q621" s="280">
        <f t="shared" ref="Q621:Q624" si="1770">+P621*$X$1</f>
        <v>10764</v>
      </c>
      <c r="R621" s="92">
        <f t="shared" si="1763"/>
        <v>10664</v>
      </c>
      <c r="S621" s="280">
        <f t="shared" ref="S621:S626" si="1771">+R621*$X$1</f>
        <v>10664</v>
      </c>
      <c r="T621" s="92">
        <f t="shared" si="1765"/>
        <v>10614</v>
      </c>
      <c r="U621" s="280">
        <f t="shared" ref="U621:U626" si="1772">+T621*$X$1</f>
        <v>10614</v>
      </c>
      <c r="V621" s="92">
        <f>F621+390</f>
        <v>10554</v>
      </c>
      <c r="W621" s="280">
        <f t="shared" ref="W621:W626" si="1773">+V621*$X$1</f>
        <v>10554</v>
      </c>
      <c r="X621" s="127"/>
      <c r="Y621" s="122"/>
      <c r="Z621" s="128"/>
      <c r="AA621" s="129"/>
      <c r="AB621" s="350">
        <v>556</v>
      </c>
    </row>
    <row r="622" spans="1:34" ht="12" customHeight="1" x14ac:dyDescent="0.2">
      <c r="A622" s="4"/>
      <c r="B622" s="686" t="s">
        <v>753</v>
      </c>
      <c r="C622" s="761"/>
      <c r="D622" s="761"/>
      <c r="E622" s="761"/>
      <c r="F622" s="270">
        <f>9.65*X2</f>
        <v>14861</v>
      </c>
      <c r="G622" s="270">
        <f t="shared" ref="G622" si="1774">+F622*$X$1</f>
        <v>14861</v>
      </c>
      <c r="H622" s="93"/>
      <c r="I622" s="270"/>
      <c r="J622" s="93"/>
      <c r="K622" s="270"/>
      <c r="L622" s="93"/>
      <c r="M622" s="270"/>
      <c r="N622" s="93">
        <f t="shared" si="1759"/>
        <v>15561</v>
      </c>
      <c r="O622" s="270">
        <f t="shared" si="1769"/>
        <v>15561</v>
      </c>
      <c r="P622" s="93">
        <f t="shared" si="1761"/>
        <v>15461</v>
      </c>
      <c r="Q622" s="270">
        <f t="shared" si="1770"/>
        <v>15461</v>
      </c>
      <c r="R622" s="93"/>
      <c r="S622" s="270"/>
      <c r="T622" s="93"/>
      <c r="U622" s="270"/>
      <c r="V622" s="93"/>
      <c r="W622" s="270"/>
      <c r="X622" s="127"/>
      <c r="Y622" s="122"/>
      <c r="Z622" s="128"/>
      <c r="AA622" s="129"/>
      <c r="AB622" s="350">
        <v>567</v>
      </c>
    </row>
    <row r="623" spans="1:34" ht="12" customHeight="1" x14ac:dyDescent="0.2">
      <c r="A623" s="4"/>
      <c r="B623" s="652" t="s">
        <v>754</v>
      </c>
      <c r="C623" s="656"/>
      <c r="D623" s="656"/>
      <c r="E623" s="656"/>
      <c r="F623" s="280">
        <f>9.42*X2</f>
        <v>14506.8</v>
      </c>
      <c r="G623" s="280">
        <f t="shared" ref="G623" si="1775">+F623*$X$1</f>
        <v>14506.8</v>
      </c>
      <c r="H623" s="92"/>
      <c r="I623" s="280"/>
      <c r="J623" s="92"/>
      <c r="K623" s="280"/>
      <c r="L623" s="92"/>
      <c r="M623" s="280"/>
      <c r="N623" s="92">
        <f t="shared" si="1759"/>
        <v>15206.8</v>
      </c>
      <c r="O623" s="280">
        <f t="shared" si="1769"/>
        <v>15206.8</v>
      </c>
      <c r="P623" s="92">
        <f t="shared" si="1761"/>
        <v>15106.8</v>
      </c>
      <c r="Q623" s="280">
        <f t="shared" si="1770"/>
        <v>15106.8</v>
      </c>
      <c r="R623" s="92">
        <f t="shared" si="1763"/>
        <v>15006.8</v>
      </c>
      <c r="S623" s="280">
        <f t="shared" si="1771"/>
        <v>15006.8</v>
      </c>
      <c r="T623" s="92">
        <f t="shared" si="1765"/>
        <v>14956.8</v>
      </c>
      <c r="U623" s="280">
        <f t="shared" si="1772"/>
        <v>14956.8</v>
      </c>
      <c r="V623" s="92">
        <f>F623+390</f>
        <v>14896.8</v>
      </c>
      <c r="W623" s="280">
        <f t="shared" si="1773"/>
        <v>14896.8</v>
      </c>
      <c r="X623" s="127"/>
      <c r="Y623" s="122"/>
      <c r="Z623" s="128"/>
      <c r="AA623" s="129"/>
      <c r="AB623" s="350">
        <v>569</v>
      </c>
    </row>
    <row r="624" spans="1:34" ht="12" customHeight="1" x14ac:dyDescent="0.2">
      <c r="A624" s="4"/>
      <c r="B624" s="686" t="s">
        <v>652</v>
      </c>
      <c r="C624" s="761"/>
      <c r="D624" s="761"/>
      <c r="E624" s="761"/>
      <c r="F624" s="270">
        <f>18.04*X2</f>
        <v>27781.599999999999</v>
      </c>
      <c r="G624" s="270">
        <f t="shared" ref="G624:I624" si="1776">+F624*$X$1</f>
        <v>27781.599999999999</v>
      </c>
      <c r="H624" s="93">
        <f>F624+5000</f>
        <v>32781.599999999999</v>
      </c>
      <c r="I624" s="270">
        <f t="shared" si="1776"/>
        <v>32781.599999999999</v>
      </c>
      <c r="J624" s="93">
        <f>F624+1200</f>
        <v>28981.599999999999</v>
      </c>
      <c r="K624" s="270">
        <f t="shared" ref="K624" si="1777">+J624*$X$1</f>
        <v>28981.599999999999</v>
      </c>
      <c r="L624" s="93">
        <f t="shared" si="1757"/>
        <v>28581.599999999999</v>
      </c>
      <c r="M624" s="270">
        <f t="shared" si="1768"/>
        <v>28581.599999999999</v>
      </c>
      <c r="N624" s="93">
        <f t="shared" si="1759"/>
        <v>28481.599999999999</v>
      </c>
      <c r="O624" s="270">
        <f t="shared" si="1769"/>
        <v>28481.599999999999</v>
      </c>
      <c r="P624" s="93">
        <f t="shared" si="1761"/>
        <v>28381.599999999999</v>
      </c>
      <c r="Q624" s="270">
        <f t="shared" si="1770"/>
        <v>28381.599999999999</v>
      </c>
      <c r="R624" s="93">
        <f t="shared" si="1763"/>
        <v>28281.599999999999</v>
      </c>
      <c r="S624" s="270">
        <f t="shared" si="1771"/>
        <v>28281.599999999999</v>
      </c>
      <c r="T624" s="93">
        <f t="shared" si="1765"/>
        <v>28231.599999999999</v>
      </c>
      <c r="U624" s="270">
        <f t="shared" si="1772"/>
        <v>28231.599999999999</v>
      </c>
      <c r="V624" s="92">
        <f t="shared" ref="V624:V635" si="1778">F624+390</f>
        <v>28171.599999999999</v>
      </c>
      <c r="W624" s="270">
        <f t="shared" si="1773"/>
        <v>28171.599999999999</v>
      </c>
      <c r="X624" s="127"/>
      <c r="Y624" s="122"/>
      <c r="Z624" s="128"/>
      <c r="AA624" s="129"/>
      <c r="AB624" s="350">
        <v>570</v>
      </c>
    </row>
    <row r="625" spans="1:34" ht="12" customHeight="1" x14ac:dyDescent="0.2">
      <c r="A625" s="4"/>
      <c r="B625" s="926" t="s">
        <v>938</v>
      </c>
      <c r="C625" s="927"/>
      <c r="D625" s="927"/>
      <c r="E625" s="927"/>
      <c r="F625" s="589">
        <v>20110</v>
      </c>
      <c r="G625" s="447">
        <f>+F625*$X$1</f>
        <v>20110</v>
      </c>
      <c r="H625" s="516"/>
      <c r="I625" s="446"/>
      <c r="J625" s="516"/>
      <c r="K625" s="446"/>
      <c r="L625" s="516"/>
      <c r="M625" s="446"/>
      <c r="N625" s="516">
        <f t="shared" ref="N625" si="1779">F625+700</f>
        <v>20810</v>
      </c>
      <c r="O625" s="446">
        <f t="shared" ref="O625" si="1780">+N625*$X$1</f>
        <v>20810</v>
      </c>
      <c r="P625" s="516">
        <f t="shared" ref="P625" si="1781">F625+600</f>
        <v>20710</v>
      </c>
      <c r="Q625" s="446">
        <f t="shared" ref="Q625" si="1782">+P625*$X$1</f>
        <v>20710</v>
      </c>
      <c r="R625" s="516">
        <f t="shared" ref="R625" si="1783">F625+500</f>
        <v>20610</v>
      </c>
      <c r="S625" s="446">
        <f t="shared" ref="S625" si="1784">+R625*$X$1</f>
        <v>20610</v>
      </c>
      <c r="T625" s="516">
        <f t="shared" ref="T625" si="1785">F625+450</f>
        <v>20560</v>
      </c>
      <c r="U625" s="446">
        <f t="shared" ref="U625" si="1786">+T625*$X$1</f>
        <v>20560</v>
      </c>
      <c r="V625" s="516">
        <f t="shared" si="1778"/>
        <v>20500</v>
      </c>
      <c r="W625" s="446">
        <f t="shared" ref="W625" si="1787">+V625*$X$1</f>
        <v>20500</v>
      </c>
      <c r="X625" s="127"/>
      <c r="Y625" s="122"/>
      <c r="Z625" s="128"/>
      <c r="AA625" s="129"/>
      <c r="AB625" s="350" t="s">
        <v>937</v>
      </c>
    </row>
    <row r="626" spans="1:34" ht="12" customHeight="1" x14ac:dyDescent="0.2">
      <c r="A626" s="4"/>
      <c r="B626" s="686" t="s">
        <v>818</v>
      </c>
      <c r="C626" s="761"/>
      <c r="D626" s="761"/>
      <c r="E626" s="761"/>
      <c r="F626" s="431">
        <v>3980</v>
      </c>
      <c r="G626" s="270">
        <f>+F626*$X$1</f>
        <v>3980</v>
      </c>
      <c r="H626" s="93"/>
      <c r="I626" s="270"/>
      <c r="J626" s="93"/>
      <c r="K626" s="270"/>
      <c r="L626" s="93"/>
      <c r="M626" s="270"/>
      <c r="N626" s="93"/>
      <c r="O626" s="270"/>
      <c r="P626" s="93"/>
      <c r="Q626" s="270"/>
      <c r="R626" s="93">
        <f t="shared" si="1763"/>
        <v>4480</v>
      </c>
      <c r="S626" s="270">
        <f t="shared" si="1771"/>
        <v>4480</v>
      </c>
      <c r="T626" s="93">
        <f t="shared" si="1765"/>
        <v>4430</v>
      </c>
      <c r="U626" s="270">
        <f t="shared" si="1772"/>
        <v>4430</v>
      </c>
      <c r="V626" s="92">
        <f t="shared" si="1778"/>
        <v>4370</v>
      </c>
      <c r="W626" s="270">
        <f t="shared" si="1773"/>
        <v>4370</v>
      </c>
      <c r="X626" s="127"/>
      <c r="Y626" s="122"/>
      <c r="Z626" s="128"/>
      <c r="AA626" s="129"/>
      <c r="AB626" s="336">
        <v>572</v>
      </c>
    </row>
    <row r="627" spans="1:34" ht="12" customHeight="1" x14ac:dyDescent="0.2">
      <c r="A627" s="4"/>
      <c r="B627" s="652" t="s">
        <v>817</v>
      </c>
      <c r="C627" s="656"/>
      <c r="D627" s="656"/>
      <c r="E627" s="656"/>
      <c r="F627" s="280">
        <f>2*X2</f>
        <v>3080</v>
      </c>
      <c r="G627" s="280">
        <f t="shared" ref="G627" si="1788">+F627*$X$1</f>
        <v>3080</v>
      </c>
      <c r="H627" s="92"/>
      <c r="I627" s="280"/>
      <c r="J627" s="92"/>
      <c r="K627" s="280"/>
      <c r="L627" s="92"/>
      <c r="M627" s="280"/>
      <c r="N627" s="92">
        <f t="shared" ref="N627:N635" si="1789">F627+700</f>
        <v>3780</v>
      </c>
      <c r="O627" s="280">
        <f t="shared" ref="O627:O628" si="1790">+N627*$X$1</f>
        <v>3780</v>
      </c>
      <c r="P627" s="92">
        <f t="shared" ref="P627:P635" si="1791">F627+600</f>
        <v>3680</v>
      </c>
      <c r="Q627" s="280">
        <f t="shared" ref="Q627:Q628" si="1792">+P627*$X$1</f>
        <v>3680</v>
      </c>
      <c r="R627" s="92">
        <f t="shared" si="1763"/>
        <v>3580</v>
      </c>
      <c r="S627" s="280">
        <f t="shared" ref="S627:S628" si="1793">+R627*$X$1</f>
        <v>3580</v>
      </c>
      <c r="T627" s="92">
        <f t="shared" si="1765"/>
        <v>3530</v>
      </c>
      <c r="U627" s="280">
        <f t="shared" ref="U627:U628" si="1794">+T627*$X$1</f>
        <v>3530</v>
      </c>
      <c r="V627" s="92">
        <f t="shared" si="1778"/>
        <v>3470</v>
      </c>
      <c r="W627" s="280">
        <f t="shared" ref="W627:W628" si="1795">+V627*$X$1</f>
        <v>3470</v>
      </c>
      <c r="X627" s="127"/>
      <c r="Y627" s="122"/>
      <c r="Z627" s="128"/>
      <c r="AA627" s="129"/>
      <c r="AB627" s="336" t="s">
        <v>686</v>
      </c>
    </row>
    <row r="628" spans="1:34" ht="12" customHeight="1" x14ac:dyDescent="0.2">
      <c r="A628" s="4"/>
      <c r="B628" s="686" t="s">
        <v>772</v>
      </c>
      <c r="C628" s="761"/>
      <c r="D628" s="761"/>
      <c r="E628" s="761"/>
      <c r="F628" s="270">
        <f>1.2*X2</f>
        <v>1848</v>
      </c>
      <c r="G628" s="270">
        <f t="shared" ref="G628" si="1796">+F628*$X$1</f>
        <v>1848</v>
      </c>
      <c r="H628" s="93"/>
      <c r="I628" s="270"/>
      <c r="J628" s="93"/>
      <c r="K628" s="270"/>
      <c r="L628" s="93"/>
      <c r="M628" s="270"/>
      <c r="N628" s="93">
        <f t="shared" si="1789"/>
        <v>2548</v>
      </c>
      <c r="O628" s="270">
        <f t="shared" si="1790"/>
        <v>2548</v>
      </c>
      <c r="P628" s="93">
        <f t="shared" si="1791"/>
        <v>2448</v>
      </c>
      <c r="Q628" s="270">
        <f t="shared" si="1792"/>
        <v>2448</v>
      </c>
      <c r="R628" s="93">
        <f t="shared" si="1763"/>
        <v>2348</v>
      </c>
      <c r="S628" s="270">
        <f t="shared" si="1793"/>
        <v>2348</v>
      </c>
      <c r="T628" s="93">
        <f t="shared" si="1765"/>
        <v>2298</v>
      </c>
      <c r="U628" s="270">
        <f t="shared" si="1794"/>
        <v>2298</v>
      </c>
      <c r="V628" s="92">
        <f t="shared" si="1778"/>
        <v>2238</v>
      </c>
      <c r="W628" s="270">
        <f t="shared" si="1795"/>
        <v>2238</v>
      </c>
      <c r="X628" s="127"/>
      <c r="Y628" s="122"/>
      <c r="Z628" s="128"/>
      <c r="AA628" s="129"/>
      <c r="AB628" s="336">
        <v>575</v>
      </c>
    </row>
    <row r="629" spans="1:34" ht="12" customHeight="1" x14ac:dyDescent="0.2">
      <c r="A629" s="4"/>
      <c r="B629" s="652" t="s">
        <v>643</v>
      </c>
      <c r="C629" s="656"/>
      <c r="D629" s="656"/>
      <c r="E629" s="656"/>
      <c r="F629" s="559">
        <v>16100</v>
      </c>
      <c r="G629" s="280">
        <f t="shared" ref="G629:G630" si="1797">+F629*$X$1</f>
        <v>16100</v>
      </c>
      <c r="H629" s="92"/>
      <c r="I629" s="280"/>
      <c r="J629" s="92"/>
      <c r="K629" s="280"/>
      <c r="L629" s="92">
        <f t="shared" ref="L629:L635" si="1798">F629+800</f>
        <v>16900</v>
      </c>
      <c r="M629" s="280">
        <f t="shared" ref="M629:M634" si="1799">+L629*$X$1</f>
        <v>16900</v>
      </c>
      <c r="N629" s="92">
        <f t="shared" si="1789"/>
        <v>16800</v>
      </c>
      <c r="O629" s="280">
        <f t="shared" ref="O629:O634" si="1800">+N629*$X$1</f>
        <v>16800</v>
      </c>
      <c r="P629" s="92">
        <f t="shared" si="1791"/>
        <v>16700</v>
      </c>
      <c r="Q629" s="280">
        <f t="shared" ref="Q629:Q634" si="1801">+P629*$X$1</f>
        <v>16700</v>
      </c>
      <c r="R629" s="92">
        <f t="shared" si="1763"/>
        <v>16600</v>
      </c>
      <c r="S629" s="280">
        <f t="shared" ref="S629:S634" si="1802">+R629*$X$1</f>
        <v>16600</v>
      </c>
      <c r="T629" s="92">
        <f t="shared" si="1765"/>
        <v>16550</v>
      </c>
      <c r="U629" s="280">
        <f t="shared" ref="U629:U634" si="1803">+T629*$X$1</f>
        <v>16550</v>
      </c>
      <c r="V629" s="92">
        <f t="shared" si="1778"/>
        <v>16490</v>
      </c>
      <c r="W629" s="280">
        <f t="shared" ref="W629:W634" si="1804">+V629*$X$1</f>
        <v>16490</v>
      </c>
      <c r="X629" s="127"/>
      <c r="Y629" s="122"/>
      <c r="Z629" s="128"/>
      <c r="AA629" s="129"/>
      <c r="AB629" s="336">
        <v>577</v>
      </c>
    </row>
    <row r="630" spans="1:34" ht="12" customHeight="1" x14ac:dyDescent="0.2">
      <c r="A630" s="4"/>
      <c r="B630" s="686" t="s">
        <v>902</v>
      </c>
      <c r="C630" s="761"/>
      <c r="D630" s="761"/>
      <c r="E630" s="761"/>
      <c r="F630" s="270">
        <f>8.35*X2</f>
        <v>12859</v>
      </c>
      <c r="G630" s="270">
        <f t="shared" si="1797"/>
        <v>12859</v>
      </c>
      <c r="H630" s="93"/>
      <c r="I630" s="270"/>
      <c r="J630" s="93"/>
      <c r="K630" s="270"/>
      <c r="L630" s="93">
        <f t="shared" si="1798"/>
        <v>13659</v>
      </c>
      <c r="M630" s="270">
        <f t="shared" si="1799"/>
        <v>13659</v>
      </c>
      <c r="N630" s="93">
        <f t="shared" si="1789"/>
        <v>13559</v>
      </c>
      <c r="O630" s="270">
        <f t="shared" si="1800"/>
        <v>13559</v>
      </c>
      <c r="P630" s="93">
        <f t="shared" si="1791"/>
        <v>13459</v>
      </c>
      <c r="Q630" s="270">
        <f t="shared" si="1801"/>
        <v>13459</v>
      </c>
      <c r="R630" s="93">
        <f t="shared" ref="R630" si="1805">F630+500</f>
        <v>13359</v>
      </c>
      <c r="S630" s="270">
        <f t="shared" si="1802"/>
        <v>13359</v>
      </c>
      <c r="T630" s="93">
        <f t="shared" ref="T630" si="1806">F630+450</f>
        <v>13309</v>
      </c>
      <c r="U630" s="270">
        <f t="shared" si="1803"/>
        <v>13309</v>
      </c>
      <c r="V630" s="92">
        <f t="shared" si="1778"/>
        <v>13249</v>
      </c>
      <c r="W630" s="270">
        <f t="shared" si="1804"/>
        <v>13249</v>
      </c>
      <c r="X630" s="127"/>
      <c r="Y630" s="122"/>
      <c r="Z630" s="128"/>
      <c r="AA630" s="129"/>
      <c r="AB630" s="350">
        <v>579</v>
      </c>
    </row>
    <row r="631" spans="1:34" ht="12" customHeight="1" x14ac:dyDescent="0.2">
      <c r="A631" s="4"/>
      <c r="B631" s="647" t="s">
        <v>642</v>
      </c>
      <c r="C631" s="688"/>
      <c r="D631" s="688"/>
      <c r="E631" s="688"/>
      <c r="F631" s="280">
        <f>25.1*X2</f>
        <v>38654</v>
      </c>
      <c r="G631" s="280">
        <f t="shared" ref="G631:G635" si="1807">+F631*$X$1</f>
        <v>38654</v>
      </c>
      <c r="H631" s="92">
        <f>F631+5000</f>
        <v>43654</v>
      </c>
      <c r="I631" s="280">
        <f t="shared" ref="I631:I634" si="1808">+H631*$X$1</f>
        <v>43654</v>
      </c>
      <c r="J631" s="92">
        <f t="shared" ref="J631:J635" si="1809">F631+1200</f>
        <v>39854</v>
      </c>
      <c r="K631" s="280">
        <f t="shared" ref="K631:K634" si="1810">+J631*$X$1</f>
        <v>39854</v>
      </c>
      <c r="L631" s="92">
        <f t="shared" si="1798"/>
        <v>39454</v>
      </c>
      <c r="M631" s="280">
        <f t="shared" si="1799"/>
        <v>39454</v>
      </c>
      <c r="N631" s="92">
        <f t="shared" si="1789"/>
        <v>39354</v>
      </c>
      <c r="O631" s="280">
        <f t="shared" si="1800"/>
        <v>39354</v>
      </c>
      <c r="P631" s="92">
        <f t="shared" si="1791"/>
        <v>39254</v>
      </c>
      <c r="Q631" s="280">
        <f t="shared" si="1801"/>
        <v>39254</v>
      </c>
      <c r="R631" s="92">
        <f t="shared" si="1763"/>
        <v>39154</v>
      </c>
      <c r="S631" s="280">
        <f t="shared" si="1802"/>
        <v>39154</v>
      </c>
      <c r="T631" s="92">
        <f t="shared" si="1765"/>
        <v>39104</v>
      </c>
      <c r="U631" s="280">
        <f t="shared" si="1803"/>
        <v>39104</v>
      </c>
      <c r="V631" s="92">
        <f t="shared" si="1778"/>
        <v>39044</v>
      </c>
      <c r="W631" s="280">
        <f t="shared" si="1804"/>
        <v>39044</v>
      </c>
      <c r="X631" s="127"/>
      <c r="Y631" s="122"/>
      <c r="Z631" s="128"/>
      <c r="AA631" s="129"/>
      <c r="AB631" s="336">
        <v>580</v>
      </c>
    </row>
    <row r="632" spans="1:34" ht="12" customHeight="1" x14ac:dyDescent="0.2">
      <c r="A632" s="4"/>
      <c r="B632" s="654" t="s">
        <v>641</v>
      </c>
      <c r="C632" s="725"/>
      <c r="D632" s="725"/>
      <c r="E632" s="725"/>
      <c r="F632" s="283">
        <f>21.83*X2</f>
        <v>33618.199999999997</v>
      </c>
      <c r="G632" s="255">
        <f t="shared" si="1807"/>
        <v>33618.199999999997</v>
      </c>
      <c r="H632" s="93">
        <f>F632+5000</f>
        <v>38618.199999999997</v>
      </c>
      <c r="I632" s="270">
        <f t="shared" si="1808"/>
        <v>38618.199999999997</v>
      </c>
      <c r="J632" s="93">
        <f t="shared" si="1809"/>
        <v>34818.199999999997</v>
      </c>
      <c r="K632" s="270">
        <f t="shared" si="1810"/>
        <v>34818.199999999997</v>
      </c>
      <c r="L632" s="93">
        <f t="shared" si="1798"/>
        <v>34418.199999999997</v>
      </c>
      <c r="M632" s="270">
        <f t="shared" si="1799"/>
        <v>34418.199999999997</v>
      </c>
      <c r="N632" s="93">
        <f t="shared" si="1789"/>
        <v>34318.199999999997</v>
      </c>
      <c r="O632" s="270">
        <f t="shared" si="1800"/>
        <v>34318.199999999997</v>
      </c>
      <c r="P632" s="93">
        <f t="shared" si="1791"/>
        <v>34218.199999999997</v>
      </c>
      <c r="Q632" s="270">
        <f t="shared" si="1801"/>
        <v>34218.199999999997</v>
      </c>
      <c r="R632" s="93">
        <f t="shared" si="1763"/>
        <v>34118.199999999997</v>
      </c>
      <c r="S632" s="270">
        <f t="shared" si="1802"/>
        <v>34118.199999999997</v>
      </c>
      <c r="T632" s="93">
        <f t="shared" si="1765"/>
        <v>34068.199999999997</v>
      </c>
      <c r="U632" s="270">
        <f t="shared" si="1803"/>
        <v>34068.199999999997</v>
      </c>
      <c r="V632" s="92">
        <f t="shared" si="1778"/>
        <v>34008.199999999997</v>
      </c>
      <c r="W632" s="270">
        <f t="shared" si="1804"/>
        <v>34008.199999999997</v>
      </c>
      <c r="X632" s="127"/>
      <c r="Y632" s="122"/>
      <c r="Z632" s="128"/>
      <c r="AA632" s="129"/>
      <c r="AB632" s="336">
        <v>582</v>
      </c>
    </row>
    <row r="633" spans="1:34" ht="12" customHeight="1" x14ac:dyDescent="0.2">
      <c r="A633" s="4"/>
      <c r="B633" s="647" t="s">
        <v>640</v>
      </c>
      <c r="C633" s="688"/>
      <c r="D633" s="688"/>
      <c r="E633" s="688"/>
      <c r="F633" s="559">
        <v>31800</v>
      </c>
      <c r="G633" s="280">
        <f t="shared" si="1807"/>
        <v>31800</v>
      </c>
      <c r="H633" s="92">
        <f>F633+5000</f>
        <v>36800</v>
      </c>
      <c r="I633" s="280">
        <f t="shared" si="1808"/>
        <v>36800</v>
      </c>
      <c r="J633" s="92">
        <f t="shared" si="1809"/>
        <v>33000</v>
      </c>
      <c r="K633" s="280">
        <f t="shared" si="1810"/>
        <v>33000</v>
      </c>
      <c r="L633" s="92">
        <f t="shared" si="1798"/>
        <v>32600</v>
      </c>
      <c r="M633" s="280">
        <f t="shared" si="1799"/>
        <v>32600</v>
      </c>
      <c r="N633" s="92">
        <f t="shared" si="1789"/>
        <v>32500</v>
      </c>
      <c r="O633" s="280">
        <f t="shared" si="1800"/>
        <v>32500</v>
      </c>
      <c r="P633" s="92">
        <f t="shared" si="1791"/>
        <v>32400</v>
      </c>
      <c r="Q633" s="280">
        <f t="shared" si="1801"/>
        <v>32400</v>
      </c>
      <c r="R633" s="92">
        <f t="shared" si="1763"/>
        <v>32300</v>
      </c>
      <c r="S633" s="280">
        <f t="shared" si="1802"/>
        <v>32300</v>
      </c>
      <c r="T633" s="92">
        <f t="shared" si="1765"/>
        <v>32250</v>
      </c>
      <c r="U633" s="280">
        <f t="shared" si="1803"/>
        <v>32250</v>
      </c>
      <c r="V633" s="92">
        <f t="shared" si="1778"/>
        <v>32190</v>
      </c>
      <c r="W633" s="280">
        <f t="shared" si="1804"/>
        <v>32190</v>
      </c>
      <c r="X633" s="127"/>
      <c r="Y633" s="122"/>
      <c r="Z633" s="128"/>
      <c r="AA633" s="129"/>
      <c r="AB633" s="336">
        <v>584</v>
      </c>
    </row>
    <row r="634" spans="1:34" ht="12" customHeight="1" x14ac:dyDescent="0.2">
      <c r="A634" s="4"/>
      <c r="B634" s="765" t="s">
        <v>687</v>
      </c>
      <c r="C634" s="766"/>
      <c r="D634" s="766"/>
      <c r="E634" s="767"/>
      <c r="F634" s="283">
        <f>21.1*X2</f>
        <v>32494.000000000004</v>
      </c>
      <c r="G634" s="255">
        <f t="shared" si="1807"/>
        <v>32494.000000000004</v>
      </c>
      <c r="H634" s="93">
        <f>F634+5000</f>
        <v>37494</v>
      </c>
      <c r="I634" s="270">
        <f t="shared" si="1808"/>
        <v>37494</v>
      </c>
      <c r="J634" s="93">
        <f t="shared" si="1809"/>
        <v>33694</v>
      </c>
      <c r="K634" s="270">
        <f t="shared" si="1810"/>
        <v>33694</v>
      </c>
      <c r="L634" s="93">
        <f t="shared" si="1798"/>
        <v>33294</v>
      </c>
      <c r="M634" s="270">
        <f t="shared" si="1799"/>
        <v>33294</v>
      </c>
      <c r="N634" s="93">
        <f t="shared" si="1789"/>
        <v>33194</v>
      </c>
      <c r="O634" s="270">
        <f t="shared" si="1800"/>
        <v>33194</v>
      </c>
      <c r="P634" s="93">
        <f t="shared" si="1791"/>
        <v>33094</v>
      </c>
      <c r="Q634" s="270">
        <f t="shared" si="1801"/>
        <v>33094</v>
      </c>
      <c r="R634" s="93">
        <f t="shared" si="1763"/>
        <v>32994</v>
      </c>
      <c r="S634" s="270">
        <f t="shared" si="1802"/>
        <v>32994</v>
      </c>
      <c r="T634" s="93">
        <f t="shared" si="1765"/>
        <v>32944</v>
      </c>
      <c r="U634" s="270">
        <f t="shared" si="1803"/>
        <v>32944</v>
      </c>
      <c r="V634" s="92">
        <f t="shared" si="1778"/>
        <v>32884</v>
      </c>
      <c r="W634" s="270">
        <f t="shared" si="1804"/>
        <v>32884</v>
      </c>
      <c r="X634" s="127"/>
      <c r="Y634" s="122"/>
      <c r="Z634" s="128"/>
      <c r="AA634" s="129"/>
      <c r="AB634" s="336">
        <v>586</v>
      </c>
    </row>
    <row r="635" spans="1:34" ht="12" customHeight="1" x14ac:dyDescent="0.2">
      <c r="A635" s="4"/>
      <c r="B635" s="755" t="s">
        <v>761</v>
      </c>
      <c r="C635" s="756"/>
      <c r="D635" s="756"/>
      <c r="E635" s="757"/>
      <c r="F635" s="282">
        <f>2.9*X2</f>
        <v>4466</v>
      </c>
      <c r="G635" s="256">
        <f t="shared" si="1807"/>
        <v>4466</v>
      </c>
      <c r="H635" s="92">
        <f>F635+5000</f>
        <v>9466</v>
      </c>
      <c r="I635" s="280">
        <f t="shared" ref="I635" si="1811">+H635*$X$1</f>
        <v>9466</v>
      </c>
      <c r="J635" s="92">
        <f t="shared" si="1809"/>
        <v>5666</v>
      </c>
      <c r="K635" s="280">
        <f t="shared" ref="K635" si="1812">+J635*$X$1</f>
        <v>5666</v>
      </c>
      <c r="L635" s="92">
        <f t="shared" si="1798"/>
        <v>5266</v>
      </c>
      <c r="M635" s="280">
        <f t="shared" ref="M635" si="1813">+L635*$X$1</f>
        <v>5266</v>
      </c>
      <c r="N635" s="92">
        <f t="shared" si="1789"/>
        <v>5166</v>
      </c>
      <c r="O635" s="280">
        <f t="shared" ref="O635" si="1814">+N635*$X$1</f>
        <v>5166</v>
      </c>
      <c r="P635" s="92">
        <f t="shared" si="1791"/>
        <v>5066</v>
      </c>
      <c r="Q635" s="280">
        <f t="shared" ref="Q635" si="1815">+P635*$X$1</f>
        <v>5066</v>
      </c>
      <c r="R635" s="92">
        <f t="shared" si="1763"/>
        <v>4966</v>
      </c>
      <c r="S635" s="280">
        <f t="shared" ref="S635" si="1816">+R635*$X$1</f>
        <v>4966</v>
      </c>
      <c r="T635" s="92">
        <f t="shared" si="1765"/>
        <v>4916</v>
      </c>
      <c r="U635" s="280">
        <f t="shared" ref="U635" si="1817">+T635*$X$1</f>
        <v>4916</v>
      </c>
      <c r="V635" s="92">
        <f t="shared" si="1778"/>
        <v>4856</v>
      </c>
      <c r="W635" s="280">
        <f t="shared" ref="W635" si="1818">+V635*$X$1</f>
        <v>4856</v>
      </c>
      <c r="X635" s="127"/>
      <c r="Y635" s="122"/>
      <c r="Z635" s="128"/>
      <c r="AA635" s="129"/>
      <c r="AB635" s="178">
        <v>593</v>
      </c>
    </row>
    <row r="636" spans="1:34" ht="12" customHeight="1" x14ac:dyDescent="0.2">
      <c r="A636" s="71"/>
      <c r="B636" s="98"/>
      <c r="C636" s="391"/>
      <c r="D636" s="391"/>
      <c r="E636" s="391"/>
      <c r="F636" s="293"/>
      <c r="G636" s="293"/>
      <c r="H636" s="106"/>
      <c r="I636" s="293"/>
      <c r="J636" s="106"/>
      <c r="K636" s="293"/>
      <c r="L636" s="106"/>
      <c r="M636" s="293"/>
      <c r="N636" s="106"/>
      <c r="O636" s="293"/>
      <c r="P636" s="106"/>
      <c r="Q636" s="293"/>
      <c r="R636" s="106"/>
      <c r="S636" s="293"/>
      <c r="T636" s="106"/>
      <c r="U636" s="293"/>
      <c r="V636" s="106"/>
      <c r="W636" s="293"/>
      <c r="X636" s="185"/>
      <c r="Y636" s="71"/>
      <c r="Z636" s="186"/>
      <c r="AA636" s="186"/>
      <c r="AB636" s="187"/>
    </row>
    <row r="637" spans="1:34" ht="12" customHeight="1" x14ac:dyDescent="0.2">
      <c r="A637" s="71"/>
      <c r="B637" s="98"/>
      <c r="C637" s="549"/>
      <c r="D637" s="549"/>
      <c r="E637" s="549"/>
      <c r="F637" s="293"/>
      <c r="G637" s="293"/>
      <c r="H637" s="106"/>
      <c r="I637" s="293"/>
      <c r="J637" s="106"/>
      <c r="K637" s="293"/>
      <c r="L637" s="106"/>
      <c r="M637" s="293"/>
      <c r="N637" s="106"/>
      <c r="O637" s="293"/>
      <c r="P637" s="106"/>
      <c r="Q637" s="293"/>
      <c r="R637" s="106"/>
      <c r="S637" s="293"/>
      <c r="T637" s="106"/>
      <c r="U637" s="293"/>
      <c r="V637" s="106"/>
      <c r="W637" s="293"/>
      <c r="X637" s="185"/>
      <c r="Y637" s="71"/>
      <c r="Z637" s="186"/>
      <c r="AA637" s="186"/>
      <c r="AB637" s="187"/>
    </row>
    <row r="638" spans="1:34" ht="12" customHeight="1" x14ac:dyDescent="0.2">
      <c r="A638" s="71"/>
      <c r="B638" s="98"/>
      <c r="C638" s="549"/>
      <c r="D638" s="549"/>
      <c r="E638" s="549"/>
      <c r="F638" s="293"/>
      <c r="G638" s="293"/>
      <c r="H638" s="106"/>
      <c r="I638" s="293"/>
      <c r="J638" s="106"/>
      <c r="K638" s="293"/>
      <c r="L638" s="106"/>
      <c r="M638" s="293"/>
      <c r="N638" s="106"/>
      <c r="O638" s="293"/>
      <c r="P638" s="106"/>
      <c r="Q638" s="293"/>
      <c r="R638" s="106"/>
      <c r="S638" s="293"/>
      <c r="T638" s="106"/>
      <c r="U638" s="293"/>
      <c r="V638" s="106"/>
      <c r="W638" s="293"/>
      <c r="X638" s="185"/>
      <c r="Y638" s="71"/>
      <c r="Z638" s="186"/>
      <c r="AA638" s="186"/>
      <c r="AB638" s="187"/>
    </row>
    <row r="639" spans="1:34" ht="14.25" customHeight="1" x14ac:dyDescent="0.2">
      <c r="B639" s="924" t="s">
        <v>11</v>
      </c>
      <c r="C639" s="807" t="s">
        <v>12</v>
      </c>
      <c r="D639" s="808"/>
      <c r="E639" s="808"/>
      <c r="F639" s="913" t="s">
        <v>258</v>
      </c>
      <c r="G639" s="913" t="s">
        <v>13</v>
      </c>
      <c r="H639" s="920" t="s">
        <v>707</v>
      </c>
      <c r="I639" s="920"/>
      <c r="J639" s="921"/>
      <c r="K639" s="921"/>
      <c r="L639" s="921"/>
      <c r="M639" s="921"/>
      <c r="N639" s="921"/>
      <c r="O639" s="921"/>
      <c r="P639" s="921"/>
      <c r="Q639" s="921"/>
      <c r="R639" s="921"/>
      <c r="S639" s="921"/>
      <c r="T639" s="921"/>
      <c r="U639" s="921"/>
      <c r="V639" s="921"/>
      <c r="W639" s="922"/>
      <c r="X639" s="779" t="s">
        <v>14</v>
      </c>
      <c r="Y639" s="793"/>
      <c r="Z639" s="793"/>
      <c r="AA639" s="966"/>
      <c r="AB639" s="777" t="s">
        <v>15</v>
      </c>
      <c r="AF639" s="759" t="s">
        <v>3</v>
      </c>
      <c r="AG639" s="760"/>
      <c r="AH639" s="760"/>
    </row>
    <row r="640" spans="1:34" ht="12" customHeight="1" x14ac:dyDescent="0.2">
      <c r="B640" s="925"/>
      <c r="C640" s="809"/>
      <c r="D640" s="809"/>
      <c r="E640" s="809"/>
      <c r="F640" s="914"/>
      <c r="G640" s="914"/>
      <c r="H640" s="406"/>
      <c r="I640" s="407" t="s">
        <v>503</v>
      </c>
      <c r="J640" s="406"/>
      <c r="K640" s="407" t="s">
        <v>259</v>
      </c>
      <c r="L640" s="406"/>
      <c r="M640" s="407" t="s">
        <v>260</v>
      </c>
      <c r="N640" s="406"/>
      <c r="O640" s="407" t="s">
        <v>505</v>
      </c>
      <c r="P640" s="406"/>
      <c r="Q640" s="407" t="s">
        <v>17</v>
      </c>
      <c r="R640" s="406"/>
      <c r="S640" s="407" t="s">
        <v>18</v>
      </c>
      <c r="T640" s="406"/>
      <c r="U640" s="407" t="s">
        <v>19</v>
      </c>
      <c r="V640" s="406"/>
      <c r="W640" s="408" t="s">
        <v>506</v>
      </c>
      <c r="X640" s="794"/>
      <c r="Y640" s="795"/>
      <c r="Z640" s="795"/>
      <c r="AA640" s="967"/>
      <c r="AB640" s="778"/>
    </row>
    <row r="641" spans="1:28" ht="12" customHeight="1" x14ac:dyDescent="0.2">
      <c r="A641" s="4"/>
      <c r="B641" s="755" t="s">
        <v>851</v>
      </c>
      <c r="C641" s="756"/>
      <c r="D641" s="756"/>
      <c r="E641" s="757"/>
      <c r="F641" s="256">
        <f>14.43*X2</f>
        <v>22222.2</v>
      </c>
      <c r="G641" s="256">
        <f>+F641*$X$1</f>
        <v>22222.2</v>
      </c>
      <c r="H641" s="92">
        <f t="shared" ref="H641" si="1819">F641+5000</f>
        <v>27222.2</v>
      </c>
      <c r="I641" s="280">
        <f>+H641*$X$1</f>
        <v>27222.2</v>
      </c>
      <c r="J641" s="92">
        <f>F641+1200</f>
        <v>23422.2</v>
      </c>
      <c r="K641" s="280">
        <f>+J641*$X$1</f>
        <v>23422.2</v>
      </c>
      <c r="L641" s="92">
        <f>F641+800</f>
        <v>23022.2</v>
      </c>
      <c r="M641" s="280">
        <f>+L641*$X$1</f>
        <v>23022.2</v>
      </c>
      <c r="N641" s="92">
        <f>F641+700</f>
        <v>22922.2</v>
      </c>
      <c r="O641" s="280">
        <f>+N641*$X$1</f>
        <v>22922.2</v>
      </c>
      <c r="P641" s="92">
        <f>F641+600</f>
        <v>22822.2</v>
      </c>
      <c r="Q641" s="280">
        <f>+P641*$X$1</f>
        <v>22822.2</v>
      </c>
      <c r="R641" s="92">
        <f>F641+500</f>
        <v>22722.2</v>
      </c>
      <c r="S641" s="280">
        <f>+R641*$X$1</f>
        <v>22722.2</v>
      </c>
      <c r="T641" s="92">
        <f>F641+450</f>
        <v>22672.2</v>
      </c>
      <c r="U641" s="280">
        <f>+T641*$X$1</f>
        <v>22672.2</v>
      </c>
      <c r="V641" s="92">
        <f>F641+390</f>
        <v>22612.2</v>
      </c>
      <c r="W641" s="280">
        <f>+V641*$X$1</f>
        <v>22612.2</v>
      </c>
      <c r="X641" s="127"/>
      <c r="Y641" s="122"/>
      <c r="Z641" s="128"/>
      <c r="AA641" s="129"/>
      <c r="AB641" s="336">
        <v>598</v>
      </c>
    </row>
    <row r="642" spans="1:28" ht="12" customHeight="1" x14ac:dyDescent="0.2">
      <c r="A642" s="4"/>
      <c r="B642" s="765" t="s">
        <v>651</v>
      </c>
      <c r="C642" s="766"/>
      <c r="D642" s="766"/>
      <c r="E642" s="767"/>
      <c r="F642" s="591">
        <v>29610</v>
      </c>
      <c r="G642" s="255">
        <f>+F642*$X$1</f>
        <v>29610</v>
      </c>
      <c r="H642" s="93"/>
      <c r="I642" s="270"/>
      <c r="J642" s="93">
        <f>F642+1200</f>
        <v>30810</v>
      </c>
      <c r="K642" s="270">
        <f t="shared" ref="K642" si="1820">+J642*$X$1</f>
        <v>30810</v>
      </c>
      <c r="L642" s="93">
        <f>F642+800</f>
        <v>30410</v>
      </c>
      <c r="M642" s="270">
        <f>+L642*$X$1</f>
        <v>30410</v>
      </c>
      <c r="N642" s="93">
        <f>F642+700</f>
        <v>30310</v>
      </c>
      <c r="O642" s="270">
        <f>+N642*$X$1</f>
        <v>30310</v>
      </c>
      <c r="P642" s="93">
        <f>F642+600</f>
        <v>30210</v>
      </c>
      <c r="Q642" s="270">
        <f>+P642*$X$1</f>
        <v>30210</v>
      </c>
      <c r="R642" s="93">
        <f>F642+500</f>
        <v>30110</v>
      </c>
      <c r="S642" s="270">
        <f>+R642*$X$1</f>
        <v>30110</v>
      </c>
      <c r="T642" s="93">
        <f>F642+450</f>
        <v>30060</v>
      </c>
      <c r="U642" s="270">
        <f>+T642*$X$1</f>
        <v>30060</v>
      </c>
      <c r="V642" s="93">
        <f>F642+390</f>
        <v>30000</v>
      </c>
      <c r="W642" s="270">
        <f>+V642*$X$1</f>
        <v>30000</v>
      </c>
      <c r="X642" s="127"/>
      <c r="Y642" s="122"/>
      <c r="Z642" s="128"/>
      <c r="AA642" s="129"/>
      <c r="AB642" s="336">
        <v>599</v>
      </c>
    </row>
    <row r="643" spans="1:28" ht="12" customHeight="1" x14ac:dyDescent="0.2">
      <c r="A643" s="4"/>
      <c r="B643" s="755" t="s">
        <v>639</v>
      </c>
      <c r="C643" s="756"/>
      <c r="D643" s="756"/>
      <c r="E643" s="757"/>
      <c r="F643" s="256">
        <f>17.65*X2</f>
        <v>27180.999999999996</v>
      </c>
      <c r="G643" s="256">
        <f>+F643*$X$1</f>
        <v>27180.999999999996</v>
      </c>
      <c r="H643" s="92">
        <f>F643+5000</f>
        <v>32180.999999999996</v>
      </c>
      <c r="I643" s="280">
        <f t="shared" ref="I643:I646" si="1821">+H643*$X$1</f>
        <v>32180.999999999996</v>
      </c>
      <c r="J643" s="92">
        <f t="shared" ref="J643:J653" si="1822">F643+1200</f>
        <v>28380.999999999996</v>
      </c>
      <c r="K643" s="280">
        <f t="shared" ref="K643:K646" si="1823">+J643*$X$1</f>
        <v>28380.999999999996</v>
      </c>
      <c r="L643" s="92">
        <f>F643+800</f>
        <v>27980.999999999996</v>
      </c>
      <c r="M643" s="280">
        <f t="shared" ref="M643:M646" si="1824">+L643*$X$1</f>
        <v>27980.999999999996</v>
      </c>
      <c r="N643" s="92">
        <f>F643+700</f>
        <v>27880.999999999996</v>
      </c>
      <c r="O643" s="280">
        <f t="shared" ref="O643:O646" si="1825">+N643*$X$1</f>
        <v>27880.999999999996</v>
      </c>
      <c r="P643" s="92">
        <f>F643+600</f>
        <v>27780.999999999996</v>
      </c>
      <c r="Q643" s="280">
        <f t="shared" ref="Q643:Q646" si="1826">+P643*$X$1</f>
        <v>27780.999999999996</v>
      </c>
      <c r="R643" s="92">
        <f>F643+500</f>
        <v>27680.999999999996</v>
      </c>
      <c r="S643" s="280">
        <f t="shared" ref="S643:S646" si="1827">+R643*$X$1</f>
        <v>27680.999999999996</v>
      </c>
      <c r="T643" s="92">
        <f>F643+450</f>
        <v>27630.999999999996</v>
      </c>
      <c r="U643" s="280">
        <f t="shared" ref="U643:U646" si="1828">+T643*$X$1</f>
        <v>27630.999999999996</v>
      </c>
      <c r="V643" s="92">
        <f>F643+390</f>
        <v>27570.999999999996</v>
      </c>
      <c r="W643" s="280">
        <f t="shared" ref="W643:W646" si="1829">+V643*$X$1</f>
        <v>27570.999999999996</v>
      </c>
      <c r="X643" s="127"/>
      <c r="Y643" s="122"/>
      <c r="Z643" s="128"/>
      <c r="AA643" s="129"/>
      <c r="AB643" s="336">
        <v>600</v>
      </c>
    </row>
    <row r="644" spans="1:28" ht="12" customHeight="1" x14ac:dyDescent="0.2">
      <c r="A644" s="4"/>
      <c r="B644" s="765" t="s">
        <v>760</v>
      </c>
      <c r="C644" s="766"/>
      <c r="D644" s="766"/>
      <c r="E644" s="767"/>
      <c r="F644" s="283">
        <f>51.2*X2</f>
        <v>78848</v>
      </c>
      <c r="G644" s="255">
        <f t="shared" ref="G644" si="1830">+F644*$X$1</f>
        <v>78848</v>
      </c>
      <c r="H644" s="93">
        <f>F644+5000</f>
        <v>83848</v>
      </c>
      <c r="I644" s="270">
        <f t="shared" si="1821"/>
        <v>83848</v>
      </c>
      <c r="J644" s="93">
        <f t="shared" si="1822"/>
        <v>80048</v>
      </c>
      <c r="K644" s="270">
        <f t="shared" si="1823"/>
        <v>80048</v>
      </c>
      <c r="L644" s="93">
        <f>F644+800</f>
        <v>79648</v>
      </c>
      <c r="M644" s="270">
        <f t="shared" si="1824"/>
        <v>79648</v>
      </c>
      <c r="N644" s="93">
        <f>F644+700</f>
        <v>79548</v>
      </c>
      <c r="O644" s="270">
        <f t="shared" si="1825"/>
        <v>79548</v>
      </c>
      <c r="P644" s="93">
        <f>F644+600</f>
        <v>79448</v>
      </c>
      <c r="Q644" s="270">
        <f t="shared" si="1826"/>
        <v>79448</v>
      </c>
      <c r="R644" s="93">
        <f>F644+500</f>
        <v>79348</v>
      </c>
      <c r="S644" s="270">
        <f t="shared" si="1827"/>
        <v>79348</v>
      </c>
      <c r="T644" s="93">
        <f>F644+450</f>
        <v>79298</v>
      </c>
      <c r="U644" s="270">
        <f t="shared" si="1828"/>
        <v>79298</v>
      </c>
      <c r="V644" s="92">
        <f t="shared" ref="V644:V664" si="1831">F644+390</f>
        <v>79238</v>
      </c>
      <c r="W644" s="270">
        <f t="shared" si="1829"/>
        <v>79238</v>
      </c>
      <c r="X644" s="127"/>
      <c r="Y644" s="122"/>
      <c r="Z644" s="128"/>
      <c r="AA644" s="129"/>
      <c r="AB644" s="336">
        <v>605</v>
      </c>
    </row>
    <row r="645" spans="1:28" ht="12" customHeight="1" x14ac:dyDescent="0.2">
      <c r="A645" s="4"/>
      <c r="B645" s="755" t="s">
        <v>752</v>
      </c>
      <c r="C645" s="756"/>
      <c r="D645" s="756"/>
      <c r="E645" s="757"/>
      <c r="F645" s="282">
        <f>46.18*X2</f>
        <v>71117.2</v>
      </c>
      <c r="G645" s="256">
        <f>+F645*$X$1</f>
        <v>71117.2</v>
      </c>
      <c r="H645" s="92">
        <f>F645+5000</f>
        <v>76117.2</v>
      </c>
      <c r="I645" s="280">
        <f t="shared" si="1821"/>
        <v>76117.2</v>
      </c>
      <c r="J645" s="92">
        <f t="shared" si="1822"/>
        <v>72317.2</v>
      </c>
      <c r="K645" s="280">
        <f t="shared" si="1823"/>
        <v>72317.2</v>
      </c>
      <c r="L645" s="92">
        <f>F645+800</f>
        <v>71917.2</v>
      </c>
      <c r="M645" s="280">
        <f t="shared" si="1824"/>
        <v>71917.2</v>
      </c>
      <c r="N645" s="92">
        <f>F645+700</f>
        <v>71817.2</v>
      </c>
      <c r="O645" s="280">
        <f t="shared" si="1825"/>
        <v>71817.2</v>
      </c>
      <c r="P645" s="92">
        <f>F645+600</f>
        <v>71717.2</v>
      </c>
      <c r="Q645" s="280">
        <f t="shared" si="1826"/>
        <v>71717.2</v>
      </c>
      <c r="R645" s="92">
        <f>F645+500</f>
        <v>71617.2</v>
      </c>
      <c r="S645" s="280">
        <f t="shared" si="1827"/>
        <v>71617.2</v>
      </c>
      <c r="T645" s="92">
        <f>F645+450</f>
        <v>71567.199999999997</v>
      </c>
      <c r="U645" s="280">
        <f t="shared" si="1828"/>
        <v>71567.199999999997</v>
      </c>
      <c r="V645" s="92">
        <f t="shared" si="1831"/>
        <v>71507.199999999997</v>
      </c>
      <c r="W645" s="280">
        <f t="shared" si="1829"/>
        <v>71507.199999999997</v>
      </c>
      <c r="X645" s="127"/>
      <c r="Y645" s="122"/>
      <c r="Z645" s="128"/>
      <c r="AA645" s="129"/>
      <c r="AB645" s="336">
        <v>608</v>
      </c>
    </row>
    <row r="646" spans="1:28" ht="12" customHeight="1" x14ac:dyDescent="0.2">
      <c r="A646" s="4"/>
      <c r="B646" s="765" t="s">
        <v>644</v>
      </c>
      <c r="C646" s="766"/>
      <c r="D646" s="766"/>
      <c r="E646" s="767"/>
      <c r="F646" s="283">
        <f>31.2*X2</f>
        <v>48048</v>
      </c>
      <c r="G646" s="255">
        <f t="shared" ref="G646:G647" si="1832">+F646*$X$1</f>
        <v>48048</v>
      </c>
      <c r="H646" s="93">
        <f>F646+5000</f>
        <v>53048</v>
      </c>
      <c r="I646" s="270">
        <f t="shared" si="1821"/>
        <v>53048</v>
      </c>
      <c r="J646" s="93">
        <f t="shared" si="1822"/>
        <v>49248</v>
      </c>
      <c r="K646" s="270">
        <f t="shared" si="1823"/>
        <v>49248</v>
      </c>
      <c r="L646" s="93">
        <f>F646+800</f>
        <v>48848</v>
      </c>
      <c r="M646" s="270">
        <f t="shared" si="1824"/>
        <v>48848</v>
      </c>
      <c r="N646" s="93">
        <f>F646+700</f>
        <v>48748</v>
      </c>
      <c r="O646" s="270">
        <f t="shared" si="1825"/>
        <v>48748</v>
      </c>
      <c r="P646" s="93">
        <f>F646+600</f>
        <v>48648</v>
      </c>
      <c r="Q646" s="270">
        <f t="shared" si="1826"/>
        <v>48648</v>
      </c>
      <c r="R646" s="93">
        <f>F646+500</f>
        <v>48548</v>
      </c>
      <c r="S646" s="270">
        <f t="shared" si="1827"/>
        <v>48548</v>
      </c>
      <c r="T646" s="93">
        <f>F646+450</f>
        <v>48498</v>
      </c>
      <c r="U646" s="270">
        <f t="shared" si="1828"/>
        <v>48498</v>
      </c>
      <c r="V646" s="92">
        <f t="shared" si="1831"/>
        <v>48438</v>
      </c>
      <c r="W646" s="270">
        <f t="shared" si="1829"/>
        <v>48438</v>
      </c>
      <c r="X646" s="127"/>
      <c r="Y646" s="122"/>
      <c r="Z646" s="128"/>
      <c r="AA646" s="129"/>
      <c r="AB646" s="336">
        <v>609</v>
      </c>
    </row>
    <row r="647" spans="1:28" ht="12" customHeight="1" x14ac:dyDescent="0.2">
      <c r="A647" s="4"/>
      <c r="B647" s="755" t="s">
        <v>645</v>
      </c>
      <c r="C647" s="756"/>
      <c r="D647" s="756"/>
      <c r="E647" s="757"/>
      <c r="F647" s="282">
        <f>36.2*X2</f>
        <v>55748.000000000007</v>
      </c>
      <c r="G647" s="256">
        <f t="shared" si="1832"/>
        <v>55748.000000000007</v>
      </c>
      <c r="H647" s="92">
        <f t="shared" ref="H647:H653" si="1833">F647+5000</f>
        <v>60748.000000000007</v>
      </c>
      <c r="I647" s="280">
        <f t="shared" ref="I647:I653" si="1834">+H647*$X$1</f>
        <v>60748.000000000007</v>
      </c>
      <c r="J647" s="92">
        <f t="shared" si="1822"/>
        <v>56948.000000000007</v>
      </c>
      <c r="K647" s="280">
        <f t="shared" ref="K647:K653" si="1835">+J647*$X$1</f>
        <v>56948.000000000007</v>
      </c>
      <c r="L647" s="92">
        <f t="shared" ref="L647:L653" si="1836">F647+800</f>
        <v>56548.000000000007</v>
      </c>
      <c r="M647" s="280">
        <f t="shared" ref="M647:M653" si="1837">+L647*$X$1</f>
        <v>56548.000000000007</v>
      </c>
      <c r="N647" s="92">
        <f t="shared" ref="N647:N653" si="1838">F647+700</f>
        <v>56448.000000000007</v>
      </c>
      <c r="O647" s="280">
        <f t="shared" ref="O647:O653" si="1839">+N647*$X$1</f>
        <v>56448.000000000007</v>
      </c>
      <c r="P647" s="92">
        <f t="shared" ref="P647:P653" si="1840">F647+600</f>
        <v>56348.000000000007</v>
      </c>
      <c r="Q647" s="280">
        <f t="shared" ref="Q647:Q653" si="1841">+P647*$X$1</f>
        <v>56348.000000000007</v>
      </c>
      <c r="R647" s="92">
        <f t="shared" ref="R647:R653" si="1842">F647+500</f>
        <v>56248.000000000007</v>
      </c>
      <c r="S647" s="280">
        <f t="shared" ref="S647:S653" si="1843">+R647*$X$1</f>
        <v>56248.000000000007</v>
      </c>
      <c r="T647" s="92">
        <f t="shared" ref="T647:T653" si="1844">F647+450</f>
        <v>56198.000000000007</v>
      </c>
      <c r="U647" s="280">
        <f t="shared" ref="U647:U653" si="1845">+T647*$X$1</f>
        <v>56198.000000000007</v>
      </c>
      <c r="V647" s="92">
        <f t="shared" si="1831"/>
        <v>56138.000000000007</v>
      </c>
      <c r="W647" s="280">
        <f t="shared" ref="W647:W653" si="1846">+V647*$X$1</f>
        <v>56138.000000000007</v>
      </c>
      <c r="X647" s="127"/>
      <c r="Y647" s="122"/>
      <c r="Z647" s="128"/>
      <c r="AA647" s="129"/>
      <c r="AB647" s="336">
        <v>611</v>
      </c>
    </row>
    <row r="648" spans="1:28" ht="12" customHeight="1" x14ac:dyDescent="0.2">
      <c r="A648" s="4"/>
      <c r="B648" s="686" t="s">
        <v>981</v>
      </c>
      <c r="C648" s="761"/>
      <c r="D648" s="761"/>
      <c r="E648" s="761"/>
      <c r="F648" s="591">
        <v>6200</v>
      </c>
      <c r="G648" s="255">
        <f>+F648*$X$1</f>
        <v>6200</v>
      </c>
      <c r="H648" s="93"/>
      <c r="I648" s="270"/>
      <c r="J648" s="93"/>
      <c r="K648" s="270"/>
      <c r="L648" s="93"/>
      <c r="M648" s="270"/>
      <c r="N648" s="93">
        <f t="shared" si="1838"/>
        <v>6900</v>
      </c>
      <c r="O648" s="270">
        <f t="shared" si="1839"/>
        <v>6900</v>
      </c>
      <c r="P648" s="93">
        <f t="shared" si="1840"/>
        <v>6800</v>
      </c>
      <c r="Q648" s="270">
        <f t="shared" si="1841"/>
        <v>6800</v>
      </c>
      <c r="R648" s="93">
        <f t="shared" si="1842"/>
        <v>6700</v>
      </c>
      <c r="S648" s="270">
        <f t="shared" si="1843"/>
        <v>6700</v>
      </c>
      <c r="T648" s="93">
        <f t="shared" si="1844"/>
        <v>6650</v>
      </c>
      <c r="U648" s="270">
        <f t="shared" si="1845"/>
        <v>6650</v>
      </c>
      <c r="V648" s="92">
        <f t="shared" si="1831"/>
        <v>6590</v>
      </c>
      <c r="W648" s="270">
        <f t="shared" si="1846"/>
        <v>6590</v>
      </c>
      <c r="X648" s="127"/>
      <c r="Y648" s="122"/>
      <c r="Z648" s="128"/>
      <c r="AA648" s="129"/>
      <c r="AB648" s="350">
        <v>641</v>
      </c>
    </row>
    <row r="649" spans="1:28" ht="12" customHeight="1" x14ac:dyDescent="0.2">
      <c r="A649" s="4"/>
      <c r="B649" s="755" t="s">
        <v>980</v>
      </c>
      <c r="C649" s="756"/>
      <c r="D649" s="756"/>
      <c r="E649" s="757"/>
      <c r="F649" s="282">
        <f>4.15*X2</f>
        <v>6391.0000000000009</v>
      </c>
      <c r="G649" s="256">
        <f t="shared" ref="G649" si="1847">+F649*$X$1</f>
        <v>6391.0000000000009</v>
      </c>
      <c r="H649" s="92">
        <f t="shared" si="1833"/>
        <v>11391</v>
      </c>
      <c r="I649" s="280">
        <f t="shared" si="1834"/>
        <v>11391</v>
      </c>
      <c r="J649" s="92">
        <f t="shared" si="1822"/>
        <v>7591.0000000000009</v>
      </c>
      <c r="K649" s="280">
        <f t="shared" si="1835"/>
        <v>7591.0000000000009</v>
      </c>
      <c r="L649" s="92">
        <f t="shared" si="1836"/>
        <v>7191.0000000000009</v>
      </c>
      <c r="M649" s="280">
        <f t="shared" si="1837"/>
        <v>7191.0000000000009</v>
      </c>
      <c r="N649" s="92">
        <f t="shared" si="1838"/>
        <v>7091.0000000000009</v>
      </c>
      <c r="O649" s="280">
        <f t="shared" si="1839"/>
        <v>7091.0000000000009</v>
      </c>
      <c r="P649" s="92">
        <f t="shared" si="1840"/>
        <v>6991.0000000000009</v>
      </c>
      <c r="Q649" s="280">
        <f t="shared" si="1841"/>
        <v>6991.0000000000009</v>
      </c>
      <c r="R649" s="92">
        <f t="shared" si="1842"/>
        <v>6891.0000000000009</v>
      </c>
      <c r="S649" s="280">
        <f t="shared" si="1843"/>
        <v>6891.0000000000009</v>
      </c>
      <c r="T649" s="92">
        <f t="shared" si="1844"/>
        <v>6841.0000000000009</v>
      </c>
      <c r="U649" s="280">
        <f t="shared" si="1845"/>
        <v>6841.0000000000009</v>
      </c>
      <c r="V649" s="92">
        <f t="shared" si="1831"/>
        <v>6781.0000000000009</v>
      </c>
      <c r="W649" s="280">
        <f t="shared" si="1846"/>
        <v>6781.0000000000009</v>
      </c>
      <c r="X649" s="127"/>
      <c r="Y649" s="122"/>
      <c r="Z649" s="128"/>
      <c r="AA649" s="129"/>
      <c r="AB649" s="178">
        <v>642</v>
      </c>
    </row>
    <row r="650" spans="1:28" ht="12" customHeight="1" x14ac:dyDescent="0.2">
      <c r="A650" s="4"/>
      <c r="B650" s="768" t="s">
        <v>979</v>
      </c>
      <c r="C650" s="769"/>
      <c r="D650" s="769"/>
      <c r="E650" s="770"/>
      <c r="F650" s="518">
        <f>12.25*X2</f>
        <v>18865</v>
      </c>
      <c r="G650" s="447">
        <f t="shared" ref="G650" si="1848">+F650*$X$1</f>
        <v>18865</v>
      </c>
      <c r="H650" s="516">
        <f t="shared" si="1833"/>
        <v>23865</v>
      </c>
      <c r="I650" s="446">
        <f t="shared" si="1834"/>
        <v>23865</v>
      </c>
      <c r="J650" s="516">
        <f t="shared" si="1822"/>
        <v>20065</v>
      </c>
      <c r="K650" s="446">
        <f t="shared" si="1835"/>
        <v>20065</v>
      </c>
      <c r="L650" s="516">
        <f t="shared" si="1836"/>
        <v>19665</v>
      </c>
      <c r="M650" s="446">
        <f t="shared" si="1837"/>
        <v>19665</v>
      </c>
      <c r="N650" s="516">
        <f t="shared" si="1838"/>
        <v>19565</v>
      </c>
      <c r="O650" s="446">
        <f t="shared" si="1839"/>
        <v>19565</v>
      </c>
      <c r="P650" s="516">
        <f t="shared" si="1840"/>
        <v>19465</v>
      </c>
      <c r="Q650" s="446">
        <f t="shared" si="1841"/>
        <v>19465</v>
      </c>
      <c r="R650" s="516">
        <f t="shared" si="1842"/>
        <v>19365</v>
      </c>
      <c r="S650" s="446">
        <f t="shared" si="1843"/>
        <v>19365</v>
      </c>
      <c r="T650" s="516">
        <f t="shared" si="1844"/>
        <v>19315</v>
      </c>
      <c r="U650" s="446">
        <f t="shared" si="1845"/>
        <v>19315</v>
      </c>
      <c r="V650" s="516">
        <f t="shared" si="1831"/>
        <v>19255</v>
      </c>
      <c r="W650" s="446">
        <f t="shared" si="1846"/>
        <v>19255</v>
      </c>
      <c r="X650" s="127"/>
      <c r="Y650" s="122"/>
      <c r="Z650" s="128"/>
      <c r="AA650" s="129"/>
      <c r="AB650" s="178">
        <v>643</v>
      </c>
    </row>
    <row r="651" spans="1:28" ht="12" customHeight="1" x14ac:dyDescent="0.2">
      <c r="A651" s="4"/>
      <c r="B651" s="755" t="s">
        <v>646</v>
      </c>
      <c r="C651" s="756"/>
      <c r="D651" s="756"/>
      <c r="E651" s="757"/>
      <c r="F651" s="256">
        <f>21.5*X2</f>
        <v>33110</v>
      </c>
      <c r="G651" s="256">
        <f>+F651*$X$1</f>
        <v>33110</v>
      </c>
      <c r="H651" s="92">
        <f t="shared" si="1833"/>
        <v>38110</v>
      </c>
      <c r="I651" s="280">
        <f t="shared" si="1834"/>
        <v>38110</v>
      </c>
      <c r="J651" s="92">
        <f t="shared" si="1822"/>
        <v>34310</v>
      </c>
      <c r="K651" s="280">
        <f t="shared" si="1835"/>
        <v>34310</v>
      </c>
      <c r="L651" s="92">
        <f t="shared" si="1836"/>
        <v>33910</v>
      </c>
      <c r="M651" s="280">
        <f t="shared" si="1837"/>
        <v>33910</v>
      </c>
      <c r="N651" s="92">
        <f t="shared" si="1838"/>
        <v>33810</v>
      </c>
      <c r="O651" s="280">
        <f t="shared" si="1839"/>
        <v>33810</v>
      </c>
      <c r="P651" s="92">
        <f t="shared" si="1840"/>
        <v>33710</v>
      </c>
      <c r="Q651" s="280">
        <f t="shared" si="1841"/>
        <v>33710</v>
      </c>
      <c r="R651" s="92">
        <f t="shared" si="1842"/>
        <v>33610</v>
      </c>
      <c r="S651" s="280">
        <f t="shared" si="1843"/>
        <v>33610</v>
      </c>
      <c r="T651" s="92">
        <f t="shared" si="1844"/>
        <v>33560</v>
      </c>
      <c r="U651" s="280">
        <f t="shared" si="1845"/>
        <v>33560</v>
      </c>
      <c r="V651" s="92">
        <f t="shared" si="1831"/>
        <v>33500</v>
      </c>
      <c r="W651" s="280">
        <f t="shared" si="1846"/>
        <v>33500</v>
      </c>
      <c r="X651" s="127"/>
      <c r="Y651" s="122"/>
      <c r="Z651" s="128"/>
      <c r="AA651" s="129"/>
      <c r="AB651" s="336">
        <v>657</v>
      </c>
    </row>
    <row r="652" spans="1:28" ht="12" customHeight="1" x14ac:dyDescent="0.2">
      <c r="A652" s="4"/>
      <c r="B652" s="765" t="s">
        <v>647</v>
      </c>
      <c r="C652" s="766"/>
      <c r="D652" s="766"/>
      <c r="E652" s="767"/>
      <c r="F652" s="255">
        <f>12.9*X2</f>
        <v>19866</v>
      </c>
      <c r="G652" s="255">
        <f t="shared" ref="G652:G653" si="1849">+F652*$X$1</f>
        <v>19866</v>
      </c>
      <c r="H652" s="93">
        <f t="shared" si="1833"/>
        <v>24866</v>
      </c>
      <c r="I652" s="270">
        <f t="shared" si="1834"/>
        <v>24866</v>
      </c>
      <c r="J652" s="93">
        <f t="shared" si="1822"/>
        <v>21066</v>
      </c>
      <c r="K652" s="270">
        <f t="shared" si="1835"/>
        <v>21066</v>
      </c>
      <c r="L652" s="93">
        <f t="shared" si="1836"/>
        <v>20666</v>
      </c>
      <c r="M652" s="270">
        <f t="shared" si="1837"/>
        <v>20666</v>
      </c>
      <c r="N652" s="93">
        <f t="shared" si="1838"/>
        <v>20566</v>
      </c>
      <c r="O652" s="270">
        <f t="shared" si="1839"/>
        <v>20566</v>
      </c>
      <c r="P652" s="93">
        <f t="shared" si="1840"/>
        <v>20466</v>
      </c>
      <c r="Q652" s="270">
        <f t="shared" si="1841"/>
        <v>20466</v>
      </c>
      <c r="R652" s="93">
        <f t="shared" si="1842"/>
        <v>20366</v>
      </c>
      <c r="S652" s="270">
        <f t="shared" si="1843"/>
        <v>20366</v>
      </c>
      <c r="T652" s="93">
        <f t="shared" si="1844"/>
        <v>20316</v>
      </c>
      <c r="U652" s="270">
        <f t="shared" si="1845"/>
        <v>20316</v>
      </c>
      <c r="V652" s="92">
        <f t="shared" si="1831"/>
        <v>20256</v>
      </c>
      <c r="W652" s="270">
        <f t="shared" si="1846"/>
        <v>20256</v>
      </c>
      <c r="X652" s="127"/>
      <c r="Y652" s="122"/>
      <c r="Z652" s="128"/>
      <c r="AA652" s="129"/>
      <c r="AB652" s="336">
        <v>658</v>
      </c>
    </row>
    <row r="653" spans="1:28" ht="12" customHeight="1" x14ac:dyDescent="0.2">
      <c r="A653" s="4"/>
      <c r="B653" s="755" t="s">
        <v>648</v>
      </c>
      <c r="C653" s="756"/>
      <c r="D653" s="756"/>
      <c r="E653" s="757"/>
      <c r="F653" s="256">
        <f>8.3*X2</f>
        <v>12782.000000000002</v>
      </c>
      <c r="G653" s="256">
        <f t="shared" si="1849"/>
        <v>12782.000000000002</v>
      </c>
      <c r="H653" s="92">
        <f t="shared" si="1833"/>
        <v>17782</v>
      </c>
      <c r="I653" s="280">
        <f t="shared" si="1834"/>
        <v>17782</v>
      </c>
      <c r="J653" s="92">
        <f t="shared" si="1822"/>
        <v>13982.000000000002</v>
      </c>
      <c r="K653" s="280">
        <f t="shared" si="1835"/>
        <v>13982.000000000002</v>
      </c>
      <c r="L653" s="92">
        <f t="shared" si="1836"/>
        <v>13582.000000000002</v>
      </c>
      <c r="M653" s="280">
        <f t="shared" si="1837"/>
        <v>13582.000000000002</v>
      </c>
      <c r="N653" s="92">
        <f t="shared" si="1838"/>
        <v>13482.000000000002</v>
      </c>
      <c r="O653" s="280">
        <f t="shared" si="1839"/>
        <v>13482.000000000002</v>
      </c>
      <c r="P653" s="92">
        <f t="shared" si="1840"/>
        <v>13382.000000000002</v>
      </c>
      <c r="Q653" s="280">
        <f t="shared" si="1841"/>
        <v>13382.000000000002</v>
      </c>
      <c r="R653" s="92">
        <f t="shared" si="1842"/>
        <v>13282.000000000002</v>
      </c>
      <c r="S653" s="280">
        <f t="shared" si="1843"/>
        <v>13282.000000000002</v>
      </c>
      <c r="T653" s="92">
        <f t="shared" si="1844"/>
        <v>13232.000000000002</v>
      </c>
      <c r="U653" s="280">
        <f t="shared" si="1845"/>
        <v>13232.000000000002</v>
      </c>
      <c r="V653" s="92">
        <f t="shared" si="1831"/>
        <v>13172.000000000002</v>
      </c>
      <c r="W653" s="280">
        <f t="shared" si="1846"/>
        <v>13172.000000000002</v>
      </c>
      <c r="X653" s="127"/>
      <c r="Y653" s="122"/>
      <c r="Z653" s="128"/>
      <c r="AA653" s="129"/>
      <c r="AB653" s="336">
        <v>660</v>
      </c>
    </row>
    <row r="654" spans="1:28" ht="12" customHeight="1" x14ac:dyDescent="0.2">
      <c r="A654" s="4"/>
      <c r="B654" s="623" t="s">
        <v>1009</v>
      </c>
      <c r="C654" s="624"/>
      <c r="D654" s="624"/>
      <c r="E654" s="625"/>
      <c r="F654" s="255">
        <v>7270</v>
      </c>
      <c r="G654" s="255">
        <f t="shared" ref="G654" si="1850">+F654*$X$1</f>
        <v>7270</v>
      </c>
      <c r="H654" s="93"/>
      <c r="I654" s="270"/>
      <c r="J654" s="93"/>
      <c r="K654" s="270"/>
      <c r="L654" s="93"/>
      <c r="M654" s="270"/>
      <c r="N654" s="93">
        <f t="shared" ref="N654" si="1851">F654+700</f>
        <v>7970</v>
      </c>
      <c r="O654" s="270">
        <f t="shared" ref="O654" si="1852">+N654*$X$1</f>
        <v>7970</v>
      </c>
      <c r="P654" s="93">
        <f t="shared" ref="P654" si="1853">F654+600</f>
        <v>7870</v>
      </c>
      <c r="Q654" s="270">
        <f t="shared" ref="Q654" si="1854">+P654*$X$1</f>
        <v>7870</v>
      </c>
      <c r="R654" s="93">
        <f t="shared" ref="R654" si="1855">F654+500</f>
        <v>7770</v>
      </c>
      <c r="S654" s="270">
        <f t="shared" ref="S654" si="1856">+R654*$X$1</f>
        <v>7770</v>
      </c>
      <c r="T654" s="93">
        <f t="shared" ref="T654" si="1857">F654+450</f>
        <v>7720</v>
      </c>
      <c r="U654" s="270">
        <f t="shared" ref="U654" si="1858">+T654*$X$1</f>
        <v>7720</v>
      </c>
      <c r="V654" s="92">
        <f t="shared" si="1831"/>
        <v>7660</v>
      </c>
      <c r="W654" s="270">
        <f t="shared" ref="W654" si="1859">+V654*$X$1</f>
        <v>7660</v>
      </c>
      <c r="X654" s="127"/>
      <c r="Y654" s="122"/>
      <c r="Z654" s="128"/>
      <c r="AA654" s="129"/>
      <c r="AB654" s="336">
        <v>661</v>
      </c>
    </row>
    <row r="655" spans="1:28" ht="12" customHeight="1" x14ac:dyDescent="0.2">
      <c r="A655" s="4"/>
      <c r="B655" s="652" t="s">
        <v>1005</v>
      </c>
      <c r="C655" s="656"/>
      <c r="D655" s="656"/>
      <c r="E655" s="656"/>
      <c r="F655" s="590">
        <v>32560</v>
      </c>
      <c r="G655" s="256">
        <f>+F655*$X$1</f>
        <v>32560</v>
      </c>
      <c r="H655" s="92"/>
      <c r="I655" s="280"/>
      <c r="J655" s="92"/>
      <c r="K655" s="280"/>
      <c r="L655" s="92">
        <f>F655+800</f>
        <v>33360</v>
      </c>
      <c r="M655" s="280">
        <f>+L655*$X$1</f>
        <v>33360</v>
      </c>
      <c r="N655" s="92">
        <f t="shared" ref="N655" si="1860">F655+700</f>
        <v>33260</v>
      </c>
      <c r="O655" s="280">
        <f t="shared" ref="O655" si="1861">+N655*$X$1</f>
        <v>33260</v>
      </c>
      <c r="P655" s="92">
        <f t="shared" ref="P655" si="1862">F655+600</f>
        <v>33160</v>
      </c>
      <c r="Q655" s="280">
        <f t="shared" ref="Q655" si="1863">+P655*$X$1</f>
        <v>33160</v>
      </c>
      <c r="R655" s="92">
        <f t="shared" ref="R655" si="1864">F655+500</f>
        <v>33060</v>
      </c>
      <c r="S655" s="280">
        <f t="shared" ref="S655" si="1865">+R655*$X$1</f>
        <v>33060</v>
      </c>
      <c r="T655" s="92">
        <f t="shared" ref="T655" si="1866">F655+450</f>
        <v>33010</v>
      </c>
      <c r="U655" s="280">
        <f t="shared" ref="U655" si="1867">+T655*$X$1</f>
        <v>33010</v>
      </c>
      <c r="V655" s="92">
        <f t="shared" si="1831"/>
        <v>32950</v>
      </c>
      <c r="W655" s="280">
        <f t="shared" ref="W655" si="1868">+V655*$X$1</f>
        <v>32950</v>
      </c>
      <c r="X655" s="127"/>
      <c r="Y655" s="122"/>
      <c r="Z655" s="128"/>
      <c r="AA655" s="129"/>
      <c r="AB655" s="350">
        <v>664</v>
      </c>
    </row>
    <row r="656" spans="1:28" ht="12" customHeight="1" x14ac:dyDescent="0.2">
      <c r="A656" s="4"/>
      <c r="B656" s="765" t="s">
        <v>669</v>
      </c>
      <c r="C656" s="766"/>
      <c r="D656" s="766"/>
      <c r="E656" s="767"/>
      <c r="F656" s="255">
        <f>18.4*X2</f>
        <v>28335.999999999996</v>
      </c>
      <c r="G656" s="255">
        <f t="shared" ref="G656:G662" si="1869">+F656*$X$1</f>
        <v>28335.999999999996</v>
      </c>
      <c r="H656" s="93">
        <f>F656+5000</f>
        <v>33336</v>
      </c>
      <c r="I656" s="270">
        <f>+H656*$X$1</f>
        <v>33336</v>
      </c>
      <c r="J656" s="93">
        <f>F656+1200</f>
        <v>29535.999999999996</v>
      </c>
      <c r="K656" s="270">
        <f>+J656*$X$1</f>
        <v>29535.999999999996</v>
      </c>
      <c r="L656" s="93">
        <f>F656+800</f>
        <v>29135.999999999996</v>
      </c>
      <c r="M656" s="270">
        <f>+L656*$X$1</f>
        <v>29135.999999999996</v>
      </c>
      <c r="N656" s="93">
        <f t="shared" ref="N656" si="1870">F656+700</f>
        <v>29035.999999999996</v>
      </c>
      <c r="O656" s="270">
        <f t="shared" ref="O656" si="1871">+N656*$X$1</f>
        <v>29035.999999999996</v>
      </c>
      <c r="P656" s="93">
        <f t="shared" ref="P656" si="1872">F656+600</f>
        <v>28935.999999999996</v>
      </c>
      <c r="Q656" s="270">
        <f t="shared" ref="Q656" si="1873">+P656*$X$1</f>
        <v>28935.999999999996</v>
      </c>
      <c r="R656" s="93">
        <f t="shared" ref="R656" si="1874">F656+500</f>
        <v>28835.999999999996</v>
      </c>
      <c r="S656" s="270">
        <f t="shared" ref="S656" si="1875">+R656*$X$1</f>
        <v>28835.999999999996</v>
      </c>
      <c r="T656" s="93">
        <f t="shared" ref="T656" si="1876">F656+450</f>
        <v>28785.999999999996</v>
      </c>
      <c r="U656" s="270">
        <f t="shared" ref="U656" si="1877">+T656*$X$1</f>
        <v>28785.999999999996</v>
      </c>
      <c r="V656" s="92">
        <f t="shared" si="1831"/>
        <v>28725.999999999996</v>
      </c>
      <c r="W656" s="270">
        <f t="shared" ref="W656" si="1878">+V656*$X$1</f>
        <v>28725.999999999996</v>
      </c>
      <c r="X656" s="127"/>
      <c r="Y656" s="122"/>
      <c r="Z656" s="128"/>
      <c r="AA656" s="129"/>
      <c r="AB656" s="336">
        <v>667</v>
      </c>
    </row>
    <row r="657" spans="1:28" ht="12" customHeight="1" x14ac:dyDescent="0.2">
      <c r="A657" s="4"/>
      <c r="B657" s="755" t="s">
        <v>668</v>
      </c>
      <c r="C657" s="756"/>
      <c r="D657" s="756"/>
      <c r="E657" s="757"/>
      <c r="F657" s="256">
        <f>10.55*X2</f>
        <v>16247.000000000002</v>
      </c>
      <c r="G657" s="256">
        <f t="shared" ref="G657:G659" si="1879">+F657*$X$1</f>
        <v>16247.000000000002</v>
      </c>
      <c r="H657" s="92">
        <f>F657+5000</f>
        <v>21247</v>
      </c>
      <c r="I657" s="280">
        <f>+H657*$X$1</f>
        <v>21247</v>
      </c>
      <c r="J657" s="92">
        <f>F657+1200</f>
        <v>17447</v>
      </c>
      <c r="K657" s="280">
        <f>+J657*$X$1</f>
        <v>17447</v>
      </c>
      <c r="L657" s="92">
        <f>F657+800</f>
        <v>17047</v>
      </c>
      <c r="M657" s="280">
        <f>+L657*$X$1</f>
        <v>17047</v>
      </c>
      <c r="N657" s="92">
        <f>F657+700</f>
        <v>16947</v>
      </c>
      <c r="O657" s="280">
        <f>+N657*$X$1</f>
        <v>16947</v>
      </c>
      <c r="P657" s="92">
        <f>F657+600</f>
        <v>16847</v>
      </c>
      <c r="Q657" s="280">
        <f>+P657*$X$1</f>
        <v>16847</v>
      </c>
      <c r="R657" s="92">
        <f>F657+500</f>
        <v>16747</v>
      </c>
      <c r="S657" s="280">
        <f>+R657*$X$1</f>
        <v>16747</v>
      </c>
      <c r="T657" s="92">
        <f>F657+450</f>
        <v>16697</v>
      </c>
      <c r="U657" s="280">
        <f>+T657*$X$1</f>
        <v>16697</v>
      </c>
      <c r="V657" s="92">
        <f t="shared" si="1831"/>
        <v>16637</v>
      </c>
      <c r="W657" s="280">
        <f>+V657*$X$1</f>
        <v>16637</v>
      </c>
      <c r="X657" s="127"/>
      <c r="Y657" s="122"/>
      <c r="Z657" s="128"/>
      <c r="AA657" s="129"/>
      <c r="AB657" s="336">
        <v>668</v>
      </c>
    </row>
    <row r="658" spans="1:28" ht="12" customHeight="1" x14ac:dyDescent="0.2">
      <c r="A658" s="4"/>
      <c r="B658" s="768" t="s">
        <v>724</v>
      </c>
      <c r="C658" s="769"/>
      <c r="D658" s="769"/>
      <c r="E658" s="770"/>
      <c r="F658" s="447">
        <f>6*X2</f>
        <v>9240</v>
      </c>
      <c r="G658" s="447">
        <f t="shared" si="1879"/>
        <v>9240</v>
      </c>
      <c r="H658" s="516">
        <f>F658+5000</f>
        <v>14240</v>
      </c>
      <c r="I658" s="446">
        <f>+H658*$X$1</f>
        <v>14240</v>
      </c>
      <c r="J658" s="516">
        <f>F658+1200</f>
        <v>10440</v>
      </c>
      <c r="K658" s="446">
        <f>+J658*$X$1</f>
        <v>10440</v>
      </c>
      <c r="L658" s="516">
        <f>F658+800</f>
        <v>10040</v>
      </c>
      <c r="M658" s="446">
        <f>+L658*$X$1</f>
        <v>10040</v>
      </c>
      <c r="N658" s="516">
        <f>F658+700</f>
        <v>9940</v>
      </c>
      <c r="O658" s="446">
        <f>+N658*$X$1</f>
        <v>9940</v>
      </c>
      <c r="P658" s="516">
        <f>F658+600</f>
        <v>9840</v>
      </c>
      <c r="Q658" s="446">
        <f>+P658*$X$1</f>
        <v>9840</v>
      </c>
      <c r="R658" s="516">
        <f>F658+500</f>
        <v>9740</v>
      </c>
      <c r="S658" s="446">
        <f>+R658*$X$1</f>
        <v>9740</v>
      </c>
      <c r="T658" s="516">
        <f>F658+450</f>
        <v>9690</v>
      </c>
      <c r="U658" s="446">
        <f>+T658*$X$1</f>
        <v>9690</v>
      </c>
      <c r="V658" s="92">
        <f t="shared" si="1831"/>
        <v>9630</v>
      </c>
      <c r="W658" s="446">
        <f>+V658*$X$1</f>
        <v>9630</v>
      </c>
      <c r="X658" s="127"/>
      <c r="Y658" s="122"/>
      <c r="Z658" s="128"/>
      <c r="AA658" s="129"/>
      <c r="AB658" s="178">
        <v>675</v>
      </c>
    </row>
    <row r="659" spans="1:28" ht="12" customHeight="1" x14ac:dyDescent="0.2">
      <c r="A659" s="4"/>
      <c r="B659" s="755" t="s">
        <v>992</v>
      </c>
      <c r="C659" s="756"/>
      <c r="D659" s="756"/>
      <c r="E659" s="757"/>
      <c r="F659" s="256">
        <f>8.31*X2</f>
        <v>12797.400000000001</v>
      </c>
      <c r="G659" s="256">
        <f t="shared" si="1879"/>
        <v>12797.400000000001</v>
      </c>
      <c r="H659" s="92">
        <f t="shared" ref="H659" si="1880">F659+5000</f>
        <v>17797.400000000001</v>
      </c>
      <c r="I659" s="280">
        <f t="shared" ref="I659" si="1881">+H659*$X$1</f>
        <v>17797.400000000001</v>
      </c>
      <c r="J659" s="92">
        <f t="shared" ref="J659" si="1882">F659+1200</f>
        <v>13997.400000000001</v>
      </c>
      <c r="K659" s="280">
        <f t="shared" ref="K659" si="1883">+J659*$X$1</f>
        <v>13997.400000000001</v>
      </c>
      <c r="L659" s="92">
        <f t="shared" ref="L659" si="1884">F659+800</f>
        <v>13597.400000000001</v>
      </c>
      <c r="M659" s="280">
        <f t="shared" ref="M659" si="1885">+L659*$X$1</f>
        <v>13597.400000000001</v>
      </c>
      <c r="N659" s="92">
        <f t="shared" ref="N659" si="1886">F659+700</f>
        <v>13497.400000000001</v>
      </c>
      <c r="O659" s="280">
        <f t="shared" ref="O659" si="1887">+N659*$X$1</f>
        <v>13497.400000000001</v>
      </c>
      <c r="P659" s="92">
        <f t="shared" ref="P659" si="1888">F659+600</f>
        <v>13397.400000000001</v>
      </c>
      <c r="Q659" s="280">
        <f t="shared" ref="Q659" si="1889">+P659*$X$1</f>
        <v>13397.400000000001</v>
      </c>
      <c r="R659" s="92">
        <f t="shared" ref="R659" si="1890">F659+500</f>
        <v>13297.400000000001</v>
      </c>
      <c r="S659" s="280">
        <f t="shared" ref="S659" si="1891">+R659*$X$1</f>
        <v>13297.400000000001</v>
      </c>
      <c r="T659" s="92">
        <f t="shared" ref="T659" si="1892">F659+450</f>
        <v>13247.400000000001</v>
      </c>
      <c r="U659" s="280">
        <f t="shared" ref="U659" si="1893">+T659*$X$1</f>
        <v>13247.400000000001</v>
      </c>
      <c r="V659" s="92">
        <f t="shared" si="1831"/>
        <v>13187.400000000001</v>
      </c>
      <c r="W659" s="280">
        <f t="shared" ref="W659" si="1894">+V659*$X$1</f>
        <v>13187.400000000001</v>
      </c>
      <c r="X659" s="127"/>
      <c r="Y659" s="122"/>
      <c r="Z659" s="128"/>
      <c r="AA659" s="129"/>
      <c r="AB659" s="178">
        <v>682</v>
      </c>
    </row>
    <row r="660" spans="1:28" ht="12" customHeight="1" x14ac:dyDescent="0.2">
      <c r="A660" s="4"/>
      <c r="B660" s="768" t="s">
        <v>465</v>
      </c>
      <c r="C660" s="769"/>
      <c r="D660" s="769"/>
      <c r="E660" s="770"/>
      <c r="F660" s="447">
        <f>5.3*X2</f>
        <v>8162</v>
      </c>
      <c r="G660" s="447">
        <f t="shared" si="1869"/>
        <v>8162</v>
      </c>
      <c r="H660" s="516">
        <f>F660+5000</f>
        <v>13162</v>
      </c>
      <c r="I660" s="446">
        <f>+H660*$X$1</f>
        <v>13162</v>
      </c>
      <c r="J660" s="516">
        <f>F660+1200</f>
        <v>9362</v>
      </c>
      <c r="K660" s="446">
        <f>+J660*$X$1</f>
        <v>9362</v>
      </c>
      <c r="L660" s="516">
        <f>F660+800</f>
        <v>8962</v>
      </c>
      <c r="M660" s="446">
        <f>+L660*$X$1</f>
        <v>8962</v>
      </c>
      <c r="N660" s="516">
        <f>F660+700</f>
        <v>8862</v>
      </c>
      <c r="O660" s="446">
        <f>+N660*$X$1</f>
        <v>8862</v>
      </c>
      <c r="P660" s="516">
        <f>F660+600</f>
        <v>8762</v>
      </c>
      <c r="Q660" s="446">
        <f>+P660*$X$1</f>
        <v>8762</v>
      </c>
      <c r="R660" s="516">
        <f>F660+500</f>
        <v>8662</v>
      </c>
      <c r="S660" s="446">
        <f>+R660*$X$1</f>
        <v>8662</v>
      </c>
      <c r="T660" s="516">
        <f>F660+450</f>
        <v>8612</v>
      </c>
      <c r="U660" s="446">
        <f>+T660*$X$1</f>
        <v>8612</v>
      </c>
      <c r="V660" s="92">
        <f t="shared" si="1831"/>
        <v>8552</v>
      </c>
      <c r="W660" s="446">
        <f>+V660*$X$1</f>
        <v>8552</v>
      </c>
      <c r="X660" s="127"/>
      <c r="Y660" s="122"/>
      <c r="Z660" s="128"/>
      <c r="AA660" s="129"/>
      <c r="AB660" s="178">
        <v>686</v>
      </c>
    </row>
    <row r="661" spans="1:28" ht="12" customHeight="1" x14ac:dyDescent="0.2">
      <c r="A661" s="4"/>
      <c r="B661" s="755" t="s">
        <v>504</v>
      </c>
      <c r="C661" s="756"/>
      <c r="D661" s="756"/>
      <c r="E661" s="757"/>
      <c r="F661" s="282">
        <f>17.8*X2</f>
        <v>27412</v>
      </c>
      <c r="G661" s="256">
        <f t="shared" si="1869"/>
        <v>27412</v>
      </c>
      <c r="H661" s="92">
        <f>F661+5000</f>
        <v>32412</v>
      </c>
      <c r="I661" s="280">
        <f>+H661*$X$1</f>
        <v>32412</v>
      </c>
      <c r="J661" s="92">
        <f>F661+1200</f>
        <v>28612</v>
      </c>
      <c r="K661" s="280">
        <f>+J661*$X$1</f>
        <v>28612</v>
      </c>
      <c r="L661" s="92">
        <f>F661+800</f>
        <v>28212</v>
      </c>
      <c r="M661" s="280">
        <f>+L661*$X$1</f>
        <v>28212</v>
      </c>
      <c r="N661" s="92">
        <f>F661+700</f>
        <v>28112</v>
      </c>
      <c r="O661" s="280">
        <f>+N661*$X$1</f>
        <v>28112</v>
      </c>
      <c r="P661" s="92">
        <f>F661+600</f>
        <v>28012</v>
      </c>
      <c r="Q661" s="280">
        <f>+P661*$X$1</f>
        <v>28012</v>
      </c>
      <c r="R661" s="92">
        <f>F661+500</f>
        <v>27912</v>
      </c>
      <c r="S661" s="280">
        <f>+R661*$X$1</f>
        <v>27912</v>
      </c>
      <c r="T661" s="92">
        <f>F661+450</f>
        <v>27862</v>
      </c>
      <c r="U661" s="280">
        <f>+T661*$X$1</f>
        <v>27862</v>
      </c>
      <c r="V661" s="92">
        <f t="shared" si="1831"/>
        <v>27802</v>
      </c>
      <c r="W661" s="280">
        <f>+V661*$X$1</f>
        <v>27802</v>
      </c>
      <c r="X661" s="127"/>
      <c r="Y661" s="122"/>
      <c r="Z661" s="128"/>
      <c r="AA661" s="129"/>
      <c r="AB661" s="336">
        <v>687</v>
      </c>
    </row>
    <row r="662" spans="1:28" ht="12" customHeight="1" x14ac:dyDescent="0.2">
      <c r="A662" s="4"/>
      <c r="B662" s="768" t="s">
        <v>649</v>
      </c>
      <c r="C662" s="769"/>
      <c r="D662" s="769"/>
      <c r="E662" s="770"/>
      <c r="F662" s="518">
        <f>9.3*X2</f>
        <v>14322.000000000002</v>
      </c>
      <c r="G662" s="447">
        <f t="shared" si="1869"/>
        <v>14322.000000000002</v>
      </c>
      <c r="H662" s="516">
        <f>F662+5000</f>
        <v>19322</v>
      </c>
      <c r="I662" s="446">
        <f>+H662*$X$1</f>
        <v>19322</v>
      </c>
      <c r="J662" s="516">
        <f>F662+1200</f>
        <v>15522.000000000002</v>
      </c>
      <c r="K662" s="446">
        <f>+J662*$X$1</f>
        <v>15522.000000000002</v>
      </c>
      <c r="L662" s="516">
        <f>F662+800</f>
        <v>15122.000000000002</v>
      </c>
      <c r="M662" s="446">
        <f>+L662*$X$1</f>
        <v>15122.000000000002</v>
      </c>
      <c r="N662" s="516">
        <f>F662+700</f>
        <v>15022.000000000002</v>
      </c>
      <c r="O662" s="446">
        <f>+N662*$X$1</f>
        <v>15022.000000000002</v>
      </c>
      <c r="P662" s="516">
        <f>F662+600</f>
        <v>14922.000000000002</v>
      </c>
      <c r="Q662" s="446">
        <f>+P662*$X$1</f>
        <v>14922.000000000002</v>
      </c>
      <c r="R662" s="516">
        <f>F662+500</f>
        <v>14822.000000000002</v>
      </c>
      <c r="S662" s="446">
        <f>+R662*$X$1</f>
        <v>14822.000000000002</v>
      </c>
      <c r="T662" s="516">
        <f>F662+450</f>
        <v>14772.000000000002</v>
      </c>
      <c r="U662" s="446">
        <f>+T662*$X$1</f>
        <v>14772.000000000002</v>
      </c>
      <c r="V662" s="92">
        <f t="shared" si="1831"/>
        <v>14712.000000000002</v>
      </c>
      <c r="W662" s="446">
        <f>+V662*$X$1</f>
        <v>14712.000000000002</v>
      </c>
      <c r="X662" s="127"/>
      <c r="Y662" s="122"/>
      <c r="Z662" s="128"/>
      <c r="AA662" s="129"/>
      <c r="AB662" s="336">
        <v>694</v>
      </c>
    </row>
    <row r="663" spans="1:28" ht="12" customHeight="1" x14ac:dyDescent="0.2">
      <c r="A663" s="4"/>
      <c r="B663" s="755" t="s">
        <v>759</v>
      </c>
      <c r="C663" s="756"/>
      <c r="D663" s="756"/>
      <c r="E663" s="757"/>
      <c r="F663" s="282">
        <f>11.7*X2</f>
        <v>18018</v>
      </c>
      <c r="G663" s="256">
        <f t="shared" ref="G663" si="1895">+F663*$X$1</f>
        <v>18018</v>
      </c>
      <c r="H663" s="92">
        <f>F663+5000</f>
        <v>23018</v>
      </c>
      <c r="I663" s="280">
        <f>+H663*$X$1</f>
        <v>23018</v>
      </c>
      <c r="J663" s="92">
        <f>F663+1200</f>
        <v>19218</v>
      </c>
      <c r="K663" s="280">
        <f>+J663*$X$1</f>
        <v>19218</v>
      </c>
      <c r="L663" s="92">
        <f>F663+800</f>
        <v>18818</v>
      </c>
      <c r="M663" s="280">
        <f>+L663*$X$1</f>
        <v>18818</v>
      </c>
      <c r="N663" s="92">
        <f>F663+700</f>
        <v>18718</v>
      </c>
      <c r="O663" s="280">
        <f>+N663*$X$1</f>
        <v>18718</v>
      </c>
      <c r="P663" s="92">
        <f>F663+600</f>
        <v>18618</v>
      </c>
      <c r="Q663" s="280">
        <f>+P663*$X$1</f>
        <v>18618</v>
      </c>
      <c r="R663" s="92">
        <f>F663+500</f>
        <v>18518</v>
      </c>
      <c r="S663" s="280">
        <f>+R663*$X$1</f>
        <v>18518</v>
      </c>
      <c r="T663" s="92">
        <f>F663+450</f>
        <v>18468</v>
      </c>
      <c r="U663" s="280">
        <f>+T663*$X$1</f>
        <v>18468</v>
      </c>
      <c r="V663" s="92">
        <f t="shared" si="1831"/>
        <v>18408</v>
      </c>
      <c r="W663" s="280">
        <f>+V663*$X$1</f>
        <v>18408</v>
      </c>
      <c r="X663" s="127"/>
      <c r="Y663" s="122"/>
      <c r="Z663" s="128"/>
      <c r="AA663" s="129"/>
      <c r="AB663" s="336">
        <v>696</v>
      </c>
    </row>
    <row r="664" spans="1:28" ht="12" customHeight="1" x14ac:dyDescent="0.2">
      <c r="A664" s="4"/>
      <c r="B664" s="765" t="s">
        <v>650</v>
      </c>
      <c r="C664" s="766"/>
      <c r="D664" s="766"/>
      <c r="E664" s="767"/>
      <c r="F664" s="255">
        <f>16.8*X2</f>
        <v>25872</v>
      </c>
      <c r="G664" s="255">
        <f t="shared" ref="G664" si="1896">+F664*$X$1</f>
        <v>25872</v>
      </c>
      <c r="H664" s="93">
        <f>F664+5000</f>
        <v>30872</v>
      </c>
      <c r="I664" s="270">
        <f>+H664*$X$1</f>
        <v>30872</v>
      </c>
      <c r="J664" s="93">
        <f>F664+1200</f>
        <v>27072</v>
      </c>
      <c r="K664" s="270">
        <f>+J664*$X$1</f>
        <v>27072</v>
      </c>
      <c r="L664" s="93">
        <f>F664+800</f>
        <v>26672</v>
      </c>
      <c r="M664" s="270">
        <f>+L664*$X$1</f>
        <v>26672</v>
      </c>
      <c r="N664" s="93">
        <f>F664+700</f>
        <v>26572</v>
      </c>
      <c r="O664" s="270">
        <f>+N664*$X$1</f>
        <v>26572</v>
      </c>
      <c r="P664" s="93">
        <f>F664+600</f>
        <v>26472</v>
      </c>
      <c r="Q664" s="270">
        <f>+P664*$X$1</f>
        <v>26472</v>
      </c>
      <c r="R664" s="93">
        <f>F664+500</f>
        <v>26372</v>
      </c>
      <c r="S664" s="270">
        <f>+R664*$X$1</f>
        <v>26372</v>
      </c>
      <c r="T664" s="93">
        <f>F664+450</f>
        <v>26322</v>
      </c>
      <c r="U664" s="270">
        <f>+T664*$X$1</f>
        <v>26322</v>
      </c>
      <c r="V664" s="92">
        <f t="shared" si="1831"/>
        <v>26262</v>
      </c>
      <c r="W664" s="270">
        <f>+V664*$X$1</f>
        <v>26262</v>
      </c>
      <c r="X664" s="127"/>
      <c r="Y664" s="122"/>
      <c r="Z664" s="128"/>
      <c r="AA664" s="129"/>
      <c r="AB664" s="336">
        <v>698</v>
      </c>
    </row>
    <row r="665" spans="1:28" ht="12" customHeight="1" x14ac:dyDescent="0.2">
      <c r="A665" s="4"/>
      <c r="B665" s="755" t="s">
        <v>848</v>
      </c>
      <c r="C665" s="756"/>
      <c r="D665" s="756"/>
      <c r="E665" s="757"/>
      <c r="F665" s="256">
        <f>37.3*X2</f>
        <v>57441.999999999993</v>
      </c>
      <c r="G665" s="256">
        <f>+F665*$X$1</f>
        <v>57441.999999999993</v>
      </c>
      <c r="H665" s="92">
        <f>F665+7000</f>
        <v>64441.999999999993</v>
      </c>
      <c r="I665" s="280">
        <f t="shared" ref="I665" si="1897">+H665*$X$1</f>
        <v>64441.999999999993</v>
      </c>
      <c r="J665" s="92">
        <f>F665+3600</f>
        <v>61041.999999999993</v>
      </c>
      <c r="K665" s="280">
        <f t="shared" ref="K665" si="1898">+J665*$X$1</f>
        <v>61041.999999999993</v>
      </c>
      <c r="L665" s="92">
        <f>F665+2400</f>
        <v>59841.999999999993</v>
      </c>
      <c r="M665" s="280">
        <f t="shared" ref="M665" si="1899">+L665*$X$1</f>
        <v>59841.999999999993</v>
      </c>
      <c r="N665" s="92">
        <f>F665+2100</f>
        <v>59541.999999999993</v>
      </c>
      <c r="O665" s="280">
        <f t="shared" ref="O665" si="1900">+N665*$X$1</f>
        <v>59541.999999999993</v>
      </c>
      <c r="P665" s="92">
        <f>F665+1800</f>
        <v>59241.999999999993</v>
      </c>
      <c r="Q665" s="280">
        <f t="shared" ref="Q665" si="1901">+P665*$X$1</f>
        <v>59241.999999999993</v>
      </c>
      <c r="R665" s="92">
        <f>F665+1500</f>
        <v>58941.999999999993</v>
      </c>
      <c r="S665" s="280">
        <f t="shared" ref="S665" si="1902">+R665*$X$1</f>
        <v>58941.999999999993</v>
      </c>
      <c r="T665" s="92">
        <f>F665+1350</f>
        <v>58791.999999999993</v>
      </c>
      <c r="U665" s="280">
        <f t="shared" ref="U665" si="1903">+T665*$X$1</f>
        <v>58791.999999999993</v>
      </c>
      <c r="V665" s="92">
        <f>F665+1100</f>
        <v>58541.999999999993</v>
      </c>
      <c r="W665" s="280">
        <f t="shared" ref="W665" si="1904">+V665*$X$1</f>
        <v>58541.999999999993</v>
      </c>
      <c r="X665" s="127"/>
      <c r="Y665" s="122"/>
      <c r="Z665" s="128"/>
      <c r="AA665" s="129"/>
      <c r="AB665" s="336">
        <v>702</v>
      </c>
    </row>
    <row r="666" spans="1:28" ht="12" customHeight="1" x14ac:dyDescent="0.2">
      <c r="A666" s="4"/>
      <c r="B666" s="765" t="s">
        <v>820</v>
      </c>
      <c r="C666" s="766"/>
      <c r="D666" s="766"/>
      <c r="E666" s="767"/>
      <c r="F666" s="255">
        <f>17.6*X2</f>
        <v>27104.000000000004</v>
      </c>
      <c r="G666" s="255">
        <f>+F666*$X$1</f>
        <v>27104.000000000004</v>
      </c>
      <c r="H666" s="93">
        <f t="shared" ref="H666:H677" si="1905">F666+5000</f>
        <v>32104.000000000004</v>
      </c>
      <c r="I666" s="270">
        <f t="shared" ref="I666:I677" si="1906">+H666*$X$1</f>
        <v>32104.000000000004</v>
      </c>
      <c r="J666" s="93">
        <f>F666+1200</f>
        <v>28304.000000000004</v>
      </c>
      <c r="K666" s="270">
        <f t="shared" ref="K666:K677" si="1907">+J666*$X$1</f>
        <v>28304.000000000004</v>
      </c>
      <c r="L666" s="93">
        <f t="shared" ref="L666:L677" si="1908">F666+800</f>
        <v>27904.000000000004</v>
      </c>
      <c r="M666" s="270">
        <f t="shared" ref="M666:M677" si="1909">+L666*$X$1</f>
        <v>27904.000000000004</v>
      </c>
      <c r="N666" s="93">
        <f t="shared" ref="N666:N678" si="1910">F666+700</f>
        <v>27804.000000000004</v>
      </c>
      <c r="O666" s="270">
        <f t="shared" ref="O666:O678" si="1911">+N666*$X$1</f>
        <v>27804.000000000004</v>
      </c>
      <c r="P666" s="93">
        <f t="shared" ref="P666:P678" si="1912">F666+600</f>
        <v>27704.000000000004</v>
      </c>
      <c r="Q666" s="270">
        <f t="shared" ref="Q666:Q678" si="1913">+P666*$X$1</f>
        <v>27704.000000000004</v>
      </c>
      <c r="R666" s="93">
        <f t="shared" ref="R666:R678" si="1914">F666+500</f>
        <v>27604.000000000004</v>
      </c>
      <c r="S666" s="270">
        <f t="shared" ref="S666:S678" si="1915">+R666*$X$1</f>
        <v>27604.000000000004</v>
      </c>
      <c r="T666" s="93">
        <f t="shared" ref="T666:T678" si="1916">F666+450</f>
        <v>27554.000000000004</v>
      </c>
      <c r="U666" s="270">
        <f t="shared" ref="U666:U678" si="1917">+T666*$X$1</f>
        <v>27554.000000000004</v>
      </c>
      <c r="V666" s="93">
        <f>F666+390</f>
        <v>27494.000000000004</v>
      </c>
      <c r="W666" s="270">
        <f t="shared" ref="W666:W678" si="1918">+V666*$X$1</f>
        <v>27494.000000000004</v>
      </c>
      <c r="X666" s="127"/>
      <c r="Y666" s="122"/>
      <c r="Z666" s="128"/>
      <c r="AA666" s="129"/>
      <c r="AB666" s="336">
        <v>703</v>
      </c>
    </row>
    <row r="667" spans="1:28" ht="12" customHeight="1" x14ac:dyDescent="0.2">
      <c r="A667" s="4"/>
      <c r="B667" s="755" t="s">
        <v>802</v>
      </c>
      <c r="C667" s="756"/>
      <c r="D667" s="756"/>
      <c r="E667" s="757"/>
      <c r="F667" s="256">
        <f>24.3*X2</f>
        <v>37422</v>
      </c>
      <c r="G667" s="256">
        <f>+F667*$X$1</f>
        <v>37422</v>
      </c>
      <c r="H667" s="92">
        <f t="shared" si="1905"/>
        <v>42422</v>
      </c>
      <c r="I667" s="280">
        <f t="shared" si="1906"/>
        <v>42422</v>
      </c>
      <c r="J667" s="92">
        <f t="shared" ref="J667:J675" si="1919">F667+1200</f>
        <v>38622</v>
      </c>
      <c r="K667" s="280">
        <f t="shared" si="1907"/>
        <v>38622</v>
      </c>
      <c r="L667" s="92">
        <f t="shared" si="1908"/>
        <v>38222</v>
      </c>
      <c r="M667" s="280">
        <f t="shared" si="1909"/>
        <v>38222</v>
      </c>
      <c r="N667" s="92">
        <f t="shared" si="1910"/>
        <v>38122</v>
      </c>
      <c r="O667" s="280">
        <f t="shared" si="1911"/>
        <v>38122</v>
      </c>
      <c r="P667" s="92">
        <f t="shared" si="1912"/>
        <v>38022</v>
      </c>
      <c r="Q667" s="280">
        <f t="shared" si="1913"/>
        <v>38022</v>
      </c>
      <c r="R667" s="92">
        <f t="shared" si="1914"/>
        <v>37922</v>
      </c>
      <c r="S667" s="280">
        <f t="shared" si="1915"/>
        <v>37922</v>
      </c>
      <c r="T667" s="92">
        <f t="shared" si="1916"/>
        <v>37872</v>
      </c>
      <c r="U667" s="280">
        <f t="shared" si="1917"/>
        <v>37872</v>
      </c>
      <c r="V667" s="92">
        <f t="shared" ref="V667:V690" si="1920">F667+390</f>
        <v>37812</v>
      </c>
      <c r="W667" s="280">
        <f t="shared" si="1918"/>
        <v>37812</v>
      </c>
      <c r="X667" s="127"/>
      <c r="Y667" s="122"/>
      <c r="Z667" s="128"/>
      <c r="AA667" s="129"/>
      <c r="AB667" s="336">
        <v>704</v>
      </c>
    </row>
    <row r="668" spans="1:28" ht="12" customHeight="1" x14ac:dyDescent="0.2">
      <c r="A668" s="4"/>
      <c r="B668" s="765" t="s">
        <v>762</v>
      </c>
      <c r="C668" s="766"/>
      <c r="D668" s="766"/>
      <c r="E668" s="767"/>
      <c r="F668" s="255">
        <f>26.4*X2</f>
        <v>40656</v>
      </c>
      <c r="G668" s="255">
        <f>+F668*$X$1</f>
        <v>40656</v>
      </c>
      <c r="H668" s="93">
        <f t="shared" si="1905"/>
        <v>45656</v>
      </c>
      <c r="I668" s="270">
        <f t="shared" si="1906"/>
        <v>45656</v>
      </c>
      <c r="J668" s="93">
        <f t="shared" si="1919"/>
        <v>41856</v>
      </c>
      <c r="K668" s="270">
        <f t="shared" si="1907"/>
        <v>41856</v>
      </c>
      <c r="L668" s="93">
        <f t="shared" si="1908"/>
        <v>41456</v>
      </c>
      <c r="M668" s="270">
        <f t="shared" si="1909"/>
        <v>41456</v>
      </c>
      <c r="N668" s="93">
        <f t="shared" si="1910"/>
        <v>41356</v>
      </c>
      <c r="O668" s="270">
        <f t="shared" si="1911"/>
        <v>41356</v>
      </c>
      <c r="P668" s="93">
        <f t="shared" si="1912"/>
        <v>41256</v>
      </c>
      <c r="Q668" s="270">
        <f t="shared" si="1913"/>
        <v>41256</v>
      </c>
      <c r="R668" s="93">
        <f t="shared" si="1914"/>
        <v>41156</v>
      </c>
      <c r="S668" s="270">
        <f t="shared" si="1915"/>
        <v>41156</v>
      </c>
      <c r="T668" s="93">
        <f t="shared" si="1916"/>
        <v>41106</v>
      </c>
      <c r="U668" s="270">
        <f t="shared" si="1917"/>
        <v>41106</v>
      </c>
      <c r="V668" s="93">
        <f t="shared" si="1920"/>
        <v>41046</v>
      </c>
      <c r="W668" s="270">
        <f t="shared" si="1918"/>
        <v>41046</v>
      </c>
      <c r="X668" s="127"/>
      <c r="Y668" s="122"/>
      <c r="Z668" s="128"/>
      <c r="AA668" s="129"/>
      <c r="AB668" s="336">
        <v>708</v>
      </c>
    </row>
    <row r="669" spans="1:28" ht="12" customHeight="1" x14ac:dyDescent="0.2">
      <c r="A669" s="4"/>
      <c r="B669" s="755" t="s">
        <v>532</v>
      </c>
      <c r="C669" s="756"/>
      <c r="D669" s="756"/>
      <c r="E669" s="757"/>
      <c r="F669" s="256">
        <f>32.6*X2</f>
        <v>50204</v>
      </c>
      <c r="G669" s="256">
        <f>+F669*$X$1</f>
        <v>50204</v>
      </c>
      <c r="H669" s="92">
        <f t="shared" si="1905"/>
        <v>55204</v>
      </c>
      <c r="I669" s="280">
        <f t="shared" si="1906"/>
        <v>55204</v>
      </c>
      <c r="J669" s="92">
        <f t="shared" si="1919"/>
        <v>51404</v>
      </c>
      <c r="K669" s="280">
        <f t="shared" si="1907"/>
        <v>51404</v>
      </c>
      <c r="L669" s="92">
        <f t="shared" si="1908"/>
        <v>51004</v>
      </c>
      <c r="M669" s="280">
        <f t="shared" si="1909"/>
        <v>51004</v>
      </c>
      <c r="N669" s="92">
        <f t="shared" si="1910"/>
        <v>50904</v>
      </c>
      <c r="O669" s="280">
        <f t="shared" si="1911"/>
        <v>50904</v>
      </c>
      <c r="P669" s="92">
        <f t="shared" si="1912"/>
        <v>50804</v>
      </c>
      <c r="Q669" s="280">
        <f t="shared" si="1913"/>
        <v>50804</v>
      </c>
      <c r="R669" s="92">
        <f t="shared" si="1914"/>
        <v>50704</v>
      </c>
      <c r="S669" s="280">
        <f t="shared" si="1915"/>
        <v>50704</v>
      </c>
      <c r="T669" s="92">
        <f t="shared" si="1916"/>
        <v>50654</v>
      </c>
      <c r="U669" s="280">
        <f t="shared" si="1917"/>
        <v>50654</v>
      </c>
      <c r="V669" s="92">
        <f t="shared" si="1920"/>
        <v>50594</v>
      </c>
      <c r="W669" s="280">
        <f t="shared" si="1918"/>
        <v>50594</v>
      </c>
      <c r="X669" s="127"/>
      <c r="Y669" s="122"/>
      <c r="Z669" s="128"/>
      <c r="AA669" s="129"/>
      <c r="AB669" s="336">
        <v>710</v>
      </c>
    </row>
    <row r="670" spans="1:28" ht="12" customHeight="1" x14ac:dyDescent="0.2">
      <c r="A670" s="4"/>
      <c r="B670" s="765" t="s">
        <v>508</v>
      </c>
      <c r="C670" s="766"/>
      <c r="D670" s="766"/>
      <c r="E670" s="767"/>
      <c r="F670" s="255">
        <f>39.85*X2</f>
        <v>61369</v>
      </c>
      <c r="G670" s="255">
        <f t="shared" ref="G670" si="1921">+F670*$X$1</f>
        <v>61369</v>
      </c>
      <c r="H670" s="93">
        <f t="shared" si="1905"/>
        <v>66369</v>
      </c>
      <c r="I670" s="270">
        <f t="shared" si="1906"/>
        <v>66369</v>
      </c>
      <c r="J670" s="93">
        <f t="shared" si="1919"/>
        <v>62569</v>
      </c>
      <c r="K670" s="270">
        <f t="shared" si="1907"/>
        <v>62569</v>
      </c>
      <c r="L670" s="93">
        <f t="shared" si="1908"/>
        <v>62169</v>
      </c>
      <c r="M670" s="270">
        <f t="shared" si="1909"/>
        <v>62169</v>
      </c>
      <c r="N670" s="93">
        <f t="shared" si="1910"/>
        <v>62069</v>
      </c>
      <c r="O670" s="270">
        <f t="shared" si="1911"/>
        <v>62069</v>
      </c>
      <c r="P670" s="93">
        <f t="shared" si="1912"/>
        <v>61969</v>
      </c>
      <c r="Q670" s="270">
        <f t="shared" si="1913"/>
        <v>61969</v>
      </c>
      <c r="R670" s="93">
        <f t="shared" si="1914"/>
        <v>61869</v>
      </c>
      <c r="S670" s="270">
        <f t="shared" si="1915"/>
        <v>61869</v>
      </c>
      <c r="T670" s="93">
        <f t="shared" si="1916"/>
        <v>61819</v>
      </c>
      <c r="U670" s="270">
        <f t="shared" si="1917"/>
        <v>61819</v>
      </c>
      <c r="V670" s="93">
        <f t="shared" si="1920"/>
        <v>61759</v>
      </c>
      <c r="W670" s="270">
        <f t="shared" si="1918"/>
        <v>61759</v>
      </c>
      <c r="X670" s="127"/>
      <c r="Y670" s="122"/>
      <c r="Z670" s="128"/>
      <c r="AA670" s="129"/>
      <c r="AB670" s="336">
        <v>711</v>
      </c>
    </row>
    <row r="671" spans="1:28" ht="12" customHeight="1" x14ac:dyDescent="0.2">
      <c r="A671" s="4"/>
      <c r="B671" s="755" t="s">
        <v>533</v>
      </c>
      <c r="C671" s="756"/>
      <c r="D671" s="756"/>
      <c r="E671" s="757"/>
      <c r="F671" s="256">
        <f>39*X2</f>
        <v>60060</v>
      </c>
      <c r="G671" s="256">
        <f t="shared" ref="G671" si="1922">+F671*$X$1</f>
        <v>60060</v>
      </c>
      <c r="H671" s="92">
        <f t="shared" si="1905"/>
        <v>65060</v>
      </c>
      <c r="I671" s="280">
        <f t="shared" si="1906"/>
        <v>65060</v>
      </c>
      <c r="J671" s="92">
        <f t="shared" si="1919"/>
        <v>61260</v>
      </c>
      <c r="K671" s="280">
        <f t="shared" si="1907"/>
        <v>61260</v>
      </c>
      <c r="L671" s="92">
        <f t="shared" si="1908"/>
        <v>60860</v>
      </c>
      <c r="M671" s="280">
        <f t="shared" si="1909"/>
        <v>60860</v>
      </c>
      <c r="N671" s="92">
        <f t="shared" si="1910"/>
        <v>60760</v>
      </c>
      <c r="O671" s="280">
        <f t="shared" si="1911"/>
        <v>60760</v>
      </c>
      <c r="P671" s="92">
        <f t="shared" si="1912"/>
        <v>60660</v>
      </c>
      <c r="Q671" s="280">
        <f t="shared" si="1913"/>
        <v>60660</v>
      </c>
      <c r="R671" s="92">
        <f t="shared" si="1914"/>
        <v>60560</v>
      </c>
      <c r="S671" s="280">
        <f t="shared" si="1915"/>
        <v>60560</v>
      </c>
      <c r="T671" s="92">
        <f t="shared" si="1916"/>
        <v>60510</v>
      </c>
      <c r="U671" s="280">
        <f t="shared" si="1917"/>
        <v>60510</v>
      </c>
      <c r="V671" s="92">
        <f t="shared" si="1920"/>
        <v>60450</v>
      </c>
      <c r="W671" s="280">
        <f t="shared" si="1918"/>
        <v>60450</v>
      </c>
      <c r="X671" s="127"/>
      <c r="Y671" s="122"/>
      <c r="Z671" s="128"/>
      <c r="AA671" s="129"/>
      <c r="AB671" s="336">
        <v>714</v>
      </c>
    </row>
    <row r="672" spans="1:28" ht="12" customHeight="1" x14ac:dyDescent="0.2">
      <c r="A672" s="4"/>
      <c r="B672" s="768" t="s">
        <v>636</v>
      </c>
      <c r="C672" s="769"/>
      <c r="D672" s="769"/>
      <c r="E672" s="770"/>
      <c r="F672" s="447">
        <f>8.93*X2</f>
        <v>13752.199999999999</v>
      </c>
      <c r="G672" s="447">
        <f t="shared" ref="G672" si="1923">+F672*$X$1</f>
        <v>13752.199999999999</v>
      </c>
      <c r="H672" s="516">
        <f t="shared" si="1905"/>
        <v>18752.199999999997</v>
      </c>
      <c r="I672" s="446">
        <f t="shared" si="1906"/>
        <v>18752.199999999997</v>
      </c>
      <c r="J672" s="516">
        <f t="shared" si="1919"/>
        <v>14952.199999999999</v>
      </c>
      <c r="K672" s="446">
        <f t="shared" si="1907"/>
        <v>14952.199999999999</v>
      </c>
      <c r="L672" s="516">
        <f t="shared" si="1908"/>
        <v>14552.199999999999</v>
      </c>
      <c r="M672" s="446">
        <f t="shared" si="1909"/>
        <v>14552.199999999999</v>
      </c>
      <c r="N672" s="516">
        <f t="shared" si="1910"/>
        <v>14452.199999999999</v>
      </c>
      <c r="O672" s="446">
        <f t="shared" si="1911"/>
        <v>14452.199999999999</v>
      </c>
      <c r="P672" s="516">
        <f t="shared" si="1912"/>
        <v>14352.199999999999</v>
      </c>
      <c r="Q672" s="446">
        <f t="shared" si="1913"/>
        <v>14352.199999999999</v>
      </c>
      <c r="R672" s="516">
        <f t="shared" si="1914"/>
        <v>14252.199999999999</v>
      </c>
      <c r="S672" s="446">
        <f t="shared" si="1915"/>
        <v>14252.199999999999</v>
      </c>
      <c r="T672" s="516">
        <f t="shared" si="1916"/>
        <v>14202.199999999999</v>
      </c>
      <c r="U672" s="446">
        <f t="shared" si="1917"/>
        <v>14202.199999999999</v>
      </c>
      <c r="V672" s="516">
        <f t="shared" si="1920"/>
        <v>14142.199999999999</v>
      </c>
      <c r="W672" s="446">
        <f t="shared" si="1918"/>
        <v>14142.199999999999</v>
      </c>
      <c r="X672" s="127"/>
      <c r="Y672" s="122"/>
      <c r="Z672" s="128"/>
      <c r="AA672" s="129"/>
      <c r="AB672" s="336">
        <v>716</v>
      </c>
    </row>
    <row r="673" spans="1:28" ht="12" customHeight="1" x14ac:dyDescent="0.2">
      <c r="A673" s="4"/>
      <c r="B673" s="755" t="s">
        <v>638</v>
      </c>
      <c r="C673" s="756"/>
      <c r="D673" s="756"/>
      <c r="E673" s="757"/>
      <c r="F673" s="256">
        <f>49.96*X2</f>
        <v>76938.399999999994</v>
      </c>
      <c r="G673" s="256">
        <f t="shared" ref="G673" si="1924">+F673*$X$1</f>
        <v>76938.399999999994</v>
      </c>
      <c r="H673" s="92">
        <f t="shared" si="1905"/>
        <v>81938.399999999994</v>
      </c>
      <c r="I673" s="280">
        <f t="shared" si="1906"/>
        <v>81938.399999999994</v>
      </c>
      <c r="J673" s="92">
        <f t="shared" si="1919"/>
        <v>78138.399999999994</v>
      </c>
      <c r="K673" s="280">
        <f t="shared" si="1907"/>
        <v>78138.399999999994</v>
      </c>
      <c r="L673" s="92">
        <f t="shared" si="1908"/>
        <v>77738.399999999994</v>
      </c>
      <c r="M673" s="280">
        <f t="shared" si="1909"/>
        <v>77738.399999999994</v>
      </c>
      <c r="N673" s="92">
        <f t="shared" si="1910"/>
        <v>77638.399999999994</v>
      </c>
      <c r="O673" s="280">
        <f t="shared" si="1911"/>
        <v>77638.399999999994</v>
      </c>
      <c r="P673" s="92">
        <f t="shared" si="1912"/>
        <v>77538.399999999994</v>
      </c>
      <c r="Q673" s="280">
        <f t="shared" si="1913"/>
        <v>77538.399999999994</v>
      </c>
      <c r="R673" s="92">
        <f t="shared" si="1914"/>
        <v>77438.399999999994</v>
      </c>
      <c r="S673" s="280">
        <f t="shared" si="1915"/>
        <v>77438.399999999994</v>
      </c>
      <c r="T673" s="92">
        <f t="shared" si="1916"/>
        <v>77388.399999999994</v>
      </c>
      <c r="U673" s="280">
        <f t="shared" si="1917"/>
        <v>77388.399999999994</v>
      </c>
      <c r="V673" s="92">
        <f t="shared" si="1920"/>
        <v>77328.399999999994</v>
      </c>
      <c r="W673" s="280">
        <f t="shared" si="1918"/>
        <v>77328.399999999994</v>
      </c>
      <c r="X673" s="127"/>
      <c r="Y673" s="122"/>
      <c r="Z673" s="128"/>
      <c r="AA673" s="129"/>
      <c r="AB673" s="336">
        <v>717</v>
      </c>
    </row>
    <row r="674" spans="1:28" ht="12" customHeight="1" x14ac:dyDescent="0.2">
      <c r="A674" s="4"/>
      <c r="B674" s="623" t="s">
        <v>637</v>
      </c>
      <c r="C674" s="624"/>
      <c r="D674" s="624"/>
      <c r="E674" s="625"/>
      <c r="F674" s="255">
        <f>78.73*X2</f>
        <v>121244.20000000001</v>
      </c>
      <c r="G674" s="255">
        <f t="shared" ref="G674" si="1925">+F674*$X$1</f>
        <v>121244.20000000001</v>
      </c>
      <c r="H674" s="93">
        <f t="shared" si="1905"/>
        <v>126244.20000000001</v>
      </c>
      <c r="I674" s="270">
        <f t="shared" si="1906"/>
        <v>126244.20000000001</v>
      </c>
      <c r="J674" s="93">
        <f t="shared" si="1919"/>
        <v>122444.20000000001</v>
      </c>
      <c r="K674" s="270">
        <f t="shared" si="1907"/>
        <v>122444.20000000001</v>
      </c>
      <c r="L674" s="93">
        <f t="shared" si="1908"/>
        <v>122044.20000000001</v>
      </c>
      <c r="M674" s="270">
        <f t="shared" si="1909"/>
        <v>122044.20000000001</v>
      </c>
      <c r="N674" s="93">
        <f t="shared" si="1910"/>
        <v>121944.20000000001</v>
      </c>
      <c r="O674" s="270">
        <f t="shared" si="1911"/>
        <v>121944.20000000001</v>
      </c>
      <c r="P674" s="93">
        <f t="shared" si="1912"/>
        <v>121844.20000000001</v>
      </c>
      <c r="Q674" s="270">
        <f t="shared" si="1913"/>
        <v>121844.20000000001</v>
      </c>
      <c r="R674" s="93">
        <f t="shared" si="1914"/>
        <v>121744.20000000001</v>
      </c>
      <c r="S674" s="270">
        <f t="shared" si="1915"/>
        <v>121744.20000000001</v>
      </c>
      <c r="T674" s="93">
        <f t="shared" si="1916"/>
        <v>121694.20000000001</v>
      </c>
      <c r="U674" s="270">
        <f t="shared" si="1917"/>
        <v>121694.20000000001</v>
      </c>
      <c r="V674" s="93">
        <f t="shared" si="1920"/>
        <v>121634.20000000001</v>
      </c>
      <c r="W674" s="270">
        <f t="shared" si="1918"/>
        <v>121634.20000000001</v>
      </c>
      <c r="X674" s="127"/>
      <c r="Y674" s="122"/>
      <c r="Z674" s="128"/>
      <c r="AA674" s="129"/>
      <c r="AB674" s="336">
        <v>718</v>
      </c>
    </row>
    <row r="675" spans="1:28" ht="12" customHeight="1" x14ac:dyDescent="0.2">
      <c r="A675" s="4"/>
      <c r="B675" s="755" t="s">
        <v>726</v>
      </c>
      <c r="C675" s="756"/>
      <c r="D675" s="756"/>
      <c r="E675" s="757"/>
      <c r="F675" s="256">
        <f>22.5*X2</f>
        <v>34650</v>
      </c>
      <c r="G675" s="256">
        <f t="shared" ref="G675" si="1926">+F675*$X$1</f>
        <v>34650</v>
      </c>
      <c r="H675" s="92">
        <f t="shared" si="1905"/>
        <v>39650</v>
      </c>
      <c r="I675" s="280">
        <f t="shared" si="1906"/>
        <v>39650</v>
      </c>
      <c r="J675" s="92">
        <f t="shared" si="1919"/>
        <v>35850</v>
      </c>
      <c r="K675" s="280">
        <f t="shared" si="1907"/>
        <v>35850</v>
      </c>
      <c r="L675" s="92">
        <f t="shared" si="1908"/>
        <v>35450</v>
      </c>
      <c r="M675" s="280">
        <f t="shared" si="1909"/>
        <v>35450</v>
      </c>
      <c r="N675" s="92">
        <f t="shared" si="1910"/>
        <v>35350</v>
      </c>
      <c r="O675" s="280">
        <f t="shared" si="1911"/>
        <v>35350</v>
      </c>
      <c r="P675" s="92">
        <f t="shared" si="1912"/>
        <v>35250</v>
      </c>
      <c r="Q675" s="280">
        <f t="shared" si="1913"/>
        <v>35250</v>
      </c>
      <c r="R675" s="92">
        <f t="shared" si="1914"/>
        <v>35150</v>
      </c>
      <c r="S675" s="280">
        <f t="shared" si="1915"/>
        <v>35150</v>
      </c>
      <c r="T675" s="92">
        <f t="shared" si="1916"/>
        <v>35100</v>
      </c>
      <c r="U675" s="280">
        <f t="shared" si="1917"/>
        <v>35100</v>
      </c>
      <c r="V675" s="92">
        <f t="shared" si="1920"/>
        <v>35040</v>
      </c>
      <c r="W675" s="280">
        <f t="shared" si="1918"/>
        <v>35040</v>
      </c>
      <c r="X675" s="127"/>
      <c r="Y675" s="122"/>
      <c r="Z675" s="128"/>
      <c r="AA675" s="129"/>
      <c r="AB675" s="336">
        <v>719</v>
      </c>
    </row>
    <row r="676" spans="1:28" ht="12" customHeight="1" x14ac:dyDescent="0.2">
      <c r="A676" s="4"/>
      <c r="B676" s="765" t="s">
        <v>635</v>
      </c>
      <c r="C676" s="766"/>
      <c r="D676" s="766"/>
      <c r="E676" s="767"/>
      <c r="F676" s="255">
        <f>13.8*X2</f>
        <v>21252</v>
      </c>
      <c r="G676" s="255">
        <f t="shared" ref="G676" si="1927">+F676*$X$1</f>
        <v>21252</v>
      </c>
      <c r="H676" s="93">
        <f t="shared" si="1905"/>
        <v>26252</v>
      </c>
      <c r="I676" s="270">
        <f t="shared" si="1906"/>
        <v>26252</v>
      </c>
      <c r="J676" s="93">
        <f>F676+1200</f>
        <v>22452</v>
      </c>
      <c r="K676" s="270">
        <f t="shared" si="1907"/>
        <v>22452</v>
      </c>
      <c r="L676" s="93">
        <f t="shared" si="1908"/>
        <v>22052</v>
      </c>
      <c r="M676" s="270">
        <f t="shared" si="1909"/>
        <v>22052</v>
      </c>
      <c r="N676" s="93">
        <f t="shared" si="1910"/>
        <v>21952</v>
      </c>
      <c r="O676" s="270">
        <f t="shared" si="1911"/>
        <v>21952</v>
      </c>
      <c r="P676" s="93">
        <f t="shared" si="1912"/>
        <v>21852</v>
      </c>
      <c r="Q676" s="270">
        <f t="shared" si="1913"/>
        <v>21852</v>
      </c>
      <c r="R676" s="93">
        <f t="shared" si="1914"/>
        <v>21752</v>
      </c>
      <c r="S676" s="270">
        <f t="shared" si="1915"/>
        <v>21752</v>
      </c>
      <c r="T676" s="93">
        <f t="shared" si="1916"/>
        <v>21702</v>
      </c>
      <c r="U676" s="270">
        <f t="shared" si="1917"/>
        <v>21702</v>
      </c>
      <c r="V676" s="93">
        <f t="shared" si="1920"/>
        <v>21642</v>
      </c>
      <c r="W676" s="270">
        <f t="shared" si="1918"/>
        <v>21642</v>
      </c>
      <c r="X676" s="127"/>
      <c r="Y676" s="122"/>
      <c r="Z676" s="128"/>
      <c r="AA676" s="129"/>
      <c r="AB676" s="336">
        <v>720</v>
      </c>
    </row>
    <row r="677" spans="1:28" ht="12" customHeight="1" x14ac:dyDescent="0.2">
      <c r="A677" s="4"/>
      <c r="B677" s="755" t="s">
        <v>634</v>
      </c>
      <c r="C677" s="756"/>
      <c r="D677" s="756"/>
      <c r="E677" s="757"/>
      <c r="F677" s="256">
        <f>36.2*X2</f>
        <v>55748.000000000007</v>
      </c>
      <c r="G677" s="256">
        <f t="shared" ref="G677" si="1928">+F677*$X$1</f>
        <v>55748.000000000007</v>
      </c>
      <c r="H677" s="92">
        <f t="shared" si="1905"/>
        <v>60748.000000000007</v>
      </c>
      <c r="I677" s="280">
        <f t="shared" si="1906"/>
        <v>60748.000000000007</v>
      </c>
      <c r="J677" s="92">
        <f>F677+1200</f>
        <v>56948.000000000007</v>
      </c>
      <c r="K677" s="280">
        <f t="shared" si="1907"/>
        <v>56948.000000000007</v>
      </c>
      <c r="L677" s="92">
        <f t="shared" si="1908"/>
        <v>56548.000000000007</v>
      </c>
      <c r="M677" s="280">
        <f t="shared" si="1909"/>
        <v>56548.000000000007</v>
      </c>
      <c r="N677" s="92">
        <f t="shared" si="1910"/>
        <v>56448.000000000007</v>
      </c>
      <c r="O677" s="280">
        <f t="shared" si="1911"/>
        <v>56448.000000000007</v>
      </c>
      <c r="P677" s="92">
        <f t="shared" si="1912"/>
        <v>56348.000000000007</v>
      </c>
      <c r="Q677" s="280">
        <f t="shared" si="1913"/>
        <v>56348.000000000007</v>
      </c>
      <c r="R677" s="92">
        <f t="shared" si="1914"/>
        <v>56248.000000000007</v>
      </c>
      <c r="S677" s="280">
        <f t="shared" si="1915"/>
        <v>56248.000000000007</v>
      </c>
      <c r="T677" s="92">
        <f t="shared" si="1916"/>
        <v>56198.000000000007</v>
      </c>
      <c r="U677" s="280">
        <f t="shared" si="1917"/>
        <v>56198.000000000007</v>
      </c>
      <c r="V677" s="92">
        <f t="shared" si="1920"/>
        <v>56138.000000000007</v>
      </c>
      <c r="W677" s="280">
        <f t="shared" si="1918"/>
        <v>56138.000000000007</v>
      </c>
      <c r="X677" s="127"/>
      <c r="Y677" s="122"/>
      <c r="Z677" s="128"/>
      <c r="AA677" s="129"/>
      <c r="AB677" s="336">
        <v>721</v>
      </c>
    </row>
    <row r="678" spans="1:28" ht="12" customHeight="1" x14ac:dyDescent="0.2">
      <c r="A678" s="4"/>
      <c r="B678" s="765" t="s">
        <v>932</v>
      </c>
      <c r="C678" s="766"/>
      <c r="D678" s="766"/>
      <c r="E678" s="767"/>
      <c r="F678" s="591">
        <v>12650</v>
      </c>
      <c r="G678" s="255">
        <f t="shared" ref="G678:G683" si="1929">+F678*$X$1</f>
        <v>12650</v>
      </c>
      <c r="H678" s="93"/>
      <c r="I678" s="270"/>
      <c r="J678" s="93"/>
      <c r="K678" s="270"/>
      <c r="L678" s="93"/>
      <c r="M678" s="270"/>
      <c r="N678" s="93">
        <f t="shared" si="1910"/>
        <v>13350</v>
      </c>
      <c r="O678" s="270">
        <f t="shared" si="1911"/>
        <v>13350</v>
      </c>
      <c r="P678" s="93">
        <f t="shared" si="1912"/>
        <v>13250</v>
      </c>
      <c r="Q678" s="270">
        <f t="shared" si="1913"/>
        <v>13250</v>
      </c>
      <c r="R678" s="93">
        <f t="shared" si="1914"/>
        <v>13150</v>
      </c>
      <c r="S678" s="270">
        <f t="shared" si="1915"/>
        <v>13150</v>
      </c>
      <c r="T678" s="93">
        <f t="shared" si="1916"/>
        <v>13100</v>
      </c>
      <c r="U678" s="270">
        <f t="shared" si="1917"/>
        <v>13100</v>
      </c>
      <c r="V678" s="93">
        <f t="shared" si="1920"/>
        <v>13040</v>
      </c>
      <c r="W678" s="270">
        <f t="shared" si="1918"/>
        <v>13040</v>
      </c>
      <c r="X678" s="127"/>
      <c r="Y678" s="122"/>
      <c r="Z678" s="128"/>
      <c r="AA678" s="129"/>
      <c r="AB678" s="336">
        <v>722</v>
      </c>
    </row>
    <row r="679" spans="1:28" ht="12" customHeight="1" x14ac:dyDescent="0.2">
      <c r="A679" s="4"/>
      <c r="B679" s="755" t="s">
        <v>933</v>
      </c>
      <c r="C679" s="756"/>
      <c r="D679" s="756"/>
      <c r="E679" s="757"/>
      <c r="F679" s="590">
        <v>18950</v>
      </c>
      <c r="G679" s="256">
        <f t="shared" si="1929"/>
        <v>18950</v>
      </c>
      <c r="H679" s="92"/>
      <c r="I679" s="280"/>
      <c r="J679" s="92"/>
      <c r="K679" s="280"/>
      <c r="L679" s="92">
        <f t="shared" ref="L679" si="1930">F679+800</f>
        <v>19750</v>
      </c>
      <c r="M679" s="280">
        <f t="shared" ref="M679" si="1931">+L679*$X$1</f>
        <v>19750</v>
      </c>
      <c r="N679" s="92">
        <f t="shared" ref="N679" si="1932">F679+700</f>
        <v>19650</v>
      </c>
      <c r="O679" s="280">
        <f t="shared" ref="O679" si="1933">+N679*$X$1</f>
        <v>19650</v>
      </c>
      <c r="P679" s="92">
        <f t="shared" ref="P679" si="1934">F679+600</f>
        <v>19550</v>
      </c>
      <c r="Q679" s="280">
        <f t="shared" ref="Q679" si="1935">+P679*$X$1</f>
        <v>19550</v>
      </c>
      <c r="R679" s="92">
        <f t="shared" ref="R679" si="1936">F679+500</f>
        <v>19450</v>
      </c>
      <c r="S679" s="280">
        <f t="shared" ref="S679" si="1937">+R679*$X$1</f>
        <v>19450</v>
      </c>
      <c r="T679" s="92">
        <f t="shared" ref="T679" si="1938">F679+450</f>
        <v>19400</v>
      </c>
      <c r="U679" s="280">
        <f t="shared" ref="U679" si="1939">+T679*$X$1</f>
        <v>19400</v>
      </c>
      <c r="V679" s="92">
        <f t="shared" si="1920"/>
        <v>19340</v>
      </c>
      <c r="W679" s="280">
        <f t="shared" ref="W679" si="1940">+V679*$X$1</f>
        <v>19340</v>
      </c>
      <c r="X679" s="127"/>
      <c r="Y679" s="122"/>
      <c r="Z679" s="128"/>
      <c r="AA679" s="129"/>
      <c r="AB679" s="336">
        <v>723</v>
      </c>
    </row>
    <row r="680" spans="1:28" ht="12" customHeight="1" x14ac:dyDescent="0.2">
      <c r="A680" s="4"/>
      <c r="B680" s="623" t="s">
        <v>934</v>
      </c>
      <c r="C680" s="624"/>
      <c r="D680" s="624"/>
      <c r="E680" s="625"/>
      <c r="F680" s="591">
        <v>16950</v>
      </c>
      <c r="G680" s="255">
        <f t="shared" si="1929"/>
        <v>16950</v>
      </c>
      <c r="H680" s="93"/>
      <c r="I680" s="255"/>
      <c r="J680" s="520"/>
      <c r="K680" s="255"/>
      <c r="L680" s="520">
        <f t="shared" ref="L680" si="1941">F680+800</f>
        <v>17750</v>
      </c>
      <c r="M680" s="255">
        <f t="shared" ref="M680" si="1942">+L680*$X$1</f>
        <v>17750</v>
      </c>
      <c r="N680" s="520">
        <f t="shared" ref="N680" si="1943">F680+700</f>
        <v>17650</v>
      </c>
      <c r="O680" s="255">
        <f t="shared" ref="O680" si="1944">+N680*$X$1</f>
        <v>17650</v>
      </c>
      <c r="P680" s="520">
        <f t="shared" ref="P680" si="1945">F680+600</f>
        <v>17550</v>
      </c>
      <c r="Q680" s="255">
        <f t="shared" ref="Q680" si="1946">+P680*$X$1</f>
        <v>17550</v>
      </c>
      <c r="R680" s="520">
        <f t="shared" ref="R680" si="1947">F680+500</f>
        <v>17450</v>
      </c>
      <c r="S680" s="255">
        <f t="shared" ref="S680" si="1948">+R680*$X$1</f>
        <v>17450</v>
      </c>
      <c r="T680" s="520">
        <f t="shared" ref="T680" si="1949">F680+450</f>
        <v>17400</v>
      </c>
      <c r="U680" s="255">
        <f t="shared" ref="U680" si="1950">+T680*$X$1</f>
        <v>17400</v>
      </c>
      <c r="V680" s="93">
        <f t="shared" si="1920"/>
        <v>17340</v>
      </c>
      <c r="W680" s="255">
        <f t="shared" ref="W680" si="1951">+V680*$X$1</f>
        <v>17340</v>
      </c>
      <c r="X680" s="127"/>
      <c r="Y680" s="122"/>
      <c r="Z680" s="128"/>
      <c r="AA680" s="129"/>
      <c r="AB680" s="336">
        <v>724</v>
      </c>
    </row>
    <row r="681" spans="1:28" ht="12" customHeight="1" x14ac:dyDescent="0.2">
      <c r="A681" s="4"/>
      <c r="B681" s="623" t="s">
        <v>891</v>
      </c>
      <c r="C681" s="624"/>
      <c r="D681" s="624"/>
      <c r="E681" s="625"/>
      <c r="F681" s="256">
        <f>12.3*X2</f>
        <v>18942</v>
      </c>
      <c r="G681" s="256">
        <f t="shared" si="1929"/>
        <v>18942</v>
      </c>
      <c r="H681" s="92">
        <f t="shared" ref="H681" si="1952">F681+5000</f>
        <v>23942</v>
      </c>
      <c r="I681" s="256">
        <f t="shared" ref="I681" si="1953">+H681*$X$1</f>
        <v>23942</v>
      </c>
      <c r="J681" s="528">
        <f>F681+1200</f>
        <v>20142</v>
      </c>
      <c r="K681" s="256">
        <f t="shared" ref="K681" si="1954">+J681*$X$1</f>
        <v>20142</v>
      </c>
      <c r="L681" s="528">
        <f t="shared" ref="L681:L682" si="1955">F681+800</f>
        <v>19742</v>
      </c>
      <c r="M681" s="256">
        <f t="shared" ref="M681:M682" si="1956">+L681*$X$1</f>
        <v>19742</v>
      </c>
      <c r="N681" s="528">
        <f t="shared" ref="N681:N682" si="1957">F681+700</f>
        <v>19642</v>
      </c>
      <c r="O681" s="256">
        <f t="shared" ref="O681:O682" si="1958">+N681*$X$1</f>
        <v>19642</v>
      </c>
      <c r="P681" s="528">
        <f t="shared" ref="P681:P682" si="1959">F681+600</f>
        <v>19542</v>
      </c>
      <c r="Q681" s="256">
        <f t="shared" ref="Q681:Q682" si="1960">+P681*$X$1</f>
        <v>19542</v>
      </c>
      <c r="R681" s="528">
        <f t="shared" ref="R681:R682" si="1961">F681+500</f>
        <v>19442</v>
      </c>
      <c r="S681" s="256">
        <f t="shared" ref="S681:S682" si="1962">+R681*$X$1</f>
        <v>19442</v>
      </c>
      <c r="T681" s="528">
        <f t="shared" ref="T681:T682" si="1963">F681+450</f>
        <v>19392</v>
      </c>
      <c r="U681" s="256">
        <f t="shared" ref="U681:U682" si="1964">+T681*$X$1</f>
        <v>19392</v>
      </c>
      <c r="V681" s="92">
        <f t="shared" si="1920"/>
        <v>19332</v>
      </c>
      <c r="W681" s="256">
        <f t="shared" ref="W681:W682" si="1965">+V681*$X$1</f>
        <v>19332</v>
      </c>
      <c r="X681" s="127"/>
      <c r="Y681" s="122"/>
      <c r="Z681" s="128"/>
      <c r="AA681" s="129"/>
      <c r="AB681" s="178">
        <v>725</v>
      </c>
    </row>
    <row r="682" spans="1:28" ht="12" customHeight="1" x14ac:dyDescent="0.2">
      <c r="A682" s="4"/>
      <c r="B682" s="623" t="s">
        <v>935</v>
      </c>
      <c r="C682" s="624"/>
      <c r="D682" s="624"/>
      <c r="E682" s="625"/>
      <c r="F682" s="591">
        <v>40790</v>
      </c>
      <c r="G682" s="255">
        <f t="shared" si="1929"/>
        <v>40790</v>
      </c>
      <c r="H682" s="93"/>
      <c r="I682" s="255"/>
      <c r="J682" s="520"/>
      <c r="K682" s="255"/>
      <c r="L682" s="520">
        <f t="shared" si="1955"/>
        <v>41590</v>
      </c>
      <c r="M682" s="255">
        <f t="shared" si="1956"/>
        <v>41590</v>
      </c>
      <c r="N682" s="520">
        <f t="shared" si="1957"/>
        <v>41490</v>
      </c>
      <c r="O682" s="255">
        <f t="shared" si="1958"/>
        <v>41490</v>
      </c>
      <c r="P682" s="520">
        <f t="shared" si="1959"/>
        <v>41390</v>
      </c>
      <c r="Q682" s="255">
        <f t="shared" si="1960"/>
        <v>41390</v>
      </c>
      <c r="R682" s="520">
        <f t="shared" si="1961"/>
        <v>41290</v>
      </c>
      <c r="S682" s="255">
        <f t="shared" si="1962"/>
        <v>41290</v>
      </c>
      <c r="T682" s="520">
        <f t="shared" si="1963"/>
        <v>41240</v>
      </c>
      <c r="U682" s="255">
        <f t="shared" si="1964"/>
        <v>41240</v>
      </c>
      <c r="V682" s="93">
        <f t="shared" si="1920"/>
        <v>41180</v>
      </c>
      <c r="W682" s="255">
        <f t="shared" si="1965"/>
        <v>41180</v>
      </c>
      <c r="X682" s="127"/>
      <c r="Y682" s="122"/>
      <c r="Z682" s="128"/>
      <c r="AA682" s="129"/>
      <c r="AB682" s="336">
        <v>726</v>
      </c>
    </row>
    <row r="683" spans="1:28" ht="12" customHeight="1" x14ac:dyDescent="0.2">
      <c r="A683" s="4"/>
      <c r="B683" s="623" t="s">
        <v>936</v>
      </c>
      <c r="C683" s="624"/>
      <c r="D683" s="624"/>
      <c r="E683" s="625"/>
      <c r="F683" s="590">
        <v>47400</v>
      </c>
      <c r="G683" s="256">
        <f t="shared" si="1929"/>
        <v>47400</v>
      </c>
      <c r="H683" s="92"/>
      <c r="I683" s="256"/>
      <c r="J683" s="528"/>
      <c r="K683" s="256"/>
      <c r="L683" s="528">
        <f t="shared" ref="L683" si="1966">F683+800</f>
        <v>48200</v>
      </c>
      <c r="M683" s="256">
        <f t="shared" ref="M683" si="1967">+L683*$X$1</f>
        <v>48200</v>
      </c>
      <c r="N683" s="528">
        <f t="shared" ref="N683" si="1968">F683+700</f>
        <v>48100</v>
      </c>
      <c r="O683" s="256">
        <f t="shared" ref="O683" si="1969">+N683*$X$1</f>
        <v>48100</v>
      </c>
      <c r="P683" s="528">
        <f t="shared" ref="P683" si="1970">F683+600</f>
        <v>48000</v>
      </c>
      <c r="Q683" s="256">
        <f t="shared" ref="Q683" si="1971">+P683*$X$1</f>
        <v>48000</v>
      </c>
      <c r="R683" s="528">
        <f t="shared" ref="R683" si="1972">F683+500</f>
        <v>47900</v>
      </c>
      <c r="S683" s="256">
        <f t="shared" ref="S683" si="1973">+R683*$X$1</f>
        <v>47900</v>
      </c>
      <c r="T683" s="528">
        <f t="shared" ref="T683" si="1974">F683+450</f>
        <v>47850</v>
      </c>
      <c r="U683" s="256">
        <f t="shared" ref="U683" si="1975">+T683*$X$1</f>
        <v>47850</v>
      </c>
      <c r="V683" s="92">
        <f t="shared" si="1920"/>
        <v>47790</v>
      </c>
      <c r="W683" s="256">
        <f t="shared" ref="W683" si="1976">+V683*$X$1</f>
        <v>47790</v>
      </c>
      <c r="X683" s="127"/>
      <c r="Y683" s="122"/>
      <c r="Z683" s="128"/>
      <c r="AA683" s="129"/>
      <c r="AB683" s="336">
        <v>727</v>
      </c>
    </row>
    <row r="684" spans="1:28" ht="12.6" customHeight="1" x14ac:dyDescent="0.2">
      <c r="A684" s="4"/>
      <c r="B684" s="765" t="s">
        <v>740</v>
      </c>
      <c r="C684" s="766"/>
      <c r="D684" s="766"/>
      <c r="E684" s="767"/>
      <c r="F684" s="255">
        <f>5.2*X2</f>
        <v>8008</v>
      </c>
      <c r="G684" s="255">
        <f t="shared" ref="G684" si="1977">+F684*$X$1</f>
        <v>8008</v>
      </c>
      <c r="H684" s="93">
        <f t="shared" ref="H684:H690" si="1978">F684+5000</f>
        <v>13008</v>
      </c>
      <c r="I684" s="255">
        <f t="shared" ref="I684:I690" si="1979">+H684*$X$1</f>
        <v>13008</v>
      </c>
      <c r="J684" s="520">
        <f t="shared" ref="J684:J688" si="1980">F684+1200</f>
        <v>9208</v>
      </c>
      <c r="K684" s="255">
        <f t="shared" ref="K684:K690" si="1981">+J684*$X$1</f>
        <v>9208</v>
      </c>
      <c r="L684" s="520">
        <f t="shared" ref="L684:L690" si="1982">F684+800</f>
        <v>8808</v>
      </c>
      <c r="M684" s="255">
        <f t="shared" ref="M684:M690" si="1983">+L684*$X$1</f>
        <v>8808</v>
      </c>
      <c r="N684" s="520">
        <f t="shared" ref="N684:N690" si="1984">F684+700</f>
        <v>8708</v>
      </c>
      <c r="O684" s="255">
        <f t="shared" ref="O684:O690" si="1985">+N684*$X$1</f>
        <v>8708</v>
      </c>
      <c r="P684" s="520">
        <f t="shared" ref="P684:P690" si="1986">F684+600</f>
        <v>8608</v>
      </c>
      <c r="Q684" s="255">
        <f t="shared" ref="Q684:Q690" si="1987">+P684*$X$1</f>
        <v>8608</v>
      </c>
      <c r="R684" s="520">
        <f t="shared" ref="R684:R690" si="1988">F684+500</f>
        <v>8508</v>
      </c>
      <c r="S684" s="255">
        <f t="shared" ref="S684:S690" si="1989">+R684*$X$1</f>
        <v>8508</v>
      </c>
      <c r="T684" s="520">
        <f t="shared" ref="T684:T690" si="1990">F684+450</f>
        <v>8458</v>
      </c>
      <c r="U684" s="255">
        <f t="shared" ref="U684:U690" si="1991">+T684*$X$1</f>
        <v>8458</v>
      </c>
      <c r="V684" s="93">
        <f t="shared" si="1920"/>
        <v>8398</v>
      </c>
      <c r="W684" s="255">
        <f t="shared" ref="W684:W690" si="1992">+V684*$X$1</f>
        <v>8398</v>
      </c>
      <c r="X684" s="127"/>
      <c r="Y684" s="122"/>
      <c r="Z684" s="128"/>
      <c r="AA684" s="129"/>
      <c r="AB684" s="178">
        <v>741</v>
      </c>
    </row>
    <row r="685" spans="1:28" ht="12" customHeight="1" x14ac:dyDescent="0.2">
      <c r="A685" s="4"/>
      <c r="B685" s="755" t="s">
        <v>551</v>
      </c>
      <c r="C685" s="756"/>
      <c r="D685" s="756"/>
      <c r="E685" s="757"/>
      <c r="F685" s="256">
        <f>15.2*X2</f>
        <v>23408</v>
      </c>
      <c r="G685" s="256">
        <f>+F685*$X$1</f>
        <v>23408</v>
      </c>
      <c r="H685" s="92">
        <f t="shared" si="1978"/>
        <v>28408</v>
      </c>
      <c r="I685" s="256">
        <f t="shared" si="1979"/>
        <v>28408</v>
      </c>
      <c r="J685" s="528">
        <f t="shared" si="1980"/>
        <v>24608</v>
      </c>
      <c r="K685" s="256">
        <f t="shared" si="1981"/>
        <v>24608</v>
      </c>
      <c r="L685" s="528">
        <f t="shared" si="1982"/>
        <v>24208</v>
      </c>
      <c r="M685" s="256">
        <f t="shared" si="1983"/>
        <v>24208</v>
      </c>
      <c r="N685" s="528">
        <f t="shared" si="1984"/>
        <v>24108</v>
      </c>
      <c r="O685" s="256">
        <f t="shared" si="1985"/>
        <v>24108</v>
      </c>
      <c r="P685" s="528">
        <f t="shared" si="1986"/>
        <v>24008</v>
      </c>
      <c r="Q685" s="256">
        <f t="shared" si="1987"/>
        <v>24008</v>
      </c>
      <c r="R685" s="528">
        <f t="shared" si="1988"/>
        <v>23908</v>
      </c>
      <c r="S685" s="256">
        <f t="shared" si="1989"/>
        <v>23908</v>
      </c>
      <c r="T685" s="528">
        <f t="shared" si="1990"/>
        <v>23858</v>
      </c>
      <c r="U685" s="256">
        <f t="shared" si="1991"/>
        <v>23858</v>
      </c>
      <c r="V685" s="92">
        <f t="shared" si="1920"/>
        <v>23798</v>
      </c>
      <c r="W685" s="256">
        <f t="shared" si="1992"/>
        <v>23798</v>
      </c>
      <c r="X685" s="127"/>
      <c r="Y685" s="122"/>
      <c r="Z685" s="128"/>
      <c r="AA685" s="129"/>
      <c r="AB685" s="178">
        <v>742</v>
      </c>
    </row>
    <row r="686" spans="1:28" ht="12" customHeight="1" x14ac:dyDescent="0.2">
      <c r="A686" s="4"/>
      <c r="B686" s="765" t="s">
        <v>552</v>
      </c>
      <c r="C686" s="766"/>
      <c r="D686" s="766"/>
      <c r="E686" s="767"/>
      <c r="F686" s="255">
        <f>16.6*X2</f>
        <v>25564.000000000004</v>
      </c>
      <c r="G686" s="255">
        <f>+F686*$X$1</f>
        <v>25564.000000000004</v>
      </c>
      <c r="H686" s="93">
        <f t="shared" si="1978"/>
        <v>30564.000000000004</v>
      </c>
      <c r="I686" s="255">
        <f t="shared" si="1979"/>
        <v>30564.000000000004</v>
      </c>
      <c r="J686" s="520">
        <f t="shared" si="1980"/>
        <v>26764.000000000004</v>
      </c>
      <c r="K686" s="255">
        <f t="shared" si="1981"/>
        <v>26764.000000000004</v>
      </c>
      <c r="L686" s="520">
        <f t="shared" si="1982"/>
        <v>26364.000000000004</v>
      </c>
      <c r="M686" s="255">
        <f t="shared" si="1983"/>
        <v>26364.000000000004</v>
      </c>
      <c r="N686" s="520">
        <f t="shared" si="1984"/>
        <v>26264.000000000004</v>
      </c>
      <c r="O686" s="255">
        <f t="shared" si="1985"/>
        <v>26264.000000000004</v>
      </c>
      <c r="P686" s="520">
        <f t="shared" si="1986"/>
        <v>26164.000000000004</v>
      </c>
      <c r="Q686" s="255">
        <f t="shared" si="1987"/>
        <v>26164.000000000004</v>
      </c>
      <c r="R686" s="520">
        <f t="shared" si="1988"/>
        <v>26064.000000000004</v>
      </c>
      <c r="S686" s="255">
        <f t="shared" si="1989"/>
        <v>26064.000000000004</v>
      </c>
      <c r="T686" s="520">
        <f t="shared" si="1990"/>
        <v>26014.000000000004</v>
      </c>
      <c r="U686" s="255">
        <f t="shared" si="1991"/>
        <v>26014.000000000004</v>
      </c>
      <c r="V686" s="93">
        <f t="shared" si="1920"/>
        <v>25954.000000000004</v>
      </c>
      <c r="W686" s="255">
        <f t="shared" si="1992"/>
        <v>25954.000000000004</v>
      </c>
      <c r="X686" s="127"/>
      <c r="Y686" s="122"/>
      <c r="Z686" s="128"/>
      <c r="AA686" s="129"/>
      <c r="AB686" s="178">
        <v>743</v>
      </c>
    </row>
    <row r="687" spans="1:28" ht="12" customHeight="1" x14ac:dyDescent="0.2">
      <c r="A687" s="4"/>
      <c r="B687" s="755" t="s">
        <v>614</v>
      </c>
      <c r="C687" s="756"/>
      <c r="D687" s="756"/>
      <c r="E687" s="757"/>
      <c r="F687" s="256">
        <f>13.85*X2</f>
        <v>21329</v>
      </c>
      <c r="G687" s="256">
        <f t="shared" ref="G687" si="1993">+F687*$X$1</f>
        <v>21329</v>
      </c>
      <c r="H687" s="92">
        <f t="shared" si="1978"/>
        <v>26329</v>
      </c>
      <c r="I687" s="256">
        <f t="shared" si="1979"/>
        <v>26329</v>
      </c>
      <c r="J687" s="528">
        <f t="shared" si="1980"/>
        <v>22529</v>
      </c>
      <c r="K687" s="256">
        <f t="shared" si="1981"/>
        <v>22529</v>
      </c>
      <c r="L687" s="528">
        <f t="shared" si="1982"/>
        <v>22129</v>
      </c>
      <c r="M687" s="256">
        <f t="shared" si="1983"/>
        <v>22129</v>
      </c>
      <c r="N687" s="528">
        <f t="shared" si="1984"/>
        <v>22029</v>
      </c>
      <c r="O687" s="256">
        <f t="shared" si="1985"/>
        <v>22029</v>
      </c>
      <c r="P687" s="528">
        <f t="shared" si="1986"/>
        <v>21929</v>
      </c>
      <c r="Q687" s="256">
        <f t="shared" si="1987"/>
        <v>21929</v>
      </c>
      <c r="R687" s="528">
        <f t="shared" si="1988"/>
        <v>21829</v>
      </c>
      <c r="S687" s="256">
        <f t="shared" si="1989"/>
        <v>21829</v>
      </c>
      <c r="T687" s="528">
        <f t="shared" si="1990"/>
        <v>21779</v>
      </c>
      <c r="U687" s="256">
        <f t="shared" si="1991"/>
        <v>21779</v>
      </c>
      <c r="V687" s="92">
        <f t="shared" si="1920"/>
        <v>21719</v>
      </c>
      <c r="W687" s="256">
        <f t="shared" si="1992"/>
        <v>21719</v>
      </c>
      <c r="X687" s="127"/>
      <c r="Y687" s="122"/>
      <c r="Z687" s="128"/>
      <c r="AA687" s="129"/>
      <c r="AB687" s="178">
        <v>744</v>
      </c>
    </row>
    <row r="688" spans="1:28" ht="12" customHeight="1" x14ac:dyDescent="0.2">
      <c r="A688" s="4"/>
      <c r="B688" s="765" t="s">
        <v>784</v>
      </c>
      <c r="C688" s="766"/>
      <c r="D688" s="766"/>
      <c r="E688" s="767"/>
      <c r="F688" s="255">
        <f>4.2*X2</f>
        <v>6468</v>
      </c>
      <c r="G688" s="255">
        <f t="shared" ref="G688" si="1994">+F688*$X$1</f>
        <v>6468</v>
      </c>
      <c r="H688" s="93">
        <f t="shared" si="1978"/>
        <v>11468</v>
      </c>
      <c r="I688" s="270">
        <f t="shared" si="1979"/>
        <v>11468</v>
      </c>
      <c r="J688" s="93">
        <f t="shared" si="1980"/>
        <v>7668</v>
      </c>
      <c r="K688" s="255">
        <f t="shared" si="1981"/>
        <v>7668</v>
      </c>
      <c r="L688" s="520">
        <f t="shared" si="1982"/>
        <v>7268</v>
      </c>
      <c r="M688" s="255">
        <f t="shared" si="1983"/>
        <v>7268</v>
      </c>
      <c r="N688" s="520">
        <f t="shared" si="1984"/>
        <v>7168</v>
      </c>
      <c r="O688" s="255">
        <f t="shared" si="1985"/>
        <v>7168</v>
      </c>
      <c r="P688" s="520">
        <f t="shared" si="1986"/>
        <v>7068</v>
      </c>
      <c r="Q688" s="255">
        <f t="shared" si="1987"/>
        <v>7068</v>
      </c>
      <c r="R688" s="520">
        <f t="shared" si="1988"/>
        <v>6968</v>
      </c>
      <c r="S688" s="255">
        <f t="shared" si="1989"/>
        <v>6968</v>
      </c>
      <c r="T688" s="520">
        <f t="shared" si="1990"/>
        <v>6918</v>
      </c>
      <c r="U688" s="255">
        <f t="shared" si="1991"/>
        <v>6918</v>
      </c>
      <c r="V688" s="93">
        <f t="shared" si="1920"/>
        <v>6858</v>
      </c>
      <c r="W688" s="255">
        <f t="shared" si="1992"/>
        <v>6858</v>
      </c>
      <c r="X688" s="127"/>
      <c r="Y688" s="122"/>
      <c r="Z688" s="128"/>
      <c r="AA688" s="129"/>
      <c r="AB688" s="178">
        <v>745</v>
      </c>
    </row>
    <row r="689" spans="1:34" ht="12" customHeight="1" x14ac:dyDescent="0.2">
      <c r="A689" s="4"/>
      <c r="B689" s="623" t="s">
        <v>920</v>
      </c>
      <c r="C689" s="624"/>
      <c r="D689" s="624"/>
      <c r="E689" s="625"/>
      <c r="F689" s="256">
        <f>18.82*X2</f>
        <v>28982.799999999999</v>
      </c>
      <c r="G689" s="256">
        <f t="shared" ref="G689:G690" si="1995">+F689*$X$1</f>
        <v>28982.799999999999</v>
      </c>
      <c r="H689" s="92">
        <f t="shared" si="1978"/>
        <v>33982.800000000003</v>
      </c>
      <c r="I689" s="280">
        <f t="shared" si="1979"/>
        <v>33982.800000000003</v>
      </c>
      <c r="J689" s="92">
        <f t="shared" ref="J689" si="1996">F689+1200</f>
        <v>30182.799999999999</v>
      </c>
      <c r="K689" s="256">
        <f t="shared" si="1981"/>
        <v>30182.799999999999</v>
      </c>
      <c r="L689" s="528">
        <f t="shared" si="1982"/>
        <v>29782.799999999999</v>
      </c>
      <c r="M689" s="256">
        <f t="shared" si="1983"/>
        <v>29782.799999999999</v>
      </c>
      <c r="N689" s="528">
        <f t="shared" si="1984"/>
        <v>29682.799999999999</v>
      </c>
      <c r="O689" s="256">
        <f t="shared" si="1985"/>
        <v>29682.799999999999</v>
      </c>
      <c r="P689" s="528">
        <f t="shared" si="1986"/>
        <v>29582.799999999999</v>
      </c>
      <c r="Q689" s="256">
        <f t="shared" si="1987"/>
        <v>29582.799999999999</v>
      </c>
      <c r="R689" s="528">
        <f t="shared" si="1988"/>
        <v>29482.799999999999</v>
      </c>
      <c r="S689" s="256">
        <f t="shared" si="1989"/>
        <v>29482.799999999999</v>
      </c>
      <c r="T689" s="528">
        <f t="shared" si="1990"/>
        <v>29432.799999999999</v>
      </c>
      <c r="U689" s="256">
        <f t="shared" si="1991"/>
        <v>29432.799999999999</v>
      </c>
      <c r="V689" s="92">
        <f t="shared" si="1920"/>
        <v>29372.799999999999</v>
      </c>
      <c r="W689" s="256">
        <f t="shared" si="1992"/>
        <v>29372.799999999999</v>
      </c>
      <c r="X689" s="127"/>
      <c r="Y689" s="122"/>
      <c r="Z689" s="128"/>
      <c r="AA689" s="129"/>
      <c r="AB689" s="178">
        <v>748</v>
      </c>
    </row>
    <row r="690" spans="1:34" ht="12" customHeight="1" x14ac:dyDescent="0.2">
      <c r="A690" s="4"/>
      <c r="B690" s="765" t="s">
        <v>819</v>
      </c>
      <c r="C690" s="766"/>
      <c r="D690" s="766"/>
      <c r="E690" s="767"/>
      <c r="F690" s="255">
        <f>2.8*X2</f>
        <v>4312</v>
      </c>
      <c r="G690" s="255">
        <f t="shared" si="1995"/>
        <v>4312</v>
      </c>
      <c r="H690" s="93">
        <f t="shared" si="1978"/>
        <v>9312</v>
      </c>
      <c r="I690" s="270">
        <f t="shared" si="1979"/>
        <v>9312</v>
      </c>
      <c r="J690" s="93">
        <f>F690+1200</f>
        <v>5512</v>
      </c>
      <c r="K690" s="255">
        <f t="shared" si="1981"/>
        <v>5512</v>
      </c>
      <c r="L690" s="520">
        <f t="shared" si="1982"/>
        <v>5112</v>
      </c>
      <c r="M690" s="255">
        <f t="shared" si="1983"/>
        <v>5112</v>
      </c>
      <c r="N690" s="520">
        <f t="shared" si="1984"/>
        <v>5012</v>
      </c>
      <c r="O690" s="255">
        <f t="shared" si="1985"/>
        <v>5012</v>
      </c>
      <c r="P690" s="520">
        <f t="shared" si="1986"/>
        <v>4912</v>
      </c>
      <c r="Q690" s="255">
        <f t="shared" si="1987"/>
        <v>4912</v>
      </c>
      <c r="R690" s="520">
        <f t="shared" si="1988"/>
        <v>4812</v>
      </c>
      <c r="S690" s="255">
        <f t="shared" si="1989"/>
        <v>4812</v>
      </c>
      <c r="T690" s="520">
        <f t="shared" si="1990"/>
        <v>4762</v>
      </c>
      <c r="U690" s="255">
        <f t="shared" si="1991"/>
        <v>4762</v>
      </c>
      <c r="V690" s="93">
        <f t="shared" si="1920"/>
        <v>4702</v>
      </c>
      <c r="W690" s="255">
        <f t="shared" si="1992"/>
        <v>4702</v>
      </c>
      <c r="X690" s="127"/>
      <c r="Y690" s="122"/>
      <c r="Z690" s="128"/>
      <c r="AA690" s="129"/>
      <c r="AB690" s="178">
        <v>760</v>
      </c>
    </row>
    <row r="691" spans="1:34" ht="12" customHeight="1" x14ac:dyDescent="0.2">
      <c r="A691" s="4"/>
      <c r="B691" s="918" t="s">
        <v>535</v>
      </c>
      <c r="C691" s="919"/>
      <c r="D691" s="919"/>
      <c r="E691" s="919"/>
      <c r="F691" s="328"/>
      <c r="G691" s="328"/>
      <c r="H691" s="528">
        <v>2000</v>
      </c>
      <c r="I691" s="256">
        <f t="shared" ref="I691:K691" si="1997">+H691*$X$1</f>
        <v>2000</v>
      </c>
      <c r="J691" s="528">
        <v>1100</v>
      </c>
      <c r="K691" s="256">
        <f t="shared" si="1997"/>
        <v>1100</v>
      </c>
      <c r="L691" s="528">
        <v>840</v>
      </c>
      <c r="M691" s="256">
        <f t="shared" ref="M691" si="1998">+L691*$X$1</f>
        <v>840</v>
      </c>
      <c r="N691" s="528">
        <v>790</v>
      </c>
      <c r="O691" s="256">
        <f t="shared" ref="O691" si="1999">+N691*$X$1</f>
        <v>790</v>
      </c>
      <c r="P691" s="528">
        <v>720</v>
      </c>
      <c r="Q691" s="256">
        <f t="shared" ref="Q691" si="2000">+P691*$X$1</f>
        <v>720</v>
      </c>
      <c r="R691" s="528">
        <v>580</v>
      </c>
      <c r="S691" s="256">
        <f t="shared" ref="S691" si="2001">+R691*$X$1</f>
        <v>580</v>
      </c>
      <c r="T691" s="528">
        <v>530</v>
      </c>
      <c r="U691" s="256">
        <f t="shared" ref="U691" si="2002">+T691*$X$1</f>
        <v>530</v>
      </c>
      <c r="V691" s="528">
        <v>460</v>
      </c>
      <c r="W691" s="256">
        <f t="shared" ref="W691" si="2003">+V691*$X$1</f>
        <v>460</v>
      </c>
      <c r="X691" s="127"/>
      <c r="Y691" s="122"/>
      <c r="Z691" s="128"/>
      <c r="AA691" s="128"/>
      <c r="AB691" s="36"/>
    </row>
    <row r="692" spans="1:34" ht="10.5" customHeight="1" x14ac:dyDescent="0.2">
      <c r="A692" s="71"/>
      <c r="B692" s="98"/>
      <c r="C692" s="529"/>
      <c r="D692" s="529"/>
      <c r="E692" s="529"/>
      <c r="F692" s="293"/>
      <c r="G692" s="293"/>
      <c r="H692" s="106"/>
      <c r="I692" s="293"/>
      <c r="J692" s="106"/>
      <c r="K692" s="293"/>
      <c r="L692" s="106"/>
      <c r="M692" s="293"/>
      <c r="N692" s="106"/>
      <c r="O692" s="293"/>
      <c r="P692" s="106"/>
      <c r="Q692" s="293"/>
      <c r="R692" s="106"/>
      <c r="S692" s="293"/>
      <c r="T692" s="106"/>
      <c r="U692" s="293"/>
      <c r="V692" s="106"/>
      <c r="W692" s="293"/>
      <c r="X692" s="185"/>
      <c r="Y692" s="71"/>
      <c r="Z692" s="186"/>
      <c r="AA692" s="186"/>
      <c r="AB692" s="187"/>
    </row>
    <row r="693" spans="1:34" ht="14.25" customHeight="1" x14ac:dyDescent="0.2">
      <c r="B693" s="753" t="s">
        <v>708</v>
      </c>
      <c r="C693" s="754"/>
      <c r="D693" s="754"/>
      <c r="E693" s="754"/>
      <c r="F693" s="754"/>
      <c r="G693" s="754"/>
      <c r="H693" s="754"/>
      <c r="I693" s="754"/>
      <c r="J693" s="754"/>
      <c r="K693" s="754"/>
      <c r="L693" s="754"/>
      <c r="M693" s="754"/>
      <c r="N693" s="754"/>
      <c r="O693" s="754"/>
      <c r="P693" s="754"/>
      <c r="Q693" s="754"/>
      <c r="R693" s="754"/>
      <c r="S693" s="754"/>
      <c r="T693" s="754"/>
      <c r="U693" s="754"/>
      <c r="V693" s="754"/>
      <c r="W693" s="754"/>
      <c r="AB693" s="4"/>
      <c r="AF693" s="759"/>
      <c r="AG693" s="760"/>
      <c r="AH693" s="760"/>
    </row>
    <row r="694" spans="1:34" ht="12" customHeight="1" x14ac:dyDescent="0.2">
      <c r="B694" s="763" t="s">
        <v>11</v>
      </c>
      <c r="C694" s="763" t="s">
        <v>12</v>
      </c>
      <c r="D694" s="764"/>
      <c r="E694" s="764"/>
      <c r="F694" s="674" t="s">
        <v>258</v>
      </c>
      <c r="G694" s="674" t="s">
        <v>13</v>
      </c>
      <c r="H694" s="670" t="s">
        <v>702</v>
      </c>
      <c r="I694" s="670"/>
      <c r="J694" s="671"/>
      <c r="K694" s="671"/>
      <c r="L694" s="671"/>
      <c r="M694" s="671"/>
      <c r="N694" s="671"/>
      <c r="O694" s="671"/>
      <c r="P694" s="671"/>
      <c r="Q694" s="671"/>
      <c r="R694" s="671"/>
      <c r="S694" s="671"/>
      <c r="T694" s="671"/>
      <c r="U694" s="671"/>
      <c r="V694" s="671"/>
      <c r="W694" s="671"/>
      <c r="X694" s="779" t="s">
        <v>14</v>
      </c>
      <c r="Y694" s="793"/>
      <c r="Z694" s="793"/>
      <c r="AA694" s="793"/>
      <c r="AB694" s="777" t="s">
        <v>15</v>
      </c>
      <c r="AF694" s="759"/>
      <c r="AG694" s="760"/>
      <c r="AH694" s="760"/>
    </row>
    <row r="695" spans="1:34" ht="11.25" customHeight="1" x14ac:dyDescent="0.2">
      <c r="B695" s="764"/>
      <c r="C695" s="764"/>
      <c r="D695" s="764"/>
      <c r="E695" s="764"/>
      <c r="F695" s="675"/>
      <c r="G695" s="675"/>
      <c r="H695" s="397"/>
      <c r="I695" s="396" t="s">
        <v>259</v>
      </c>
      <c r="J695" s="397"/>
      <c r="K695" s="396" t="s">
        <v>260</v>
      </c>
      <c r="L695" s="397"/>
      <c r="M695" s="396" t="s">
        <v>505</v>
      </c>
      <c r="N695" s="397"/>
      <c r="O695" s="396" t="s">
        <v>17</v>
      </c>
      <c r="P695" s="397"/>
      <c r="Q695" s="396" t="s">
        <v>18</v>
      </c>
      <c r="R695" s="397"/>
      <c r="S695" s="396" t="s">
        <v>19</v>
      </c>
      <c r="T695" s="397"/>
      <c r="U695" s="396" t="s">
        <v>261</v>
      </c>
      <c r="V695" s="397"/>
      <c r="W695" s="396" t="s">
        <v>20</v>
      </c>
      <c r="X695" s="794"/>
      <c r="Y695" s="795"/>
      <c r="Z695" s="795"/>
      <c r="AA695" s="795"/>
      <c r="AB695" s="778"/>
    </row>
    <row r="696" spans="1:34" ht="12.6" customHeight="1" x14ac:dyDescent="0.2">
      <c r="A696" s="17"/>
      <c r="B696" s="710" t="s">
        <v>485</v>
      </c>
      <c r="C696" s="711"/>
      <c r="D696" s="711"/>
      <c r="E696" s="712"/>
      <c r="F696" s="280">
        <v>4030</v>
      </c>
      <c r="G696" s="269"/>
      <c r="H696" s="92"/>
      <c r="I696" s="280"/>
      <c r="J696" s="528">
        <f>F696+600</f>
        <v>4630</v>
      </c>
      <c r="K696" s="256">
        <f t="shared" ref="K696" si="2004">+J696*$X$1</f>
        <v>4630</v>
      </c>
      <c r="L696" s="528">
        <f>F696+550</f>
        <v>4580</v>
      </c>
      <c r="M696" s="256">
        <f t="shared" ref="M696" si="2005">+L696*$X$1</f>
        <v>4580</v>
      </c>
      <c r="N696" s="528">
        <f>F696+450</f>
        <v>4480</v>
      </c>
      <c r="O696" s="256">
        <f t="shared" ref="O696" si="2006">+N696*$X$1</f>
        <v>4480</v>
      </c>
      <c r="P696" s="528">
        <f>F696+410</f>
        <v>4440</v>
      </c>
      <c r="Q696" s="256">
        <f t="shared" ref="Q696" si="2007">+P696*$X$1</f>
        <v>4440</v>
      </c>
      <c r="R696" s="528">
        <f>F696+360</f>
        <v>4390</v>
      </c>
      <c r="S696" s="256">
        <f t="shared" ref="S696" si="2008">+R696*$X$1</f>
        <v>4390</v>
      </c>
      <c r="T696" s="528">
        <f>F696+320</f>
        <v>4350</v>
      </c>
      <c r="U696" s="256">
        <f t="shared" ref="U696" si="2009">+T696*$X$1</f>
        <v>4350</v>
      </c>
      <c r="V696" s="528">
        <f>F696+290</f>
        <v>4320</v>
      </c>
      <c r="W696" s="256">
        <f t="shared" ref="W696" si="2010">+V696*$X$1</f>
        <v>4320</v>
      </c>
      <c r="X696" s="130"/>
      <c r="Y696" s="131"/>
      <c r="Z696" s="131"/>
      <c r="AA696" s="131"/>
      <c r="AB696" s="350" t="s">
        <v>683</v>
      </c>
    </row>
    <row r="697" spans="1:34" ht="12.6" customHeight="1" x14ac:dyDescent="0.2">
      <c r="A697" s="17"/>
      <c r="B697" s="787" t="s">
        <v>853</v>
      </c>
      <c r="C697" s="788"/>
      <c r="D697" s="788"/>
      <c r="E697" s="789"/>
      <c r="F697" s="270">
        <v>4455</v>
      </c>
      <c r="G697" s="234"/>
      <c r="H697" s="93"/>
      <c r="I697" s="270"/>
      <c r="J697" s="520">
        <f>F697+600</f>
        <v>5055</v>
      </c>
      <c r="K697" s="255">
        <f t="shared" ref="K697" si="2011">+J697*$X$1</f>
        <v>5055</v>
      </c>
      <c r="L697" s="520">
        <f>F697+550</f>
        <v>5005</v>
      </c>
      <c r="M697" s="255">
        <f t="shared" ref="M697" si="2012">+L697*$X$1</f>
        <v>5005</v>
      </c>
      <c r="N697" s="520">
        <f>F697+450</f>
        <v>4905</v>
      </c>
      <c r="O697" s="255">
        <f t="shared" ref="O697" si="2013">+N697*$X$1</f>
        <v>4905</v>
      </c>
      <c r="P697" s="520">
        <f>F697+410</f>
        <v>4865</v>
      </c>
      <c r="Q697" s="255">
        <f t="shared" ref="Q697" si="2014">+P697*$X$1</f>
        <v>4865</v>
      </c>
      <c r="R697" s="520">
        <f>F697+360</f>
        <v>4815</v>
      </c>
      <c r="S697" s="255">
        <f t="shared" ref="S697" si="2015">+R697*$X$1</f>
        <v>4815</v>
      </c>
      <c r="T697" s="520">
        <f>F697+320</f>
        <v>4775</v>
      </c>
      <c r="U697" s="255">
        <f t="shared" ref="U697" si="2016">+T697*$X$1</f>
        <v>4775</v>
      </c>
      <c r="V697" s="520">
        <f>F697+290</f>
        <v>4745</v>
      </c>
      <c r="W697" s="255">
        <f t="shared" ref="W697" si="2017">+V697*$X$1</f>
        <v>4745</v>
      </c>
      <c r="X697" s="130"/>
      <c r="Y697" s="131"/>
      <c r="Z697" s="131"/>
      <c r="AA697" s="131"/>
      <c r="AB697" s="350" t="s">
        <v>870</v>
      </c>
    </row>
    <row r="698" spans="1:34" ht="12.6" customHeight="1" x14ac:dyDescent="0.2">
      <c r="A698" s="17"/>
      <c r="B698" s="787" t="s">
        <v>948</v>
      </c>
      <c r="C698" s="788"/>
      <c r="D698" s="788"/>
      <c r="E698" s="789"/>
      <c r="F698" s="256">
        <f>16.14*X2</f>
        <v>24855.600000000002</v>
      </c>
      <c r="G698" s="550"/>
      <c r="H698" s="528">
        <f>F698+1400</f>
        <v>26255.600000000002</v>
      </c>
      <c r="I698" s="256">
        <f t="shared" ref="I698" si="2018">+H698*$X$1</f>
        <v>26255.600000000002</v>
      </c>
      <c r="J698" s="528">
        <f>F698+600</f>
        <v>25455.600000000002</v>
      </c>
      <c r="K698" s="256">
        <f t="shared" ref="K698" si="2019">+J698*$X$1</f>
        <v>25455.600000000002</v>
      </c>
      <c r="L698" s="528">
        <f>F698+550</f>
        <v>25405.600000000002</v>
      </c>
      <c r="M698" s="256">
        <f t="shared" ref="M698" si="2020">+L698*$X$1</f>
        <v>25405.600000000002</v>
      </c>
      <c r="N698" s="528">
        <f>F698+450</f>
        <v>25305.600000000002</v>
      </c>
      <c r="O698" s="256">
        <f t="shared" ref="O698" si="2021">+N698*$X$1</f>
        <v>25305.600000000002</v>
      </c>
      <c r="P698" s="528">
        <f>F698+410</f>
        <v>25265.600000000002</v>
      </c>
      <c r="Q698" s="256">
        <f t="shared" ref="Q698" si="2022">+P698*$X$1</f>
        <v>25265.600000000002</v>
      </c>
      <c r="R698" s="528">
        <f>F698+360</f>
        <v>25215.600000000002</v>
      </c>
      <c r="S698" s="256">
        <f t="shared" ref="S698" si="2023">+R698*$X$1</f>
        <v>25215.600000000002</v>
      </c>
      <c r="T698" s="528">
        <f>F698+320</f>
        <v>25175.600000000002</v>
      </c>
      <c r="U698" s="256">
        <f t="shared" ref="U698" si="2024">+T698*$X$1</f>
        <v>25175.600000000002</v>
      </c>
      <c r="V698" s="528">
        <f>F698+290</f>
        <v>25145.600000000002</v>
      </c>
      <c r="W698" s="256">
        <f t="shared" ref="W698" si="2025">+V698*$X$1</f>
        <v>25145.600000000002</v>
      </c>
      <c r="X698" s="130"/>
      <c r="Y698" s="131"/>
      <c r="Z698" s="131"/>
      <c r="AA698" s="131"/>
      <c r="AB698" s="350" t="s">
        <v>947</v>
      </c>
    </row>
    <row r="699" spans="1:34" ht="12.6" customHeight="1" x14ac:dyDescent="0.2">
      <c r="A699" s="17"/>
      <c r="B699" s="657" t="s">
        <v>352</v>
      </c>
      <c r="C699" s="658"/>
      <c r="D699" s="658"/>
      <c r="E699" s="659"/>
      <c r="F699" s="255">
        <v>1460</v>
      </c>
      <c r="G699" s="234"/>
      <c r="H699" s="519"/>
      <c r="I699" s="255"/>
      <c r="J699" s="519"/>
      <c r="K699" s="255"/>
      <c r="L699" s="520">
        <f>F699+550</f>
        <v>2010</v>
      </c>
      <c r="M699" s="255">
        <f t="shared" ref="M699" si="2026">+L699*$X$1</f>
        <v>2010</v>
      </c>
      <c r="N699" s="520">
        <f>F699+450</f>
        <v>1910</v>
      </c>
      <c r="O699" s="255">
        <f t="shared" ref="O699" si="2027">+N699*$X$1</f>
        <v>1910</v>
      </c>
      <c r="P699" s="519">
        <f>F699+410</f>
        <v>1870</v>
      </c>
      <c r="Q699" s="255">
        <f t="shared" ref="Q699" si="2028">+P699*$X$1</f>
        <v>1870</v>
      </c>
      <c r="R699" s="519">
        <f>F699+360</f>
        <v>1820</v>
      </c>
      <c r="S699" s="255">
        <f t="shared" ref="S699" si="2029">+R699*$X$1</f>
        <v>1820</v>
      </c>
      <c r="T699" s="519">
        <f>F699+320</f>
        <v>1780</v>
      </c>
      <c r="U699" s="255">
        <f t="shared" ref="U699" si="2030">+T699*$X$1</f>
        <v>1780</v>
      </c>
      <c r="V699" s="519">
        <f>F699+290</f>
        <v>1750</v>
      </c>
      <c r="W699" s="255">
        <f t="shared" ref="W699" si="2031">+V699*$X$1</f>
        <v>1750</v>
      </c>
      <c r="X699" s="130"/>
      <c r="Y699" s="131"/>
      <c r="Z699" s="131"/>
      <c r="AA699" s="131"/>
      <c r="AB699" s="30"/>
    </row>
    <row r="700" spans="1:34" ht="12.6" customHeight="1" x14ac:dyDescent="0.2">
      <c r="A700" s="17"/>
      <c r="B700" s="640" t="s">
        <v>946</v>
      </c>
      <c r="C700" s="641"/>
      <c r="D700" s="641"/>
      <c r="E700" s="642"/>
      <c r="F700" s="280">
        <v>4450</v>
      </c>
      <c r="G700" s="269"/>
      <c r="H700" s="389">
        <f>F700+1400</f>
        <v>5850</v>
      </c>
      <c r="I700" s="256">
        <f t="shared" ref="I700" si="2032">+H700*$X$1</f>
        <v>5850</v>
      </c>
      <c r="J700" s="389">
        <f>F700+600</f>
        <v>5050</v>
      </c>
      <c r="K700" s="256">
        <f t="shared" ref="K700" si="2033">+J700*$X$1</f>
        <v>5050</v>
      </c>
      <c r="L700" s="528">
        <f>F700+550</f>
        <v>5000</v>
      </c>
      <c r="M700" s="256">
        <f t="shared" ref="M700" si="2034">+L700*$X$1</f>
        <v>5000</v>
      </c>
      <c r="N700" s="528">
        <f>F700+450</f>
        <v>4900</v>
      </c>
      <c r="O700" s="256">
        <f t="shared" ref="O700" si="2035">+N700*$X$1</f>
        <v>4900</v>
      </c>
      <c r="P700" s="389">
        <f>F700+410</f>
        <v>4860</v>
      </c>
      <c r="Q700" s="256">
        <f t="shared" ref="Q700" si="2036">+P700*$X$1</f>
        <v>4860</v>
      </c>
      <c r="R700" s="389">
        <f>F700+360</f>
        <v>4810</v>
      </c>
      <c r="S700" s="256">
        <f t="shared" ref="S700" si="2037">+R700*$X$1</f>
        <v>4810</v>
      </c>
      <c r="T700" s="389">
        <f>F700+320</f>
        <v>4770</v>
      </c>
      <c r="U700" s="256">
        <f t="shared" ref="U700" si="2038">+T700*$X$1</f>
        <v>4770</v>
      </c>
      <c r="V700" s="389">
        <f>F700+290</f>
        <v>4740</v>
      </c>
      <c r="W700" s="256">
        <f t="shared" ref="W700" si="2039">+V700*$X$1</f>
        <v>4740</v>
      </c>
      <c r="X700" s="130"/>
      <c r="Y700" s="131"/>
      <c r="Z700" s="131"/>
      <c r="AA700" s="131"/>
      <c r="AB700" s="336" t="s">
        <v>684</v>
      </c>
    </row>
    <row r="701" spans="1:34" ht="12.6" customHeight="1" x14ac:dyDescent="0.2">
      <c r="A701" s="17"/>
      <c r="B701" s="915" t="s">
        <v>262</v>
      </c>
      <c r="C701" s="916"/>
      <c r="D701" s="916"/>
      <c r="E701" s="917"/>
      <c r="F701" s="485">
        <v>4200</v>
      </c>
      <c r="G701" s="560"/>
      <c r="H701" s="519"/>
      <c r="I701" s="255"/>
      <c r="J701" s="519">
        <f t="shared" ref="J701:J706" si="2040">F701+600</f>
        <v>4800</v>
      </c>
      <c r="K701" s="255">
        <f t="shared" ref="K701:K706" si="2041">+J701*$X$1</f>
        <v>4800</v>
      </c>
      <c r="L701" s="520">
        <f t="shared" ref="L701:L706" si="2042">F701+550</f>
        <v>4750</v>
      </c>
      <c r="M701" s="255">
        <f t="shared" ref="M701:M706" si="2043">+L701*$X$1</f>
        <v>4750</v>
      </c>
      <c r="N701" s="520">
        <f t="shared" ref="N701:N706" si="2044">F701+450</f>
        <v>4650</v>
      </c>
      <c r="O701" s="255">
        <f t="shared" ref="O701:O706" si="2045">+N701*$X$1</f>
        <v>4650</v>
      </c>
      <c r="P701" s="519">
        <f t="shared" ref="P701:P706" si="2046">F701+410</f>
        <v>4610</v>
      </c>
      <c r="Q701" s="255">
        <f t="shared" ref="Q701:Q706" si="2047">+P701*$X$1</f>
        <v>4610</v>
      </c>
      <c r="R701" s="519">
        <f t="shared" ref="R701:R706" si="2048">F701+360</f>
        <v>4560</v>
      </c>
      <c r="S701" s="255">
        <f t="shared" ref="S701:S706" si="2049">+R701*$X$1</f>
        <v>4560</v>
      </c>
      <c r="T701" s="519">
        <f t="shared" ref="T701:T706" si="2050">F701+320</f>
        <v>4520</v>
      </c>
      <c r="U701" s="255">
        <f t="shared" ref="U701:U706" si="2051">+T701*$X$1</f>
        <v>4520</v>
      </c>
      <c r="V701" s="519">
        <f t="shared" ref="V701:V706" si="2052">F701+290</f>
        <v>4490</v>
      </c>
      <c r="W701" s="255">
        <f t="shared" ref="W701:W706" si="2053">+V701*$X$1</f>
        <v>4490</v>
      </c>
      <c r="X701" s="130"/>
      <c r="Y701" s="131"/>
      <c r="Z701" s="131"/>
      <c r="AA701" s="131"/>
      <c r="AB701" s="336" t="s">
        <v>751</v>
      </c>
    </row>
    <row r="702" spans="1:34" ht="12.6" customHeight="1" x14ac:dyDescent="0.2">
      <c r="A702" s="17"/>
      <c r="B702" s="638" t="s">
        <v>263</v>
      </c>
      <c r="C702" s="639"/>
      <c r="D702" s="639"/>
      <c r="E702" s="639"/>
      <c r="F702" s="256">
        <v>3820</v>
      </c>
      <c r="G702" s="269"/>
      <c r="H702" s="389"/>
      <c r="I702" s="256"/>
      <c r="J702" s="389">
        <f t="shared" si="2040"/>
        <v>4420</v>
      </c>
      <c r="K702" s="256">
        <f t="shared" si="2041"/>
        <v>4420</v>
      </c>
      <c r="L702" s="528">
        <f t="shared" si="2042"/>
        <v>4370</v>
      </c>
      <c r="M702" s="256">
        <f t="shared" si="2043"/>
        <v>4370</v>
      </c>
      <c r="N702" s="528">
        <f t="shared" si="2044"/>
        <v>4270</v>
      </c>
      <c r="O702" s="256">
        <f t="shared" si="2045"/>
        <v>4270</v>
      </c>
      <c r="P702" s="389">
        <f t="shared" si="2046"/>
        <v>4230</v>
      </c>
      <c r="Q702" s="256">
        <f t="shared" si="2047"/>
        <v>4230</v>
      </c>
      <c r="R702" s="389">
        <f t="shared" si="2048"/>
        <v>4180</v>
      </c>
      <c r="S702" s="256">
        <f t="shared" si="2049"/>
        <v>4180</v>
      </c>
      <c r="T702" s="389">
        <f t="shared" si="2050"/>
        <v>4140</v>
      </c>
      <c r="U702" s="256">
        <f t="shared" si="2051"/>
        <v>4140</v>
      </c>
      <c r="V702" s="389">
        <f t="shared" si="2052"/>
        <v>4110</v>
      </c>
      <c r="W702" s="256">
        <f t="shared" si="2053"/>
        <v>4110</v>
      </c>
      <c r="X702" s="130"/>
      <c r="Y702" s="131"/>
      <c r="Z702" s="131"/>
      <c r="AA702" s="131"/>
      <c r="AB702" s="336" t="s">
        <v>685</v>
      </c>
    </row>
    <row r="703" spans="1:34" ht="12.6" customHeight="1" x14ac:dyDescent="0.2">
      <c r="A703" s="17"/>
      <c r="B703" s="657" t="s">
        <v>446</v>
      </c>
      <c r="C703" s="677"/>
      <c r="D703" s="677"/>
      <c r="E703" s="678"/>
      <c r="F703" s="270">
        <v>7500</v>
      </c>
      <c r="G703" s="234"/>
      <c r="H703" s="520">
        <f>F703+1400</f>
        <v>8900</v>
      </c>
      <c r="I703" s="255">
        <f t="shared" ref="I703" si="2054">+H703*$X$1</f>
        <v>8900</v>
      </c>
      <c r="J703" s="520">
        <f t="shared" si="2040"/>
        <v>8100</v>
      </c>
      <c r="K703" s="255">
        <f t="shared" si="2041"/>
        <v>8100</v>
      </c>
      <c r="L703" s="520">
        <f t="shared" si="2042"/>
        <v>8050</v>
      </c>
      <c r="M703" s="255">
        <f t="shared" si="2043"/>
        <v>8050</v>
      </c>
      <c r="N703" s="520">
        <f t="shared" si="2044"/>
        <v>7950</v>
      </c>
      <c r="O703" s="255">
        <f t="shared" si="2045"/>
        <v>7950</v>
      </c>
      <c r="P703" s="520">
        <f t="shared" si="2046"/>
        <v>7910</v>
      </c>
      <c r="Q703" s="255">
        <f t="shared" si="2047"/>
        <v>7910</v>
      </c>
      <c r="R703" s="520">
        <f t="shared" si="2048"/>
        <v>7860</v>
      </c>
      <c r="S703" s="255">
        <f t="shared" si="2049"/>
        <v>7860</v>
      </c>
      <c r="T703" s="520">
        <f t="shared" si="2050"/>
        <v>7820</v>
      </c>
      <c r="U703" s="255">
        <f t="shared" si="2051"/>
        <v>7820</v>
      </c>
      <c r="V703" s="520">
        <f t="shared" si="2052"/>
        <v>7790</v>
      </c>
      <c r="W703" s="255">
        <f t="shared" si="2053"/>
        <v>7790</v>
      </c>
      <c r="X703" s="130"/>
      <c r="Y703" s="131"/>
      <c r="Z703" s="131"/>
      <c r="AA703" s="131"/>
      <c r="AB703" s="30"/>
    </row>
    <row r="704" spans="1:34" ht="12.6" customHeight="1" x14ac:dyDescent="0.2">
      <c r="A704" s="4"/>
      <c r="B704" s="755" t="s">
        <v>394</v>
      </c>
      <c r="C704" s="641"/>
      <c r="D704" s="641"/>
      <c r="E704" s="642"/>
      <c r="F704" s="256">
        <v>2100</v>
      </c>
      <c r="G704" s="269"/>
      <c r="H704" s="528"/>
      <c r="I704" s="256"/>
      <c r="J704" s="528">
        <f t="shared" si="2040"/>
        <v>2700</v>
      </c>
      <c r="K704" s="256">
        <f t="shared" si="2041"/>
        <v>2700</v>
      </c>
      <c r="L704" s="528">
        <f t="shared" si="2042"/>
        <v>2650</v>
      </c>
      <c r="M704" s="256">
        <f t="shared" si="2043"/>
        <v>2650</v>
      </c>
      <c r="N704" s="528">
        <f t="shared" si="2044"/>
        <v>2550</v>
      </c>
      <c r="O704" s="256">
        <f t="shared" si="2045"/>
        <v>2550</v>
      </c>
      <c r="P704" s="528">
        <f t="shared" si="2046"/>
        <v>2510</v>
      </c>
      <c r="Q704" s="256">
        <f t="shared" si="2047"/>
        <v>2510</v>
      </c>
      <c r="R704" s="528">
        <f t="shared" si="2048"/>
        <v>2460</v>
      </c>
      <c r="S704" s="256">
        <f t="shared" si="2049"/>
        <v>2460</v>
      </c>
      <c r="T704" s="528">
        <f t="shared" si="2050"/>
        <v>2420</v>
      </c>
      <c r="U704" s="256">
        <f t="shared" si="2051"/>
        <v>2420</v>
      </c>
      <c r="V704" s="528">
        <f t="shared" si="2052"/>
        <v>2390</v>
      </c>
      <c r="W704" s="256">
        <f t="shared" si="2053"/>
        <v>2390</v>
      </c>
      <c r="X704" s="130"/>
      <c r="Y704" s="119"/>
      <c r="Z704" s="132"/>
      <c r="AA704" s="132"/>
      <c r="AB704" s="336" t="s">
        <v>393</v>
      </c>
    </row>
    <row r="705" spans="1:38" ht="12.6" customHeight="1" x14ac:dyDescent="0.2">
      <c r="A705" s="4"/>
      <c r="B705" s="765" t="s">
        <v>392</v>
      </c>
      <c r="C705" s="677"/>
      <c r="D705" s="677"/>
      <c r="E705" s="678"/>
      <c r="F705" s="255">
        <v>2100</v>
      </c>
      <c r="G705" s="234"/>
      <c r="H705" s="520"/>
      <c r="I705" s="255"/>
      <c r="J705" s="520">
        <f t="shared" si="2040"/>
        <v>2700</v>
      </c>
      <c r="K705" s="255">
        <f t="shared" si="2041"/>
        <v>2700</v>
      </c>
      <c r="L705" s="520">
        <f t="shared" si="2042"/>
        <v>2650</v>
      </c>
      <c r="M705" s="255">
        <f t="shared" si="2043"/>
        <v>2650</v>
      </c>
      <c r="N705" s="520">
        <f t="shared" si="2044"/>
        <v>2550</v>
      </c>
      <c r="O705" s="255">
        <f t="shared" si="2045"/>
        <v>2550</v>
      </c>
      <c r="P705" s="520">
        <f t="shared" si="2046"/>
        <v>2510</v>
      </c>
      <c r="Q705" s="255">
        <f t="shared" si="2047"/>
        <v>2510</v>
      </c>
      <c r="R705" s="520">
        <f t="shared" si="2048"/>
        <v>2460</v>
      </c>
      <c r="S705" s="255">
        <f t="shared" si="2049"/>
        <v>2460</v>
      </c>
      <c r="T705" s="520">
        <f t="shared" si="2050"/>
        <v>2420</v>
      </c>
      <c r="U705" s="255">
        <f t="shared" si="2051"/>
        <v>2420</v>
      </c>
      <c r="V705" s="520">
        <f t="shared" si="2052"/>
        <v>2390</v>
      </c>
      <c r="W705" s="255">
        <f t="shared" si="2053"/>
        <v>2390</v>
      </c>
      <c r="X705" s="130"/>
      <c r="Y705" s="119"/>
      <c r="Z705" s="132"/>
      <c r="AA705" s="132"/>
      <c r="AB705" s="336" t="s">
        <v>389</v>
      </c>
    </row>
    <row r="706" spans="1:38" ht="12.6" customHeight="1" x14ac:dyDescent="0.2">
      <c r="A706" s="4"/>
      <c r="B706" s="755" t="s">
        <v>390</v>
      </c>
      <c r="C706" s="641"/>
      <c r="D706" s="641"/>
      <c r="E706" s="642"/>
      <c r="F706" s="256">
        <v>2990</v>
      </c>
      <c r="G706" s="269"/>
      <c r="H706" s="528"/>
      <c r="I706" s="256"/>
      <c r="J706" s="528">
        <f t="shared" si="2040"/>
        <v>3590</v>
      </c>
      <c r="K706" s="256">
        <f t="shared" si="2041"/>
        <v>3590</v>
      </c>
      <c r="L706" s="528">
        <f t="shared" si="2042"/>
        <v>3540</v>
      </c>
      <c r="M706" s="256">
        <f t="shared" si="2043"/>
        <v>3540</v>
      </c>
      <c r="N706" s="528">
        <f t="shared" si="2044"/>
        <v>3440</v>
      </c>
      <c r="O706" s="256">
        <f t="shared" si="2045"/>
        <v>3440</v>
      </c>
      <c r="P706" s="528">
        <f t="shared" si="2046"/>
        <v>3400</v>
      </c>
      <c r="Q706" s="256">
        <f t="shared" si="2047"/>
        <v>3400</v>
      </c>
      <c r="R706" s="528">
        <f t="shared" si="2048"/>
        <v>3350</v>
      </c>
      <c r="S706" s="256">
        <f t="shared" si="2049"/>
        <v>3350</v>
      </c>
      <c r="T706" s="528">
        <f t="shared" si="2050"/>
        <v>3310</v>
      </c>
      <c r="U706" s="256">
        <f t="shared" si="2051"/>
        <v>3310</v>
      </c>
      <c r="V706" s="528">
        <f t="shared" si="2052"/>
        <v>3280</v>
      </c>
      <c r="W706" s="256">
        <f t="shared" si="2053"/>
        <v>3280</v>
      </c>
      <c r="X706" s="130"/>
      <c r="Y706" s="119"/>
      <c r="Z706" s="132"/>
      <c r="AA706" s="132"/>
      <c r="AB706" s="336" t="s">
        <v>391</v>
      </c>
    </row>
    <row r="707" spans="1:38" ht="12.6" customHeight="1" x14ac:dyDescent="0.2">
      <c r="A707" s="4"/>
      <c r="B707" s="765" t="s">
        <v>892</v>
      </c>
      <c r="C707" s="677"/>
      <c r="D707" s="677"/>
      <c r="E707" s="678"/>
      <c r="F707" s="255">
        <v>3050</v>
      </c>
      <c r="G707" s="234"/>
      <c r="H707" s="520"/>
      <c r="I707" s="255"/>
      <c r="J707" s="520"/>
      <c r="K707" s="255"/>
      <c r="L707" s="520">
        <f t="shared" ref="L707" si="2055">F707+550</f>
        <v>3600</v>
      </c>
      <c r="M707" s="255">
        <f t="shared" ref="M707" si="2056">+L707*$X$1</f>
        <v>3600</v>
      </c>
      <c r="N707" s="520">
        <f t="shared" ref="N707" si="2057">F707+450</f>
        <v>3500</v>
      </c>
      <c r="O707" s="255">
        <f t="shared" ref="O707" si="2058">+N707*$X$1</f>
        <v>3500</v>
      </c>
      <c r="P707" s="520">
        <f t="shared" ref="P707" si="2059">F707+410</f>
        <v>3460</v>
      </c>
      <c r="Q707" s="255">
        <f t="shared" ref="Q707" si="2060">+P707*$X$1</f>
        <v>3460</v>
      </c>
      <c r="R707" s="520">
        <f t="shared" ref="R707" si="2061">F707+360</f>
        <v>3410</v>
      </c>
      <c r="S707" s="255">
        <f t="shared" ref="S707" si="2062">+R707*$X$1</f>
        <v>3410</v>
      </c>
      <c r="T707" s="520">
        <f t="shared" ref="T707" si="2063">F707+320</f>
        <v>3370</v>
      </c>
      <c r="U707" s="255">
        <f t="shared" ref="U707" si="2064">+T707*$X$1</f>
        <v>3370</v>
      </c>
      <c r="V707" s="520">
        <f t="shared" ref="V707" si="2065">F707+290</f>
        <v>3340</v>
      </c>
      <c r="W707" s="255">
        <f t="shared" ref="W707" si="2066">+V707*$X$1</f>
        <v>3340</v>
      </c>
      <c r="X707" s="130"/>
      <c r="Y707" s="119"/>
      <c r="Z707" s="132"/>
      <c r="AA707" s="132"/>
      <c r="AB707" s="336"/>
    </row>
    <row r="708" spans="1:38" ht="12.6" customHeight="1" x14ac:dyDescent="0.2">
      <c r="A708" s="4"/>
      <c r="B708" s="771" t="s">
        <v>264</v>
      </c>
      <c r="C708" s="688"/>
      <c r="D708" s="688"/>
      <c r="E708" s="688"/>
      <c r="F708" s="90"/>
      <c r="G708" s="85"/>
      <c r="H708" s="528"/>
      <c r="I708" s="528"/>
      <c r="J708" s="528"/>
      <c r="K708" s="528"/>
      <c r="L708" s="528"/>
      <c r="M708" s="528"/>
      <c r="N708" s="528"/>
      <c r="O708" s="528"/>
      <c r="P708" s="528"/>
      <c r="Q708" s="528"/>
      <c r="R708" s="528"/>
      <c r="S708" s="528"/>
      <c r="T708" s="528"/>
      <c r="U708" s="528"/>
      <c r="V708" s="528"/>
      <c r="W708" s="528"/>
      <c r="X708" s="127"/>
      <c r="Y708" s="122"/>
      <c r="Z708" s="128"/>
      <c r="AA708" s="129"/>
      <c r="AB708" s="336">
        <v>986</v>
      </c>
    </row>
    <row r="709" spans="1:38" ht="12.6" customHeight="1" x14ac:dyDescent="0.2">
      <c r="A709" s="4"/>
      <c r="B709" s="772" t="s">
        <v>321</v>
      </c>
      <c r="C709" s="725"/>
      <c r="D709" s="725"/>
      <c r="E709" s="725"/>
      <c r="F709" s="329"/>
      <c r="G709" s="87"/>
      <c r="H709" s="520"/>
      <c r="I709" s="520"/>
      <c r="J709" s="520"/>
      <c r="K709" s="520"/>
      <c r="L709" s="520"/>
      <c r="M709" s="520"/>
      <c r="N709" s="520"/>
      <c r="O709" s="520"/>
      <c r="P709" s="520"/>
      <c r="Q709" s="520"/>
      <c r="R709" s="520"/>
      <c r="S709" s="520"/>
      <c r="T709" s="520"/>
      <c r="U709" s="520"/>
      <c r="V709" s="520"/>
      <c r="W709" s="520"/>
      <c r="X709" s="127"/>
      <c r="Y709" s="122"/>
      <c r="Z709" s="128"/>
      <c r="AA709" s="129"/>
      <c r="AB709" s="336">
        <v>987</v>
      </c>
    </row>
    <row r="710" spans="1:38" ht="12.6" customHeight="1" x14ac:dyDescent="0.2">
      <c r="A710" s="4"/>
      <c r="B710" s="771" t="s">
        <v>265</v>
      </c>
      <c r="C710" s="648"/>
      <c r="D710" s="648"/>
      <c r="E710" s="648"/>
      <c r="F710" s="528"/>
      <c r="G710" s="85"/>
      <c r="H710" s="528"/>
      <c r="I710" s="528"/>
      <c r="J710" s="528"/>
      <c r="K710" s="528"/>
      <c r="L710" s="528"/>
      <c r="M710" s="528"/>
      <c r="N710" s="528"/>
      <c r="O710" s="528"/>
      <c r="P710" s="528"/>
      <c r="Q710" s="528"/>
      <c r="R710" s="528"/>
      <c r="S710" s="528"/>
      <c r="T710" s="528"/>
      <c r="U710" s="528"/>
      <c r="V710" s="528"/>
      <c r="W710" s="528"/>
      <c r="X710" s="127"/>
      <c r="Y710" s="122"/>
      <c r="Z710" s="128"/>
      <c r="AA710" s="129"/>
      <c r="AB710" s="336">
        <v>989</v>
      </c>
    </row>
    <row r="711" spans="1:38" ht="10.5" customHeight="1" x14ac:dyDescent="0.2">
      <c r="A711" s="4"/>
      <c r="B711" s="98"/>
      <c r="C711" s="184"/>
      <c r="D711" s="184"/>
      <c r="E711" s="184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85"/>
      <c r="Y711" s="71"/>
      <c r="Z711" s="186"/>
      <c r="AA711" s="186"/>
      <c r="AB711" s="36"/>
    </row>
    <row r="712" spans="1:38" ht="15" customHeight="1" x14ac:dyDescent="0.2">
      <c r="B712" s="753" t="s">
        <v>266</v>
      </c>
      <c r="C712" s="754"/>
      <c r="D712" s="754"/>
      <c r="E712" s="754"/>
      <c r="F712" s="754"/>
      <c r="G712" s="754"/>
      <c r="H712" s="754"/>
      <c r="I712" s="754"/>
      <c r="J712" s="754"/>
      <c r="K712" s="754"/>
      <c r="L712" s="754"/>
      <c r="M712" s="754"/>
      <c r="N712" s="754"/>
      <c r="O712" s="754"/>
      <c r="P712" s="754"/>
      <c r="Q712" s="754"/>
      <c r="R712" s="754"/>
      <c r="S712" s="754"/>
      <c r="T712" s="815"/>
      <c r="U712" s="815"/>
      <c r="V712" s="816"/>
      <c r="W712" s="816"/>
      <c r="AB712" s="4"/>
    </row>
    <row r="713" spans="1:38" ht="14.25" customHeight="1" x14ac:dyDescent="0.2">
      <c r="B713" s="763" t="s">
        <v>11</v>
      </c>
      <c r="C713" s="763" t="s">
        <v>12</v>
      </c>
      <c r="D713" s="764"/>
      <c r="E713" s="764"/>
      <c r="F713" s="674" t="s">
        <v>258</v>
      </c>
      <c r="G713" s="674" t="s">
        <v>13</v>
      </c>
      <c r="H713" s="670" t="s">
        <v>701</v>
      </c>
      <c r="I713" s="670"/>
      <c r="J713" s="671"/>
      <c r="K713" s="671"/>
      <c r="L713" s="671"/>
      <c r="M713" s="671"/>
      <c r="N713" s="671"/>
      <c r="O713" s="671"/>
      <c r="P713" s="671"/>
      <c r="Q713" s="671"/>
      <c r="R713" s="671"/>
      <c r="S713" s="671"/>
      <c r="T713" s="671"/>
      <c r="U713" s="671"/>
      <c r="V713" s="671"/>
      <c r="W713" s="671"/>
      <c r="X713" s="779" t="s">
        <v>14</v>
      </c>
      <c r="Y713" s="780"/>
      <c r="Z713" s="780"/>
      <c r="AA713" s="781"/>
      <c r="AB713" s="777" t="s">
        <v>15</v>
      </c>
      <c r="AF713" s="759"/>
      <c r="AG713" s="760"/>
      <c r="AH713" s="760"/>
    </row>
    <row r="714" spans="1:38" ht="12" customHeight="1" x14ac:dyDescent="0.2">
      <c r="B714" s="764"/>
      <c r="C714" s="764"/>
      <c r="D714" s="764"/>
      <c r="E714" s="764"/>
      <c r="F714" s="675"/>
      <c r="G714" s="675"/>
      <c r="H714" s="395"/>
      <c r="I714" s="396" t="s">
        <v>503</v>
      </c>
      <c r="J714" s="395"/>
      <c r="K714" s="396" t="s">
        <v>259</v>
      </c>
      <c r="L714" s="396"/>
      <c r="M714" s="396" t="s">
        <v>260</v>
      </c>
      <c r="N714" s="396"/>
      <c r="O714" s="396" t="s">
        <v>505</v>
      </c>
      <c r="P714" s="396"/>
      <c r="Q714" s="396" t="s">
        <v>17</v>
      </c>
      <c r="R714" s="396"/>
      <c r="S714" s="396" t="s">
        <v>18</v>
      </c>
      <c r="T714" s="396"/>
      <c r="U714" s="396" t="s">
        <v>19</v>
      </c>
      <c r="V714" s="396"/>
      <c r="W714" s="396" t="s">
        <v>506</v>
      </c>
      <c r="X714" s="782"/>
      <c r="Y714" s="783"/>
      <c r="Z714" s="783"/>
      <c r="AA714" s="784"/>
      <c r="AB714" s="778"/>
    </row>
    <row r="715" spans="1:38" ht="12.6" customHeight="1" x14ac:dyDescent="0.2">
      <c r="B715" s="776" t="s">
        <v>657</v>
      </c>
      <c r="C715" s="776"/>
      <c r="D715" s="776"/>
      <c r="E715" s="776"/>
      <c r="F715" s="561">
        <f>21.73*X2</f>
        <v>33464.199999999997</v>
      </c>
      <c r="G715" s="280">
        <f>+F715*$X$1</f>
        <v>33464.199999999997</v>
      </c>
      <c r="H715" s="92">
        <f>F715+5000</f>
        <v>38464.199999999997</v>
      </c>
      <c r="I715" s="280">
        <f t="shared" ref="I715" si="2067">+H715*$X$1</f>
        <v>38464.199999999997</v>
      </c>
      <c r="J715" s="82">
        <f>F715+1000</f>
        <v>34464.199999999997</v>
      </c>
      <c r="K715" s="256">
        <f>+J715*$X$1</f>
        <v>34464.199999999997</v>
      </c>
      <c r="L715" s="528">
        <f>F715+700</f>
        <v>34164.199999999997</v>
      </c>
      <c r="M715" s="256">
        <f>+L715*$X$1</f>
        <v>34164.199999999997</v>
      </c>
      <c r="N715" s="528">
        <f>F715+550</f>
        <v>34014.199999999997</v>
      </c>
      <c r="O715" s="256">
        <f>+N715*$X$1</f>
        <v>34014.199999999997</v>
      </c>
      <c r="P715" s="528">
        <f t="shared" ref="P715" si="2068">F715+400</f>
        <v>33864.199999999997</v>
      </c>
      <c r="Q715" s="256">
        <f t="shared" ref="Q715" si="2069">+P715*$X$1</f>
        <v>33864.199999999997</v>
      </c>
      <c r="R715" s="528">
        <f>F715+350</f>
        <v>33814.199999999997</v>
      </c>
      <c r="S715" s="256">
        <f t="shared" ref="S715" si="2070">+R715*$X$1</f>
        <v>33814.199999999997</v>
      </c>
      <c r="T715" s="528">
        <f>F715+320</f>
        <v>33784.199999999997</v>
      </c>
      <c r="U715" s="256">
        <f t="shared" ref="U715" si="2071">+T715*$X$1</f>
        <v>33784.199999999997</v>
      </c>
      <c r="V715" s="528">
        <f>F715+290</f>
        <v>33754.199999999997</v>
      </c>
      <c r="W715" s="256">
        <f t="shared" ref="W715" si="2072">+V715*$X$1</f>
        <v>33754.199999999997</v>
      </c>
      <c r="X715" s="386"/>
      <c r="Y715" s="124"/>
      <c r="Z715" s="122"/>
      <c r="AA715" s="125"/>
      <c r="AB715" s="356" t="s">
        <v>658</v>
      </c>
    </row>
    <row r="716" spans="1:38" ht="12.6" customHeight="1" x14ac:dyDescent="0.2">
      <c r="B716" s="772" t="s">
        <v>1071</v>
      </c>
      <c r="C716" s="772"/>
      <c r="D716" s="772"/>
      <c r="E716" s="772"/>
      <c r="F716" s="105"/>
      <c r="G716" s="520"/>
      <c r="H716" s="91"/>
      <c r="I716" s="91"/>
      <c r="J716" s="520"/>
      <c r="K716" s="520"/>
      <c r="L716" s="520"/>
      <c r="M716" s="520"/>
      <c r="N716" s="103"/>
      <c r="O716" s="520"/>
      <c r="P716" s="520"/>
      <c r="Q716" s="520"/>
      <c r="R716" s="520"/>
      <c r="S716" s="520"/>
      <c r="T716" s="520"/>
      <c r="U716" s="520"/>
      <c r="V716" s="251"/>
      <c r="W716" s="482"/>
      <c r="X716" s="122"/>
      <c r="Y716" s="122"/>
      <c r="Z716" s="122"/>
      <c r="AA716" s="125"/>
      <c r="AB716" s="355" t="s">
        <v>267</v>
      </c>
    </row>
    <row r="717" spans="1:38" ht="12.6" customHeight="1" x14ac:dyDescent="0.2">
      <c r="B717" s="771" t="s">
        <v>268</v>
      </c>
      <c r="C717" s="771"/>
      <c r="D717" s="771"/>
      <c r="E717" s="771"/>
      <c r="F717" s="383"/>
      <c r="G717" s="528"/>
      <c r="H717" s="95"/>
      <c r="I717" s="95"/>
      <c r="J717" s="528"/>
      <c r="K717" s="528"/>
      <c r="L717" s="528"/>
      <c r="M717" s="528"/>
      <c r="N717" s="104"/>
      <c r="O717" s="528"/>
      <c r="P717" s="528"/>
      <c r="Q717" s="528"/>
      <c r="R717" s="528"/>
      <c r="S717" s="528"/>
      <c r="T717" s="528"/>
      <c r="U717" s="528"/>
      <c r="V717" s="250"/>
      <c r="W717" s="481"/>
      <c r="X717" s="122"/>
      <c r="Y717" s="122"/>
      <c r="Z717" s="122"/>
      <c r="AA717" s="125"/>
      <c r="AB717" s="355" t="s">
        <v>269</v>
      </c>
    </row>
    <row r="718" spans="1:38" s="1" customFormat="1" ht="12.6" customHeight="1" x14ac:dyDescent="0.2">
      <c r="A718" s="18"/>
      <c r="B718" s="473"/>
      <c r="C718" s="184"/>
      <c r="D718" s="184"/>
      <c r="E718" s="184"/>
      <c r="F718" s="106"/>
      <c r="G718" s="106"/>
      <c r="H718" s="505"/>
      <c r="I718" s="505"/>
      <c r="J718" s="60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557"/>
      <c r="Y718" s="558"/>
      <c r="Z718" s="558"/>
      <c r="AA718" s="592"/>
      <c r="AB718" s="59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73"/>
      <c r="C719" s="184"/>
      <c r="D719" s="184"/>
      <c r="E719" s="184"/>
      <c r="F719" s="106"/>
      <c r="G719" s="106"/>
      <c r="H719" s="505"/>
      <c r="I719" s="505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57"/>
      <c r="Y719" s="558"/>
      <c r="Z719" s="558"/>
      <c r="AA719" s="592"/>
      <c r="AB719" s="59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73"/>
      <c r="C720" s="184"/>
      <c r="D720" s="184"/>
      <c r="E720" s="184"/>
      <c r="F720" s="106"/>
      <c r="G720" s="106"/>
      <c r="H720" s="505"/>
      <c r="I720" s="505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557"/>
      <c r="Y720" s="558"/>
      <c r="Z720" s="558"/>
      <c r="AA720" s="592"/>
      <c r="AB720" s="59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ht="14.25" customHeight="1" x14ac:dyDescent="0.2">
      <c r="B721" s="763" t="s">
        <v>11</v>
      </c>
      <c r="C721" s="763" t="s">
        <v>12</v>
      </c>
      <c r="D721" s="764"/>
      <c r="E721" s="764"/>
      <c r="F721" s="674" t="s">
        <v>258</v>
      </c>
      <c r="G721" s="674" t="s">
        <v>13</v>
      </c>
      <c r="H721" s="670" t="s">
        <v>701</v>
      </c>
      <c r="I721" s="670"/>
      <c r="J721" s="671"/>
      <c r="K721" s="671"/>
      <c r="L721" s="671"/>
      <c r="M721" s="671"/>
      <c r="N721" s="671"/>
      <c r="O721" s="671"/>
      <c r="P721" s="671"/>
      <c r="Q721" s="671"/>
      <c r="R721" s="671"/>
      <c r="S721" s="671"/>
      <c r="T721" s="671"/>
      <c r="U721" s="671"/>
      <c r="V721" s="671"/>
      <c r="W721" s="671"/>
      <c r="X721" s="779" t="s">
        <v>14</v>
      </c>
      <c r="Y721" s="780"/>
      <c r="Z721" s="780"/>
      <c r="AA721" s="781"/>
      <c r="AB721" s="796" t="s">
        <v>15</v>
      </c>
      <c r="AF721" s="759" t="s">
        <v>3</v>
      </c>
      <c r="AG721" s="760"/>
      <c r="AH721" s="760"/>
    </row>
    <row r="722" spans="1:38" ht="12" customHeight="1" x14ac:dyDescent="0.2">
      <c r="B722" s="764"/>
      <c r="C722" s="764"/>
      <c r="D722" s="764"/>
      <c r="E722" s="764"/>
      <c r="F722" s="675"/>
      <c r="G722" s="675"/>
      <c r="H722" s="395"/>
      <c r="I722" s="396" t="s">
        <v>503</v>
      </c>
      <c r="J722" s="395"/>
      <c r="K722" s="396" t="s">
        <v>259</v>
      </c>
      <c r="L722" s="396"/>
      <c r="M722" s="396" t="s">
        <v>260</v>
      </c>
      <c r="N722" s="396"/>
      <c r="O722" s="396" t="s">
        <v>505</v>
      </c>
      <c r="P722" s="396"/>
      <c r="Q722" s="396" t="s">
        <v>17</v>
      </c>
      <c r="R722" s="396"/>
      <c r="S722" s="396" t="s">
        <v>18</v>
      </c>
      <c r="T722" s="396"/>
      <c r="U722" s="396" t="s">
        <v>19</v>
      </c>
      <c r="V722" s="396"/>
      <c r="W722" s="396" t="s">
        <v>506</v>
      </c>
      <c r="X722" s="782"/>
      <c r="Y722" s="783"/>
      <c r="Z722" s="783"/>
      <c r="AA722" s="784"/>
      <c r="AB722" s="778"/>
    </row>
    <row r="723" spans="1:38" ht="12.6" customHeight="1" x14ac:dyDescent="0.2">
      <c r="B723" s="772" t="s">
        <v>628</v>
      </c>
      <c r="C723" s="772"/>
      <c r="D723" s="772"/>
      <c r="E723" s="772"/>
      <c r="F723" s="384">
        <f>20.59*X2</f>
        <v>31708.6</v>
      </c>
      <c r="G723" s="255">
        <f>+F723*$X$1</f>
        <v>31708.6</v>
      </c>
      <c r="H723" s="520">
        <f>F723+5000</f>
        <v>36708.6</v>
      </c>
      <c r="I723" s="255">
        <f t="shared" ref="I723" si="2073">+H723*$X$1</f>
        <v>36708.6</v>
      </c>
      <c r="J723" s="520">
        <f>F723+1000</f>
        <v>32708.6</v>
      </c>
      <c r="K723" s="255">
        <f t="shared" ref="K723" si="2074">+J723*$X$1</f>
        <v>32708.6</v>
      </c>
      <c r="L723" s="520">
        <f>F723+700</f>
        <v>32408.6</v>
      </c>
      <c r="M723" s="255">
        <f t="shared" ref="M723" si="2075">+L723*$X$1</f>
        <v>32408.6</v>
      </c>
      <c r="N723" s="520">
        <f>F723+600</f>
        <v>32308.6</v>
      </c>
      <c r="O723" s="255">
        <f t="shared" ref="O723" si="2076">+N723*$X$1</f>
        <v>32308.6</v>
      </c>
      <c r="P723" s="520">
        <f>F723+500</f>
        <v>32208.6</v>
      </c>
      <c r="Q723" s="255">
        <f t="shared" ref="Q723" si="2077">+P723*$X$1</f>
        <v>32208.6</v>
      </c>
      <c r="R723" s="520">
        <f>F723+430</f>
        <v>32138.6</v>
      </c>
      <c r="S723" s="255">
        <f t="shared" ref="S723" si="2078">+R723*$X$1</f>
        <v>32138.6</v>
      </c>
      <c r="T723" s="520">
        <f>F723+370</f>
        <v>32078.6</v>
      </c>
      <c r="U723" s="255">
        <f t="shared" ref="U723" si="2079">+T723*$X$1</f>
        <v>32078.6</v>
      </c>
      <c r="V723" s="520">
        <f>F723+310</f>
        <v>32018.6</v>
      </c>
      <c r="W723" s="255">
        <f t="shared" ref="W723" si="2080">+V723*$X$1</f>
        <v>32018.6</v>
      </c>
      <c r="X723" s="380"/>
      <c r="Y723" s="124"/>
      <c r="Z723" s="122"/>
      <c r="AA723" s="125"/>
      <c r="AB723" s="355" t="s">
        <v>629</v>
      </c>
    </row>
    <row r="724" spans="1:38" ht="12.6" customHeight="1" x14ac:dyDescent="0.2">
      <c r="B724" s="771" t="s">
        <v>746</v>
      </c>
      <c r="C724" s="771"/>
      <c r="D724" s="771"/>
      <c r="E724" s="771"/>
      <c r="F724" s="385">
        <f>22.35*X2</f>
        <v>34419</v>
      </c>
      <c r="G724" s="256">
        <f>+F724*$X$1</f>
        <v>34419</v>
      </c>
      <c r="H724" s="92"/>
      <c r="I724" s="280"/>
      <c r="J724" s="92">
        <f>F724+1200</f>
        <v>35619</v>
      </c>
      <c r="K724" s="280">
        <f t="shared" ref="K724" si="2081">+J724*$X$1</f>
        <v>35619</v>
      </c>
      <c r="L724" s="92">
        <f>F724+900</f>
        <v>35319</v>
      </c>
      <c r="M724" s="280">
        <f t="shared" ref="M724" si="2082">+L724*$X$1</f>
        <v>35319</v>
      </c>
      <c r="N724" s="92">
        <f>F724+700</f>
        <v>35119</v>
      </c>
      <c r="O724" s="280">
        <f t="shared" ref="O724" si="2083">+N724*$X$1</f>
        <v>35119</v>
      </c>
      <c r="P724" s="92">
        <f>F724+620</f>
        <v>35039</v>
      </c>
      <c r="Q724" s="280">
        <f t="shared" ref="Q724" si="2084">+P724*$X$1</f>
        <v>35039</v>
      </c>
      <c r="R724" s="92"/>
      <c r="S724" s="280"/>
      <c r="T724" s="92"/>
      <c r="U724" s="280"/>
      <c r="V724" s="92"/>
      <c r="W724" s="280"/>
      <c r="X724" s="433"/>
      <c r="Y724" s="124"/>
      <c r="Z724" s="122"/>
      <c r="AA724" s="125"/>
      <c r="AB724" s="355" t="s">
        <v>745</v>
      </c>
    </row>
    <row r="725" spans="1:38" ht="12.6" customHeight="1" x14ac:dyDescent="0.2">
      <c r="B725" s="772" t="s">
        <v>630</v>
      </c>
      <c r="C725" s="772"/>
      <c r="D725" s="772"/>
      <c r="E725" s="772"/>
      <c r="F725" s="384">
        <f>38.5*X2</f>
        <v>59290</v>
      </c>
      <c r="G725" s="255">
        <f>+F725*$X$1</f>
        <v>59290</v>
      </c>
      <c r="H725" s="520">
        <f>F725+5000</f>
        <v>64290</v>
      </c>
      <c r="I725" s="255">
        <f t="shared" ref="I725" si="2085">+H725*$X$1</f>
        <v>64290</v>
      </c>
      <c r="J725" s="520">
        <f>F725+1000</f>
        <v>60290</v>
      </c>
      <c r="K725" s="255">
        <f>+J725*$X$1</f>
        <v>60290</v>
      </c>
      <c r="L725" s="520">
        <f>F725+700</f>
        <v>59990</v>
      </c>
      <c r="M725" s="255">
        <f>+L725*$X$1</f>
        <v>59990</v>
      </c>
      <c r="N725" s="520">
        <f>F725+600</f>
        <v>59890</v>
      </c>
      <c r="O725" s="255">
        <f>+N725*$X$1</f>
        <v>59890</v>
      </c>
      <c r="P725" s="520">
        <f>F725+500</f>
        <v>59790</v>
      </c>
      <c r="Q725" s="255">
        <f>+P725*$X$1</f>
        <v>59790</v>
      </c>
      <c r="R725" s="520">
        <f>F725+430</f>
        <v>59720</v>
      </c>
      <c r="S725" s="255">
        <f t="shared" ref="S725" si="2086">+R725*$X$1</f>
        <v>59720</v>
      </c>
      <c r="T725" s="520">
        <f>F725+370</f>
        <v>59660</v>
      </c>
      <c r="U725" s="255">
        <f t="shared" ref="U725" si="2087">+T725*$X$1</f>
        <v>59660</v>
      </c>
      <c r="V725" s="520">
        <f>F725+310</f>
        <v>59600</v>
      </c>
      <c r="W725" s="255">
        <f t="shared" ref="W725" si="2088">+V725*$X$1</f>
        <v>59600</v>
      </c>
      <c r="X725" s="380"/>
      <c r="Y725" s="124"/>
      <c r="Z725" s="122"/>
      <c r="AA725" s="125"/>
      <c r="AB725" s="355" t="s">
        <v>631</v>
      </c>
    </row>
    <row r="726" spans="1:38" ht="12.6" customHeight="1" x14ac:dyDescent="0.2">
      <c r="B726" s="771" t="s">
        <v>270</v>
      </c>
      <c r="C726" s="771"/>
      <c r="D726" s="771"/>
      <c r="E726" s="771"/>
      <c r="F726" s="383"/>
      <c r="G726" s="528"/>
      <c r="H726" s="95"/>
      <c r="I726" s="95"/>
      <c r="J726" s="528"/>
      <c r="K726" s="528"/>
      <c r="L726" s="528"/>
      <c r="M726" s="528"/>
      <c r="N726" s="528"/>
      <c r="O726" s="528"/>
      <c r="P726" s="104"/>
      <c r="Q726" s="528"/>
      <c r="R726" s="104"/>
      <c r="S726" s="528"/>
      <c r="T726" s="104"/>
      <c r="U726" s="528"/>
      <c r="V726" s="250"/>
      <c r="W726" s="483"/>
      <c r="X726" s="150"/>
      <c r="Y726" s="150"/>
      <c r="Z726" s="150"/>
      <c r="AA726" s="151"/>
      <c r="AB726" s="355" t="s">
        <v>271</v>
      </c>
    </row>
    <row r="727" spans="1:38" ht="12.6" customHeight="1" x14ac:dyDescent="0.2">
      <c r="B727" s="772" t="s">
        <v>272</v>
      </c>
      <c r="C727" s="772"/>
      <c r="D727" s="772"/>
      <c r="E727" s="772"/>
      <c r="F727" s="105"/>
      <c r="G727" s="520"/>
      <c r="H727" s="91"/>
      <c r="I727" s="91"/>
      <c r="J727" s="520"/>
      <c r="K727" s="520"/>
      <c r="L727" s="520"/>
      <c r="M727" s="520"/>
      <c r="N727" s="520"/>
      <c r="O727" s="520"/>
      <c r="P727" s="103"/>
      <c r="Q727" s="520"/>
      <c r="R727" s="103"/>
      <c r="S727" s="520"/>
      <c r="T727" s="103"/>
      <c r="U727" s="520"/>
      <c r="V727" s="251"/>
      <c r="W727" s="484"/>
      <c r="X727" s="150"/>
      <c r="Y727" s="150"/>
      <c r="Z727" s="150"/>
      <c r="AA727" s="151"/>
      <c r="AB727" s="355" t="s">
        <v>273</v>
      </c>
    </row>
    <row r="728" spans="1:38" ht="12.6" customHeight="1" x14ac:dyDescent="0.2">
      <c r="B728" s="771" t="s">
        <v>274</v>
      </c>
      <c r="C728" s="771"/>
      <c r="D728" s="771"/>
      <c r="E728" s="771"/>
      <c r="F728" s="383"/>
      <c r="G728" s="528"/>
      <c r="H728" s="95"/>
      <c r="I728" s="95"/>
      <c r="J728" s="528"/>
      <c r="K728" s="528"/>
      <c r="L728" s="528"/>
      <c r="M728" s="528"/>
      <c r="N728" s="528"/>
      <c r="O728" s="528"/>
      <c r="P728" s="104"/>
      <c r="Q728" s="528"/>
      <c r="R728" s="104"/>
      <c r="S728" s="528"/>
      <c r="T728" s="104"/>
      <c r="U728" s="528"/>
      <c r="V728" s="250"/>
      <c r="W728" s="483"/>
      <c r="X728" s="124"/>
      <c r="Y728" s="124"/>
      <c r="Z728" s="124"/>
      <c r="AA728" s="124"/>
      <c r="AB728" s="355" t="s">
        <v>376</v>
      </c>
    </row>
    <row r="729" spans="1:38" s="1" customFormat="1" ht="12.6" customHeight="1" x14ac:dyDescent="0.2">
      <c r="A729" s="18"/>
      <c r="B729" s="654" t="s">
        <v>180</v>
      </c>
      <c r="C729" s="655"/>
      <c r="D729" s="655"/>
      <c r="E729" s="655"/>
      <c r="F729" s="255">
        <v>5841</v>
      </c>
      <c r="G729" s="257">
        <f t="shared" ref="G729:G730" si="2089">+F729*$X$1</f>
        <v>5841</v>
      </c>
      <c r="H729" s="520"/>
      <c r="I729" s="255"/>
      <c r="J729" s="68"/>
      <c r="K729" s="255"/>
      <c r="L729" s="520"/>
      <c r="M729" s="255"/>
      <c r="N729" s="520"/>
      <c r="O729" s="255"/>
      <c r="P729" s="520">
        <f t="shared" ref="P729" si="2090">F729+400</f>
        <v>6241</v>
      </c>
      <c r="Q729" s="255">
        <f t="shared" ref="Q729" si="2091">+P729*$X$1</f>
        <v>6241</v>
      </c>
      <c r="R729" s="520">
        <f>F729+350</f>
        <v>6191</v>
      </c>
      <c r="S729" s="255">
        <f t="shared" ref="S729" si="2092">+R729*$X$1</f>
        <v>6191</v>
      </c>
      <c r="T729" s="520">
        <f>F729+320</f>
        <v>6161</v>
      </c>
      <c r="U729" s="255">
        <f t="shared" ref="U729" si="2093">+T729*$X$1</f>
        <v>6161</v>
      </c>
      <c r="V729" s="520">
        <f>F729+290</f>
        <v>6131</v>
      </c>
      <c r="W729" s="255">
        <f t="shared" ref="W729" si="2094">+V729*$X$1</f>
        <v>6131</v>
      </c>
      <c r="X729" s="660"/>
      <c r="Y729" s="621"/>
      <c r="Z729" s="621"/>
      <c r="AA729" s="622"/>
      <c r="AB729" s="178">
        <v>965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40" t="s">
        <v>181</v>
      </c>
      <c r="C730" s="641"/>
      <c r="D730" s="641"/>
      <c r="E730" s="642"/>
      <c r="F730" s="256">
        <v>8970</v>
      </c>
      <c r="G730" s="258">
        <f t="shared" si="2089"/>
        <v>8970</v>
      </c>
      <c r="H730" s="528"/>
      <c r="I730" s="256"/>
      <c r="J730" s="82"/>
      <c r="K730" s="256"/>
      <c r="L730" s="528"/>
      <c r="M730" s="256"/>
      <c r="N730" s="528"/>
      <c r="O730" s="256"/>
      <c r="P730" s="528">
        <f t="shared" ref="P730:P736" si="2095">F730+400</f>
        <v>9370</v>
      </c>
      <c r="Q730" s="256">
        <f t="shared" ref="Q730:Q736" si="2096">+P730*$X$1</f>
        <v>9370</v>
      </c>
      <c r="R730" s="528">
        <f>F730+350</f>
        <v>9320</v>
      </c>
      <c r="S730" s="256">
        <f t="shared" ref="S730:S736" si="2097">+R730*$X$1</f>
        <v>9320</v>
      </c>
      <c r="T730" s="528">
        <f>F730+320</f>
        <v>9290</v>
      </c>
      <c r="U730" s="256">
        <f t="shared" ref="U730:U736" si="2098">+T730*$X$1</f>
        <v>9290</v>
      </c>
      <c r="V730" s="528">
        <f>F730+290</f>
        <v>9260</v>
      </c>
      <c r="W730" s="256">
        <f t="shared" ref="W730:W736" si="2099">+V730*$X$1</f>
        <v>9260</v>
      </c>
      <c r="X730" s="141"/>
      <c r="Y730" s="142"/>
      <c r="Z730" s="142"/>
      <c r="AA730" s="143"/>
      <c r="AB730" s="348">
        <v>967</v>
      </c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s="1" customFormat="1" ht="12.6" customHeight="1" x14ac:dyDescent="0.2">
      <c r="A731" s="18"/>
      <c r="B731" s="657" t="s">
        <v>315</v>
      </c>
      <c r="C731" s="677"/>
      <c r="D731" s="677"/>
      <c r="E731" s="678"/>
      <c r="F731" s="255">
        <v>4980</v>
      </c>
      <c r="G731" s="257">
        <f t="shared" ref="G731" si="2100">+F731*$X$1</f>
        <v>4980</v>
      </c>
      <c r="H731" s="520"/>
      <c r="I731" s="255"/>
      <c r="J731" s="68"/>
      <c r="K731" s="255"/>
      <c r="L731" s="520"/>
      <c r="M731" s="255"/>
      <c r="N731" s="520"/>
      <c r="O731" s="255"/>
      <c r="P731" s="520">
        <f t="shared" si="2095"/>
        <v>5380</v>
      </c>
      <c r="Q731" s="255">
        <f t="shared" si="2096"/>
        <v>5380</v>
      </c>
      <c r="R731" s="520">
        <f>F731+350</f>
        <v>5330</v>
      </c>
      <c r="S731" s="255">
        <f t="shared" si="2097"/>
        <v>5330</v>
      </c>
      <c r="T731" s="520">
        <f>F731+320</f>
        <v>5300</v>
      </c>
      <c r="U731" s="255">
        <f t="shared" si="2098"/>
        <v>5300</v>
      </c>
      <c r="V731" s="520">
        <f>F731+290</f>
        <v>5270</v>
      </c>
      <c r="W731" s="255">
        <f t="shared" si="2099"/>
        <v>5270</v>
      </c>
      <c r="X731" s="660"/>
      <c r="Y731" s="621"/>
      <c r="Z731" s="621"/>
      <c r="AA731" s="622"/>
      <c r="AB731" s="348">
        <v>968</v>
      </c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s="1" customFormat="1" ht="12.6" customHeight="1" x14ac:dyDescent="0.2">
      <c r="A732" s="18"/>
      <c r="B732" s="647" t="s">
        <v>182</v>
      </c>
      <c r="C732" s="648"/>
      <c r="D732" s="648"/>
      <c r="E732" s="648"/>
      <c r="F732" s="256">
        <v>14260</v>
      </c>
      <c r="G732" s="258">
        <f t="shared" ref="G732" si="2101">+F732*$X$1</f>
        <v>14260</v>
      </c>
      <c r="H732" s="528"/>
      <c r="I732" s="256"/>
      <c r="J732" s="82"/>
      <c r="K732" s="256"/>
      <c r="L732" s="528"/>
      <c r="M732" s="256"/>
      <c r="N732" s="528"/>
      <c r="O732" s="256"/>
      <c r="P732" s="528">
        <f t="shared" si="2095"/>
        <v>14660</v>
      </c>
      <c r="Q732" s="256">
        <f t="shared" si="2096"/>
        <v>14660</v>
      </c>
      <c r="R732" s="528">
        <f>F732+350</f>
        <v>14610</v>
      </c>
      <c r="S732" s="256">
        <f t="shared" si="2097"/>
        <v>14610</v>
      </c>
      <c r="T732" s="528">
        <f>F732+320</f>
        <v>14580</v>
      </c>
      <c r="U732" s="256">
        <f t="shared" si="2098"/>
        <v>14580</v>
      </c>
      <c r="V732" s="528">
        <f>F732+290</f>
        <v>14550</v>
      </c>
      <c r="W732" s="256">
        <f t="shared" si="2099"/>
        <v>14550</v>
      </c>
      <c r="X732" s="660"/>
      <c r="Y732" s="621"/>
      <c r="Z732" s="621"/>
      <c r="AA732" s="622"/>
      <c r="AB732" s="348">
        <v>969</v>
      </c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s="1" customFormat="1" ht="12.6" customHeight="1" x14ac:dyDescent="0.2">
      <c r="A733" s="18"/>
      <c r="B733" s="657" t="s">
        <v>332</v>
      </c>
      <c r="C733" s="677"/>
      <c r="D733" s="677"/>
      <c r="E733" s="678"/>
      <c r="F733" s="255">
        <v>13090</v>
      </c>
      <c r="G733" s="257">
        <f t="shared" ref="G733" si="2102">+F733*$X$1</f>
        <v>13090</v>
      </c>
      <c r="H733" s="520"/>
      <c r="I733" s="255"/>
      <c r="J733" s="68"/>
      <c r="K733" s="255"/>
      <c r="L733" s="520"/>
      <c r="M733" s="255"/>
      <c r="N733" s="520"/>
      <c r="O733" s="255"/>
      <c r="P733" s="520">
        <f t="shared" si="2095"/>
        <v>13490</v>
      </c>
      <c r="Q733" s="255">
        <f t="shared" si="2096"/>
        <v>13490</v>
      </c>
      <c r="R733" s="520">
        <f>F733+350</f>
        <v>13440</v>
      </c>
      <c r="S733" s="255">
        <f t="shared" si="2097"/>
        <v>13440</v>
      </c>
      <c r="T733" s="520">
        <f>F733+320</f>
        <v>13410</v>
      </c>
      <c r="U733" s="255">
        <f t="shared" si="2098"/>
        <v>13410</v>
      </c>
      <c r="V733" s="520">
        <f>F733+290</f>
        <v>13380</v>
      </c>
      <c r="W733" s="255">
        <f t="shared" si="2099"/>
        <v>13380</v>
      </c>
      <c r="X733" s="199"/>
      <c r="Y733" s="201"/>
      <c r="Z733" s="201"/>
      <c r="AA733" s="200"/>
      <c r="AB733" s="348" t="s">
        <v>400</v>
      </c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s="1" customFormat="1" ht="12.6" customHeight="1" x14ac:dyDescent="0.2">
      <c r="A734" s="18"/>
      <c r="B734" s="647" t="s">
        <v>183</v>
      </c>
      <c r="C734" s="648"/>
      <c r="D734" s="648"/>
      <c r="E734" s="648"/>
      <c r="F734" s="256">
        <v>3780</v>
      </c>
      <c r="G734" s="256">
        <f t="shared" ref="G734" si="2103">+F734*$X$1</f>
        <v>3780</v>
      </c>
      <c r="H734" s="528"/>
      <c r="I734" s="256"/>
      <c r="J734" s="82"/>
      <c r="K734" s="256"/>
      <c r="L734" s="528"/>
      <c r="M734" s="256"/>
      <c r="N734" s="528"/>
      <c r="O734" s="256"/>
      <c r="P734" s="528">
        <f t="shared" si="2095"/>
        <v>4180</v>
      </c>
      <c r="Q734" s="256">
        <f t="shared" si="2096"/>
        <v>4180</v>
      </c>
      <c r="R734" s="528">
        <f>F734+350</f>
        <v>4130</v>
      </c>
      <c r="S734" s="256">
        <f t="shared" si="2097"/>
        <v>4130</v>
      </c>
      <c r="T734" s="528">
        <f>F734+320</f>
        <v>4100</v>
      </c>
      <c r="U734" s="256">
        <f t="shared" si="2098"/>
        <v>4100</v>
      </c>
      <c r="V734" s="528">
        <f>F734+290</f>
        <v>4070</v>
      </c>
      <c r="W734" s="256">
        <f t="shared" si="2099"/>
        <v>4070</v>
      </c>
      <c r="X734" s="660"/>
      <c r="Y734" s="621"/>
      <c r="Z734" s="621"/>
      <c r="AA734" s="622"/>
      <c r="AB734" s="348">
        <v>970</v>
      </c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s="1" customFormat="1" ht="12.6" customHeight="1" x14ac:dyDescent="0.2">
      <c r="A735" s="18"/>
      <c r="B735" s="654" t="s">
        <v>184</v>
      </c>
      <c r="C735" s="655"/>
      <c r="D735" s="655"/>
      <c r="E735" s="655"/>
      <c r="F735" s="255">
        <v>3900</v>
      </c>
      <c r="G735" s="255">
        <f t="shared" ref="G735" si="2104">+F735*$X$1</f>
        <v>3900</v>
      </c>
      <c r="H735" s="520"/>
      <c r="I735" s="255"/>
      <c r="J735" s="68"/>
      <c r="K735" s="255"/>
      <c r="L735" s="520"/>
      <c r="M735" s="255"/>
      <c r="N735" s="520"/>
      <c r="O735" s="255"/>
      <c r="P735" s="520">
        <f t="shared" si="2095"/>
        <v>4300</v>
      </c>
      <c r="Q735" s="255">
        <f t="shared" si="2096"/>
        <v>4300</v>
      </c>
      <c r="R735" s="520">
        <f>F735+350</f>
        <v>4250</v>
      </c>
      <c r="S735" s="255">
        <f t="shared" si="2097"/>
        <v>4250</v>
      </c>
      <c r="T735" s="520">
        <f>F735+320</f>
        <v>4220</v>
      </c>
      <c r="U735" s="255">
        <f t="shared" si="2098"/>
        <v>4220</v>
      </c>
      <c r="V735" s="520">
        <f>F735+290</f>
        <v>4190</v>
      </c>
      <c r="W735" s="255">
        <f t="shared" si="2099"/>
        <v>4190</v>
      </c>
      <c r="X735" s="660"/>
      <c r="Y735" s="621"/>
      <c r="Z735" s="621"/>
      <c r="AA735" s="622"/>
      <c r="AB735" s="348">
        <v>971</v>
      </c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s="1" customFormat="1" ht="12.6" customHeight="1" x14ac:dyDescent="0.2">
      <c r="A736" s="18"/>
      <c r="B736" s="640" t="s">
        <v>333</v>
      </c>
      <c r="C736" s="641"/>
      <c r="D736" s="641"/>
      <c r="E736" s="642"/>
      <c r="F736" s="256">
        <v>6570</v>
      </c>
      <c r="G736" s="258">
        <f t="shared" ref="G736" si="2105">+F736*$X$1</f>
        <v>6570</v>
      </c>
      <c r="H736" s="528"/>
      <c r="I736" s="256"/>
      <c r="J736" s="82"/>
      <c r="K736" s="256"/>
      <c r="L736" s="528"/>
      <c r="M736" s="256"/>
      <c r="N736" s="528"/>
      <c r="O736" s="256"/>
      <c r="P736" s="528">
        <f t="shared" si="2095"/>
        <v>6970</v>
      </c>
      <c r="Q736" s="256">
        <f t="shared" si="2096"/>
        <v>6970</v>
      </c>
      <c r="R736" s="528">
        <f>F736+350</f>
        <v>6920</v>
      </c>
      <c r="S736" s="256">
        <f t="shared" si="2097"/>
        <v>6920</v>
      </c>
      <c r="T736" s="528">
        <f>F736+320</f>
        <v>6890</v>
      </c>
      <c r="U736" s="256">
        <f t="shared" si="2098"/>
        <v>6890</v>
      </c>
      <c r="V736" s="528">
        <f>F736+290</f>
        <v>6860</v>
      </c>
      <c r="W736" s="256">
        <f t="shared" si="2099"/>
        <v>6860</v>
      </c>
      <c r="X736" s="141"/>
      <c r="Y736" s="142"/>
      <c r="Z736" s="142"/>
      <c r="AA736" s="143"/>
      <c r="AB736" s="348">
        <v>972</v>
      </c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s="1" customFormat="1" ht="12.6" customHeight="1" x14ac:dyDescent="0.2">
      <c r="A737" s="18"/>
      <c r="B737" s="654" t="s">
        <v>185</v>
      </c>
      <c r="C737" s="655"/>
      <c r="D737" s="655"/>
      <c r="E737" s="655"/>
      <c r="F737" s="520"/>
      <c r="G737" s="520"/>
      <c r="H737" s="251"/>
      <c r="I737" s="251"/>
      <c r="J737" s="68"/>
      <c r="K737" s="520"/>
      <c r="L737" s="520"/>
      <c r="M737" s="520"/>
      <c r="N737" s="520"/>
      <c r="O737" s="520"/>
      <c r="P737" s="520"/>
      <c r="Q737" s="520"/>
      <c r="R737" s="520"/>
      <c r="S737" s="520"/>
      <c r="T737" s="520"/>
      <c r="U737" s="520"/>
      <c r="V737" s="520"/>
      <c r="W737" s="520"/>
      <c r="X737" s="629"/>
      <c r="Y737" s="797"/>
      <c r="Z737" s="797"/>
      <c r="AA737" s="662"/>
      <c r="AB737" s="178">
        <v>980</v>
      </c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:38" s="1" customFormat="1" ht="12.6" customHeight="1" x14ac:dyDescent="0.2">
      <c r="A738" s="18"/>
      <c r="B738" s="647" t="s">
        <v>186</v>
      </c>
      <c r="C738" s="688"/>
      <c r="D738" s="688"/>
      <c r="E738" s="688"/>
      <c r="F738" s="92"/>
      <c r="G738" s="528"/>
      <c r="H738" s="250"/>
      <c r="I738" s="250"/>
      <c r="J738" s="82"/>
      <c r="K738" s="528"/>
      <c r="L738" s="528"/>
      <c r="M738" s="528"/>
      <c r="N738" s="528"/>
      <c r="O738" s="528"/>
      <c r="P738" s="528"/>
      <c r="Q738" s="528"/>
      <c r="R738" s="528"/>
      <c r="S738" s="528"/>
      <c r="T738" s="528"/>
      <c r="U738" s="528"/>
      <c r="V738" s="528"/>
      <c r="W738" s="528"/>
      <c r="X738" s="629"/>
      <c r="Y738" s="797"/>
      <c r="Z738" s="797"/>
      <c r="AA738" s="662"/>
      <c r="AB738" s="178">
        <v>981</v>
      </c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:38" s="1" customFormat="1" ht="12.6" customHeight="1" x14ac:dyDescent="0.2">
      <c r="A739" s="18"/>
      <c r="B739" s="657" t="s">
        <v>416</v>
      </c>
      <c r="C739" s="748"/>
      <c r="D739" s="748"/>
      <c r="E739" s="749"/>
      <c r="F739" s="93"/>
      <c r="G739" s="520"/>
      <c r="H739" s="251"/>
      <c r="I739" s="251"/>
      <c r="J739" s="68"/>
      <c r="K739" s="520"/>
      <c r="L739" s="520"/>
      <c r="M739" s="520"/>
      <c r="N739" s="520"/>
      <c r="O739" s="520"/>
      <c r="P739" s="520"/>
      <c r="Q739" s="520"/>
      <c r="R739" s="520"/>
      <c r="S739" s="520"/>
      <c r="T739" s="520"/>
      <c r="U739" s="520"/>
      <c r="V739" s="520"/>
      <c r="W739" s="520"/>
      <c r="X739" s="629"/>
      <c r="Y739" s="797"/>
      <c r="Z739" s="797"/>
      <c r="AA739" s="662"/>
      <c r="AB739" s="178">
        <v>982</v>
      </c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:38" s="1" customFormat="1" ht="12.6" customHeight="1" x14ac:dyDescent="0.2">
      <c r="A740" s="18"/>
      <c r="B740" s="647" t="s">
        <v>448</v>
      </c>
      <c r="C740" s="688"/>
      <c r="D740" s="688"/>
      <c r="E740" s="688"/>
      <c r="F740" s="528"/>
      <c r="G740" s="528"/>
      <c r="H740" s="250"/>
      <c r="I740" s="250"/>
      <c r="J740" s="82"/>
      <c r="K740" s="528"/>
      <c r="L740" s="528"/>
      <c r="M740" s="528"/>
      <c r="N740" s="528"/>
      <c r="O740" s="528"/>
      <c r="P740" s="528"/>
      <c r="Q740" s="528"/>
      <c r="R740" s="528"/>
      <c r="S740" s="528"/>
      <c r="T740" s="528"/>
      <c r="U740" s="528"/>
      <c r="V740" s="528"/>
      <c r="W740" s="528"/>
      <c r="X740" s="629"/>
      <c r="Y740" s="797"/>
      <c r="Z740" s="797"/>
      <c r="AA740" s="662"/>
      <c r="AB740" s="178">
        <v>983</v>
      </c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:38" s="1" customFormat="1" ht="12.6" customHeight="1" x14ac:dyDescent="0.2">
      <c r="A741" s="18"/>
      <c r="B741" s="654" t="s">
        <v>187</v>
      </c>
      <c r="C741" s="725"/>
      <c r="D741" s="725"/>
      <c r="E741" s="725"/>
      <c r="F741" s="520"/>
      <c r="G741" s="520"/>
      <c r="H741" s="251"/>
      <c r="I741" s="251"/>
      <c r="J741" s="68"/>
      <c r="K741" s="520"/>
      <c r="L741" s="520"/>
      <c r="M741" s="520"/>
      <c r="N741" s="520"/>
      <c r="O741" s="520"/>
      <c r="P741" s="520"/>
      <c r="Q741" s="520"/>
      <c r="R741" s="520"/>
      <c r="S741" s="520"/>
      <c r="T741" s="520"/>
      <c r="U741" s="520"/>
      <c r="V741" s="520"/>
      <c r="W741" s="520"/>
      <c r="X741" s="629"/>
      <c r="Y741" s="797"/>
      <c r="Z741" s="797"/>
      <c r="AA741" s="662"/>
      <c r="AB741" s="178">
        <v>984</v>
      </c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spans="1:38" s="1" customFormat="1" ht="12.6" customHeight="1" x14ac:dyDescent="0.2">
      <c r="A742" s="18"/>
      <c r="B742" s="710" t="s">
        <v>188</v>
      </c>
      <c r="C742" s="785"/>
      <c r="D742" s="785"/>
      <c r="E742" s="786"/>
      <c r="F742" s="92"/>
      <c r="G742" s="92"/>
      <c r="H742" s="476"/>
      <c r="I742" s="476"/>
      <c r="J742" s="83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629"/>
      <c r="Y742" s="797"/>
      <c r="Z742" s="797"/>
      <c r="AA742" s="662"/>
      <c r="AB742" s="178">
        <v>985</v>
      </c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spans="1:38" s="1" customFormat="1" ht="12.6" customHeight="1" x14ac:dyDescent="0.2">
      <c r="A743" s="18"/>
      <c r="B743" s="657" t="s">
        <v>809</v>
      </c>
      <c r="C743" s="677"/>
      <c r="D743" s="677"/>
      <c r="E743" s="678"/>
      <c r="F743" s="271">
        <f>21.75*X2</f>
        <v>33495</v>
      </c>
      <c r="G743" s="255">
        <f>+F743*$X$1</f>
        <v>33495</v>
      </c>
      <c r="H743" s="520">
        <f>F743+5000</f>
        <v>38495</v>
      </c>
      <c r="I743" s="255">
        <f t="shared" ref="I743" si="2106">+H743*$X$1</f>
        <v>38495</v>
      </c>
      <c r="J743" s="520">
        <f>F743+900</f>
        <v>34395</v>
      </c>
      <c r="K743" s="255">
        <f t="shared" ref="K743" si="2107">+J743*$X$1</f>
        <v>34395</v>
      </c>
      <c r="L743" s="520">
        <f>F743+700</f>
        <v>34195</v>
      </c>
      <c r="M743" s="255">
        <f t="shared" ref="M743" si="2108">+L743*$X$1</f>
        <v>34195</v>
      </c>
      <c r="N743" s="520">
        <f>F743+550</f>
        <v>34045</v>
      </c>
      <c r="O743" s="255">
        <f t="shared" ref="O743" si="2109">+N743*$X$1</f>
        <v>34045</v>
      </c>
      <c r="P743" s="520">
        <f t="shared" ref="P743" si="2110">F743+400</f>
        <v>33895</v>
      </c>
      <c r="Q743" s="255">
        <f t="shared" ref="Q743" si="2111">+P743*$X$1</f>
        <v>33895</v>
      </c>
      <c r="R743" s="520">
        <f>F743+350</f>
        <v>33845</v>
      </c>
      <c r="S743" s="255">
        <f t="shared" ref="S743" si="2112">+R743*$X$1</f>
        <v>33845</v>
      </c>
      <c r="T743" s="520">
        <f>F743+320</f>
        <v>33815</v>
      </c>
      <c r="U743" s="255">
        <f t="shared" ref="U743" si="2113">+T743*$X$1</f>
        <v>33815</v>
      </c>
      <c r="V743" s="520">
        <f>F743+290</f>
        <v>33785</v>
      </c>
      <c r="W743" s="255">
        <f t="shared" ref="W743" si="2114">+V743*$X$1</f>
        <v>33785</v>
      </c>
      <c r="X743" s="660"/>
      <c r="Y743" s="620"/>
      <c r="Z743" s="620"/>
      <c r="AA743" s="622"/>
      <c r="AB743" s="178">
        <v>990</v>
      </c>
      <c r="AC743" s="4"/>
      <c r="AD743" s="4"/>
      <c r="AE743" s="4"/>
      <c r="AF743" s="4"/>
      <c r="AG743" s="4"/>
      <c r="AH743" s="116"/>
      <c r="AI743" s="4"/>
      <c r="AJ743" s="4"/>
      <c r="AK743" s="4"/>
      <c r="AL743" s="4"/>
    </row>
    <row r="744" spans="1:38" s="1" customFormat="1" ht="12.6" customHeight="1" x14ac:dyDescent="0.2">
      <c r="A744" s="18"/>
      <c r="B744" s="640" t="s">
        <v>786</v>
      </c>
      <c r="C744" s="641"/>
      <c r="D744" s="641"/>
      <c r="E744" s="642"/>
      <c r="F744" s="298">
        <f>18.44*X2</f>
        <v>28397.600000000002</v>
      </c>
      <c r="G744" s="256">
        <f>+F744*$X$1</f>
        <v>28397.600000000002</v>
      </c>
      <c r="H744" s="528">
        <f>F744+5000</f>
        <v>33397.600000000006</v>
      </c>
      <c r="I744" s="256">
        <f t="shared" ref="I744" si="2115">+H744*$X$1</f>
        <v>33397.600000000006</v>
      </c>
      <c r="J744" s="528">
        <f>F744+900</f>
        <v>29297.600000000002</v>
      </c>
      <c r="K744" s="256">
        <f t="shared" ref="K744" si="2116">+J744*$X$1</f>
        <v>29297.600000000002</v>
      </c>
      <c r="L744" s="528">
        <f>F744+700</f>
        <v>29097.600000000002</v>
      </c>
      <c r="M744" s="256">
        <f t="shared" ref="M744" si="2117">+L744*$X$1</f>
        <v>29097.600000000002</v>
      </c>
      <c r="N744" s="528">
        <f>F744+550</f>
        <v>28947.600000000002</v>
      </c>
      <c r="O744" s="256">
        <f t="shared" ref="O744" si="2118">+N744*$X$1</f>
        <v>28947.600000000002</v>
      </c>
      <c r="P744" s="528">
        <f t="shared" ref="P744" si="2119">F744+400</f>
        <v>28797.600000000002</v>
      </c>
      <c r="Q744" s="256">
        <f t="shared" ref="Q744" si="2120">+P744*$X$1</f>
        <v>28797.600000000002</v>
      </c>
      <c r="R744" s="528">
        <f>F744+350</f>
        <v>28747.600000000002</v>
      </c>
      <c r="S744" s="256">
        <f t="shared" ref="S744" si="2121">+R744*$X$1</f>
        <v>28747.600000000002</v>
      </c>
      <c r="T744" s="528">
        <f>F744+320</f>
        <v>28717.600000000002</v>
      </c>
      <c r="U744" s="256">
        <f t="shared" ref="U744" si="2122">+T744*$X$1</f>
        <v>28717.600000000002</v>
      </c>
      <c r="V744" s="528">
        <f>F744+290</f>
        <v>28687.600000000002</v>
      </c>
      <c r="W744" s="256">
        <f t="shared" ref="W744" si="2123">+V744*$X$1</f>
        <v>28687.600000000002</v>
      </c>
      <c r="X744" s="660"/>
      <c r="Y744" s="620"/>
      <c r="Z744" s="620"/>
      <c r="AA744" s="622"/>
      <c r="AB744" s="178">
        <v>993</v>
      </c>
      <c r="AC744" s="4"/>
      <c r="AD744" s="4"/>
      <c r="AE744" s="4"/>
      <c r="AF744" s="4"/>
      <c r="AG744" s="4"/>
      <c r="AH744" s="116"/>
      <c r="AI744" s="4"/>
      <c r="AJ744" s="4"/>
      <c r="AK744" s="4"/>
      <c r="AL744" s="4"/>
    </row>
    <row r="745" spans="1:38" ht="12.6" customHeight="1" x14ac:dyDescent="0.2">
      <c r="B745" s="772" t="s">
        <v>632</v>
      </c>
      <c r="C745" s="772"/>
      <c r="D745" s="772"/>
      <c r="E745" s="772"/>
      <c r="F745" s="271">
        <f>27.46*X2</f>
        <v>42288.4</v>
      </c>
      <c r="G745" s="255">
        <f t="shared" ref="G745:G760" si="2124">+F745*$X$1</f>
        <v>42288.4</v>
      </c>
      <c r="H745" s="520">
        <f>F745+6000</f>
        <v>48288.4</v>
      </c>
      <c r="I745" s="255">
        <f t="shared" ref="I745" si="2125">+H745*$X$1</f>
        <v>48288.4</v>
      </c>
      <c r="J745" s="520">
        <f>F745+1500</f>
        <v>43788.4</v>
      </c>
      <c r="K745" s="255">
        <f t="shared" ref="K745" si="2126">+J745*$X$1</f>
        <v>43788.4</v>
      </c>
      <c r="L745" s="520">
        <f>F745+1200</f>
        <v>43488.4</v>
      </c>
      <c r="M745" s="255">
        <f t="shared" ref="M745:M746" si="2127">+L745*$X$1</f>
        <v>43488.4</v>
      </c>
      <c r="N745" s="520">
        <f>F745+900</f>
        <v>43188.4</v>
      </c>
      <c r="O745" s="255">
        <f t="shared" ref="O745:O746" si="2128">+N745*$X$1</f>
        <v>43188.4</v>
      </c>
      <c r="P745" s="520">
        <f>F745+750</f>
        <v>43038.400000000001</v>
      </c>
      <c r="Q745" s="255">
        <f t="shared" ref="Q745:Q746" si="2129">+P745*$X$1</f>
        <v>43038.400000000001</v>
      </c>
      <c r="R745" s="520">
        <f>F745+650</f>
        <v>42938.400000000001</v>
      </c>
      <c r="S745" s="255">
        <f t="shared" ref="S745:S750" si="2130">+R745*$X$1</f>
        <v>42938.400000000001</v>
      </c>
      <c r="T745" s="520">
        <f>F745+500</f>
        <v>42788.4</v>
      </c>
      <c r="U745" s="255">
        <f t="shared" ref="U745:U750" si="2131">+T745*$X$1</f>
        <v>42788.4</v>
      </c>
      <c r="V745" s="520">
        <f>F745+400</f>
        <v>42688.4</v>
      </c>
      <c r="W745" s="255">
        <f t="shared" ref="W745:W750" si="2132">+V745*$X$1</f>
        <v>42688.4</v>
      </c>
      <c r="X745" s="382"/>
      <c r="Y745" s="124"/>
      <c r="Z745" s="122"/>
      <c r="AA745" s="125"/>
      <c r="AB745" s="355" t="s">
        <v>633</v>
      </c>
    </row>
    <row r="746" spans="1:38" s="1" customFormat="1" ht="12.6" customHeight="1" x14ac:dyDescent="0.2">
      <c r="A746" s="18"/>
      <c r="B746" s="640" t="s">
        <v>189</v>
      </c>
      <c r="C746" s="645"/>
      <c r="D746" s="645"/>
      <c r="E746" s="646"/>
      <c r="F746" s="256">
        <v>2450</v>
      </c>
      <c r="G746" s="280">
        <f t="shared" ref="G746" si="2133">+F746*$X$1</f>
        <v>2450</v>
      </c>
      <c r="H746" s="528"/>
      <c r="I746" s="256"/>
      <c r="J746" s="528"/>
      <c r="K746" s="256"/>
      <c r="L746" s="528">
        <f>F746+700</f>
        <v>3150</v>
      </c>
      <c r="M746" s="256">
        <f t="shared" si="2127"/>
        <v>3150</v>
      </c>
      <c r="N746" s="528">
        <f>F746+550</f>
        <v>3000</v>
      </c>
      <c r="O746" s="256">
        <f t="shared" si="2128"/>
        <v>3000</v>
      </c>
      <c r="P746" s="528">
        <f t="shared" ref="P746" si="2134">F746+400</f>
        <v>2850</v>
      </c>
      <c r="Q746" s="256">
        <f t="shared" si="2129"/>
        <v>2850</v>
      </c>
      <c r="R746" s="528">
        <f>F746+350</f>
        <v>2800</v>
      </c>
      <c r="S746" s="256">
        <f t="shared" si="2130"/>
        <v>2800</v>
      </c>
      <c r="T746" s="528">
        <f>F746+320</f>
        <v>2770</v>
      </c>
      <c r="U746" s="256">
        <f t="shared" si="2131"/>
        <v>2770</v>
      </c>
      <c r="V746" s="528">
        <f>F746+290</f>
        <v>2740</v>
      </c>
      <c r="W746" s="256">
        <f t="shared" si="2132"/>
        <v>2740</v>
      </c>
      <c r="X746" s="660"/>
      <c r="Y746" s="620"/>
      <c r="Z746" s="620"/>
      <c r="AA746" s="622"/>
      <c r="AB746" s="178">
        <v>1001</v>
      </c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:38" s="1" customFormat="1" ht="12.6" customHeight="1" x14ac:dyDescent="0.2">
      <c r="A747" s="18"/>
      <c r="B747" s="657" t="s">
        <v>190</v>
      </c>
      <c r="C747" s="658"/>
      <c r="D747" s="658"/>
      <c r="E747" s="659"/>
      <c r="F747" s="270">
        <v>2450</v>
      </c>
      <c r="G747" s="255">
        <f>+F747*$X$1</f>
        <v>2450</v>
      </c>
      <c r="H747" s="614"/>
      <c r="I747" s="611"/>
      <c r="J747" s="611"/>
      <c r="K747" s="611"/>
      <c r="L747" s="520"/>
      <c r="M747" s="255"/>
      <c r="N747" s="520"/>
      <c r="O747" s="255"/>
      <c r="P747" s="520"/>
      <c r="Q747" s="255"/>
      <c r="R747" s="520">
        <f>F747+330</f>
        <v>2780</v>
      </c>
      <c r="S747" s="255">
        <f t="shared" si="2130"/>
        <v>2780</v>
      </c>
      <c r="T747" s="520">
        <f>F747+280</f>
        <v>2730</v>
      </c>
      <c r="U747" s="255">
        <f t="shared" si="2131"/>
        <v>2730</v>
      </c>
      <c r="V747" s="520">
        <f>F747+220</f>
        <v>2670</v>
      </c>
      <c r="W747" s="255">
        <f t="shared" si="2132"/>
        <v>2670</v>
      </c>
      <c r="X747" s="660"/>
      <c r="Y747" s="620"/>
      <c r="Z747" s="620"/>
      <c r="AA747" s="622"/>
      <c r="AB747" s="178">
        <v>1002</v>
      </c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:38" s="1" customFormat="1" ht="12.6" customHeight="1" x14ac:dyDescent="0.2">
      <c r="A748" s="18"/>
      <c r="B748" s="790" t="s">
        <v>559</v>
      </c>
      <c r="C748" s="791"/>
      <c r="D748" s="791"/>
      <c r="E748" s="792"/>
      <c r="F748" s="258">
        <v>2450</v>
      </c>
      <c r="G748" s="258">
        <f>+F748*$X$1</f>
        <v>2450</v>
      </c>
      <c r="H748" s="517"/>
      <c r="I748" s="610"/>
      <c r="J748" s="610"/>
      <c r="K748" s="610"/>
      <c r="L748" s="86"/>
      <c r="M748" s="258"/>
      <c r="N748" s="86"/>
      <c r="O748" s="258"/>
      <c r="P748" s="86"/>
      <c r="Q748" s="258"/>
      <c r="R748" s="86">
        <f>F748+330</f>
        <v>2780</v>
      </c>
      <c r="S748" s="258">
        <f t="shared" si="2130"/>
        <v>2780</v>
      </c>
      <c r="T748" s="86">
        <f>F748+280</f>
        <v>2730</v>
      </c>
      <c r="U748" s="258">
        <f t="shared" si="2131"/>
        <v>2730</v>
      </c>
      <c r="V748" s="86">
        <f>F748+220</f>
        <v>2670</v>
      </c>
      <c r="W748" s="258">
        <f t="shared" si="2132"/>
        <v>2670</v>
      </c>
      <c r="X748" s="660"/>
      <c r="Y748" s="620"/>
      <c r="Z748" s="620"/>
      <c r="AA748" s="622"/>
      <c r="AB748" s="178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spans="1:38" s="1" customFormat="1" ht="12.6" customHeight="1" x14ac:dyDescent="0.2">
      <c r="A749" s="18"/>
      <c r="B749" s="654" t="s">
        <v>601</v>
      </c>
      <c r="C749" s="655"/>
      <c r="D749" s="655"/>
      <c r="E749" s="655"/>
      <c r="F749" s="255">
        <v>2750</v>
      </c>
      <c r="G749" s="255">
        <f>+F749*$X$1</f>
        <v>2750</v>
      </c>
      <c r="H749" s="611"/>
      <c r="I749" s="611"/>
      <c r="J749" s="611"/>
      <c r="K749" s="611"/>
      <c r="L749" s="520"/>
      <c r="M749" s="255"/>
      <c r="N749" s="520"/>
      <c r="O749" s="255"/>
      <c r="P749" s="520"/>
      <c r="Q749" s="255"/>
      <c r="R749" s="520">
        <f>F749+330</f>
        <v>3080</v>
      </c>
      <c r="S749" s="255">
        <f t="shared" si="2130"/>
        <v>3080</v>
      </c>
      <c r="T749" s="520">
        <f>F749+280</f>
        <v>3030</v>
      </c>
      <c r="U749" s="255">
        <f t="shared" si="2131"/>
        <v>3030</v>
      </c>
      <c r="V749" s="520">
        <f>F749+220</f>
        <v>2970</v>
      </c>
      <c r="W749" s="255">
        <f t="shared" si="2132"/>
        <v>2970</v>
      </c>
      <c r="X749" s="660"/>
      <c r="Y749" s="621"/>
      <c r="Z749" s="621"/>
      <c r="AA749" s="622"/>
      <c r="AB749" s="178">
        <v>1004</v>
      </c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spans="1:38" s="1" customFormat="1" ht="12.6" customHeight="1" x14ac:dyDescent="0.2">
      <c r="A750" s="18"/>
      <c r="B750" s="647" t="s">
        <v>600</v>
      </c>
      <c r="C750" s="647"/>
      <c r="D750" s="647"/>
      <c r="E750" s="647"/>
      <c r="F750" s="256">
        <v>2750</v>
      </c>
      <c r="G750" s="256">
        <f>+F750*$X$1</f>
        <v>2750</v>
      </c>
      <c r="H750" s="609"/>
      <c r="I750" s="609"/>
      <c r="J750" s="609"/>
      <c r="K750" s="616"/>
      <c r="L750" s="528"/>
      <c r="M750" s="256"/>
      <c r="N750" s="528"/>
      <c r="O750" s="256"/>
      <c r="P750" s="528"/>
      <c r="Q750" s="256"/>
      <c r="R750" s="528">
        <f>F750+330</f>
        <v>3080</v>
      </c>
      <c r="S750" s="256">
        <f t="shared" si="2130"/>
        <v>3080</v>
      </c>
      <c r="T750" s="528">
        <f>F750+280</f>
        <v>3030</v>
      </c>
      <c r="U750" s="256">
        <f t="shared" si="2131"/>
        <v>3030</v>
      </c>
      <c r="V750" s="528">
        <f>F750+220</f>
        <v>2970</v>
      </c>
      <c r="W750" s="256">
        <f t="shared" si="2132"/>
        <v>2970</v>
      </c>
      <c r="X750" s="660"/>
      <c r="Y750" s="620"/>
      <c r="Z750" s="620"/>
      <c r="AA750" s="622"/>
      <c r="AB750" s="178">
        <v>1005</v>
      </c>
      <c r="AC750" s="4"/>
      <c r="AD750" s="4"/>
      <c r="AE750" s="4"/>
      <c r="AF750" s="4"/>
      <c r="AG750" s="4"/>
      <c r="AH750" s="116"/>
      <c r="AI750" s="4"/>
      <c r="AJ750" s="4"/>
      <c r="AK750" s="4"/>
      <c r="AL750" s="4"/>
    </row>
    <row r="751" spans="1:38" s="1" customFormat="1" ht="12.6" customHeight="1" x14ac:dyDescent="0.2">
      <c r="A751" s="18"/>
      <c r="B751" s="654" t="s">
        <v>191</v>
      </c>
      <c r="C751" s="655"/>
      <c r="D751" s="655"/>
      <c r="E751" s="655"/>
      <c r="F751" s="255"/>
      <c r="G751" s="255"/>
      <c r="H751" s="611"/>
      <c r="I751" s="611"/>
      <c r="J751" s="611"/>
      <c r="K751" s="615"/>
      <c r="L751" s="615"/>
      <c r="M751" s="615"/>
      <c r="N751" s="520"/>
      <c r="O751" s="255"/>
      <c r="P751" s="520"/>
      <c r="Q751" s="255"/>
      <c r="R751" s="520"/>
      <c r="S751" s="255"/>
      <c r="T751" s="520"/>
      <c r="U751" s="255"/>
      <c r="V751" s="520"/>
      <c r="W751" s="255"/>
      <c r="X751" s="660"/>
      <c r="Y751" s="620"/>
      <c r="Z751" s="620"/>
      <c r="AA751" s="622"/>
      <c r="AB751" s="178">
        <v>1006</v>
      </c>
      <c r="AC751" s="4"/>
      <c r="AD751" s="4"/>
      <c r="AE751" s="4"/>
      <c r="AF751" s="4"/>
      <c r="AG751" s="4"/>
      <c r="AH751" s="116"/>
      <c r="AI751" s="4"/>
      <c r="AJ751" s="4"/>
      <c r="AK751" s="4"/>
      <c r="AL751" s="4"/>
    </row>
    <row r="752" spans="1:38" s="1" customFormat="1" ht="12.6" customHeight="1" x14ac:dyDescent="0.2">
      <c r="A752" s="18"/>
      <c r="B752" s="647" t="s">
        <v>497</v>
      </c>
      <c r="C752" s="648"/>
      <c r="D752" s="648"/>
      <c r="E752" s="648"/>
      <c r="F752" s="256">
        <v>10630</v>
      </c>
      <c r="G752" s="256">
        <f>+F752*$X$1</f>
        <v>10630</v>
      </c>
      <c r="H752" s="528">
        <f>F752+5000</f>
        <v>15630</v>
      </c>
      <c r="I752" s="256">
        <f t="shared" ref="I752" si="2135">+H752*$X$1</f>
        <v>15630</v>
      </c>
      <c r="J752" s="528">
        <f>F752+900</f>
        <v>11530</v>
      </c>
      <c r="K752" s="256">
        <f t="shared" ref="K752" si="2136">+J752*$X$1</f>
        <v>11530</v>
      </c>
      <c r="L752" s="528">
        <f>F752+700</f>
        <v>11330</v>
      </c>
      <c r="M752" s="256">
        <f t="shared" ref="M752" si="2137">+L752*$X$1</f>
        <v>11330</v>
      </c>
      <c r="N752" s="528">
        <f>F752+550</f>
        <v>11180</v>
      </c>
      <c r="O752" s="256">
        <f t="shared" ref="O752:O753" si="2138">+N752*$X$1</f>
        <v>11180</v>
      </c>
      <c r="P752" s="528">
        <f t="shared" ref="P752:P753" si="2139">F752+400</f>
        <v>11030</v>
      </c>
      <c r="Q752" s="256">
        <f t="shared" ref="Q752:Q753" si="2140">+P752*$X$1</f>
        <v>11030</v>
      </c>
      <c r="R752" s="528">
        <f>F752+350</f>
        <v>10980</v>
      </c>
      <c r="S752" s="256">
        <f t="shared" ref="S752:S753" si="2141">+R752*$X$1</f>
        <v>10980</v>
      </c>
      <c r="T752" s="528">
        <f>F752+320</f>
        <v>10950</v>
      </c>
      <c r="U752" s="256">
        <f t="shared" ref="U752:U753" si="2142">+T752*$X$1</f>
        <v>10950</v>
      </c>
      <c r="V752" s="528">
        <f>F752+290</f>
        <v>10920</v>
      </c>
      <c r="W752" s="256">
        <f t="shared" ref="W752:W753" si="2143">+V752*$X$1</f>
        <v>10920</v>
      </c>
      <c r="X752" s="660"/>
      <c r="Y752" s="620"/>
      <c r="Z752" s="620"/>
      <c r="AA752" s="622"/>
      <c r="AB752" s="178">
        <v>1010</v>
      </c>
      <c r="AC752" s="4"/>
      <c r="AD752" s="4"/>
      <c r="AE752" s="4"/>
      <c r="AF752" s="4"/>
      <c r="AG752" s="4"/>
      <c r="AH752" s="116"/>
      <c r="AI752" s="4"/>
      <c r="AJ752" s="4"/>
      <c r="AK752" s="4"/>
      <c r="AL752" s="4"/>
    </row>
    <row r="753" spans="1:38" s="1" customFormat="1" ht="12.6" customHeight="1" x14ac:dyDescent="0.2">
      <c r="A753" s="18"/>
      <c r="B753" s="654" t="s">
        <v>498</v>
      </c>
      <c r="C753" s="655"/>
      <c r="D753" s="655"/>
      <c r="E753" s="655"/>
      <c r="F753" s="255">
        <v>25900</v>
      </c>
      <c r="G753" s="255">
        <f>+F753*$X$1</f>
        <v>25900</v>
      </c>
      <c r="H753" s="520">
        <f>F753+5000</f>
        <v>30900</v>
      </c>
      <c r="I753" s="255">
        <f>+H753*$X$1</f>
        <v>30900</v>
      </c>
      <c r="J753" s="520">
        <f>F753+900</f>
        <v>26800</v>
      </c>
      <c r="K753" s="255">
        <f>+J753*$X$1</f>
        <v>26800</v>
      </c>
      <c r="L753" s="520">
        <f>F753+700</f>
        <v>26600</v>
      </c>
      <c r="M753" s="255">
        <f>+L753*$X$1</f>
        <v>26600</v>
      </c>
      <c r="N753" s="520">
        <f>F753+550</f>
        <v>26450</v>
      </c>
      <c r="O753" s="255">
        <f t="shared" si="2138"/>
        <v>26450</v>
      </c>
      <c r="P753" s="520">
        <f t="shared" si="2139"/>
        <v>26300</v>
      </c>
      <c r="Q753" s="255">
        <f t="shared" si="2140"/>
        <v>26300</v>
      </c>
      <c r="R753" s="520">
        <f>F753+350</f>
        <v>26250</v>
      </c>
      <c r="S753" s="255">
        <f t="shared" si="2141"/>
        <v>26250</v>
      </c>
      <c r="T753" s="520">
        <f>F753+320</f>
        <v>26220</v>
      </c>
      <c r="U753" s="255">
        <f t="shared" si="2142"/>
        <v>26220</v>
      </c>
      <c r="V753" s="520">
        <f>F753+290</f>
        <v>26190</v>
      </c>
      <c r="W753" s="255">
        <f t="shared" si="2143"/>
        <v>26190</v>
      </c>
      <c r="X753" s="660"/>
      <c r="Y753" s="620"/>
      <c r="Z753" s="620"/>
      <c r="AA753" s="622"/>
      <c r="AB753" s="178">
        <v>1011</v>
      </c>
      <c r="AC753" s="4"/>
      <c r="AD753" s="4"/>
      <c r="AE753" s="4"/>
      <c r="AF753" s="4"/>
      <c r="AG753" s="4"/>
      <c r="AH753" s="116"/>
      <c r="AI753" s="4"/>
      <c r="AJ753" s="4"/>
      <c r="AK753" s="4"/>
      <c r="AL753" s="4"/>
    </row>
    <row r="754" spans="1:38" s="1" customFormat="1" ht="12.6" customHeight="1" x14ac:dyDescent="0.2">
      <c r="A754" s="18"/>
      <c r="B754" s="710" t="s">
        <v>810</v>
      </c>
      <c r="C754" s="711"/>
      <c r="D754" s="711"/>
      <c r="E754" s="712"/>
      <c r="F754" s="423">
        <f>9.45*X2</f>
        <v>14552.999999999998</v>
      </c>
      <c r="G754" s="280">
        <f>+F754*$X$1</f>
        <v>14552.999999999998</v>
      </c>
      <c r="H754" s="92"/>
      <c r="I754" s="256"/>
      <c r="J754" s="528">
        <f>F754+2000</f>
        <v>16553</v>
      </c>
      <c r="K754" s="256">
        <f t="shared" ref="K754:K755" si="2144">+J754*$X$1</f>
        <v>16553</v>
      </c>
      <c r="L754" s="528">
        <f>F754+1500</f>
        <v>16052.999999999998</v>
      </c>
      <c r="M754" s="256">
        <f t="shared" ref="M754:M756" si="2145">+L754*$X$1</f>
        <v>16052.999999999998</v>
      </c>
      <c r="N754" s="528">
        <f>F754+1200</f>
        <v>15752.999999999998</v>
      </c>
      <c r="O754" s="256">
        <f t="shared" ref="O754:O756" si="2146">+N754*$X$1</f>
        <v>15752.999999999998</v>
      </c>
      <c r="P754" s="528">
        <f>F754+1050</f>
        <v>15602.999999999998</v>
      </c>
      <c r="Q754" s="256">
        <f t="shared" ref="Q754:Q756" si="2147">+P754*$X$1</f>
        <v>15602.999999999998</v>
      </c>
      <c r="R754" s="528">
        <f>F754+950</f>
        <v>15502.999999999998</v>
      </c>
      <c r="S754" s="256">
        <f t="shared" ref="S754:S756" si="2148">+R754*$X$1</f>
        <v>15502.999999999998</v>
      </c>
      <c r="T754" s="528">
        <f>F754+800</f>
        <v>15352.999999999998</v>
      </c>
      <c r="U754" s="256">
        <f t="shared" ref="U754:U756" si="2149">+T754*$X$1</f>
        <v>15352.999999999998</v>
      </c>
      <c r="V754" s="528">
        <f>F754+650</f>
        <v>15202.999999999998</v>
      </c>
      <c r="W754" s="256">
        <f t="shared" ref="W754:W756" si="2150">+V754*$X$1</f>
        <v>15202.999999999998</v>
      </c>
      <c r="X754" s="660"/>
      <c r="Y754" s="620"/>
      <c r="Z754" s="620"/>
      <c r="AA754" s="622"/>
      <c r="AB754" s="178">
        <v>1020</v>
      </c>
      <c r="AC754" s="4"/>
      <c r="AD754" s="4"/>
      <c r="AE754" s="4"/>
      <c r="AF754" s="4"/>
      <c r="AG754" s="4"/>
      <c r="AH754" s="116"/>
      <c r="AI754" s="4"/>
      <c r="AJ754" s="4"/>
      <c r="AK754" s="4"/>
      <c r="AL754" s="4"/>
    </row>
    <row r="755" spans="1:38" s="1" customFormat="1" ht="12.6" customHeight="1" x14ac:dyDescent="0.2">
      <c r="A755" s="18"/>
      <c r="B755" s="626" t="s">
        <v>1067</v>
      </c>
      <c r="C755" s="627"/>
      <c r="D755" s="627"/>
      <c r="E755" s="628"/>
      <c r="F755" s="255">
        <f>31.1*X2</f>
        <v>47894</v>
      </c>
      <c r="G755" s="255">
        <f t="shared" ref="G755" si="2151">+F755*$X$1</f>
        <v>47894</v>
      </c>
      <c r="H755" s="520">
        <f>F755+6000</f>
        <v>53894</v>
      </c>
      <c r="I755" s="255">
        <f t="shared" ref="I755" si="2152">+H755*$X$1</f>
        <v>53894</v>
      </c>
      <c r="J755" s="520">
        <f>F755+3000</f>
        <v>50894</v>
      </c>
      <c r="K755" s="255">
        <f t="shared" si="2144"/>
        <v>50894</v>
      </c>
      <c r="L755" s="520">
        <f>F755+2000</f>
        <v>49894</v>
      </c>
      <c r="M755" s="255">
        <f t="shared" si="2145"/>
        <v>49894</v>
      </c>
      <c r="N755" s="520">
        <f>F755+1800</f>
        <v>49694</v>
      </c>
      <c r="O755" s="255">
        <f t="shared" si="2146"/>
        <v>49694</v>
      </c>
      <c r="P755" s="520">
        <f>F755+1600</f>
        <v>49494</v>
      </c>
      <c r="Q755" s="255">
        <f t="shared" si="2147"/>
        <v>49494</v>
      </c>
      <c r="R755" s="520">
        <f>F755+1400</f>
        <v>49294</v>
      </c>
      <c r="S755" s="255">
        <f t="shared" si="2148"/>
        <v>49294</v>
      </c>
      <c r="T755" s="520">
        <f>F755+1200</f>
        <v>49094</v>
      </c>
      <c r="U755" s="255">
        <f t="shared" si="2149"/>
        <v>49094</v>
      </c>
      <c r="V755" s="520">
        <f>F755+900</f>
        <v>48794</v>
      </c>
      <c r="W755" s="255">
        <f t="shared" si="2150"/>
        <v>48794</v>
      </c>
      <c r="X755" s="660"/>
      <c r="Y755" s="620"/>
      <c r="Z755" s="620"/>
      <c r="AA755" s="622"/>
      <c r="AB755" s="178">
        <v>10484</v>
      </c>
      <c r="AC755" s="4"/>
      <c r="AD755" s="4"/>
      <c r="AE755" s="4"/>
      <c r="AF755" s="4"/>
      <c r="AG755" s="4"/>
      <c r="AH755" s="116"/>
      <c r="AI755" s="4"/>
      <c r="AJ755" s="4"/>
      <c r="AK755" s="4"/>
      <c r="AL755" s="4"/>
    </row>
    <row r="756" spans="1:38" ht="12.6" customHeight="1" x14ac:dyDescent="0.2">
      <c r="B756" s="771" t="s">
        <v>572</v>
      </c>
      <c r="C756" s="771"/>
      <c r="D756" s="771"/>
      <c r="E756" s="771"/>
      <c r="F756" s="256">
        <f>3.04*X2</f>
        <v>4681.6000000000004</v>
      </c>
      <c r="G756" s="256">
        <f t="shared" si="2124"/>
        <v>4681.6000000000004</v>
      </c>
      <c r="H756" s="95"/>
      <c r="I756" s="95"/>
      <c r="J756" s="250"/>
      <c r="K756" s="250"/>
      <c r="L756" s="528">
        <f>F756+700</f>
        <v>5381.6</v>
      </c>
      <c r="M756" s="256">
        <f t="shared" si="2145"/>
        <v>5381.6</v>
      </c>
      <c r="N756" s="528">
        <f>F756+550</f>
        <v>5231.6000000000004</v>
      </c>
      <c r="O756" s="256">
        <f t="shared" si="2146"/>
        <v>5231.6000000000004</v>
      </c>
      <c r="P756" s="528">
        <f t="shared" ref="P756" si="2153">F756+400</f>
        <v>5081.6000000000004</v>
      </c>
      <c r="Q756" s="256">
        <f t="shared" si="2147"/>
        <v>5081.6000000000004</v>
      </c>
      <c r="R756" s="528">
        <f>F756+350</f>
        <v>5031.6000000000004</v>
      </c>
      <c r="S756" s="256">
        <f t="shared" si="2148"/>
        <v>5031.6000000000004</v>
      </c>
      <c r="T756" s="528">
        <f>F756+320</f>
        <v>5001.6000000000004</v>
      </c>
      <c r="U756" s="256">
        <f t="shared" si="2149"/>
        <v>5001.6000000000004</v>
      </c>
      <c r="V756" s="528">
        <f>F756+290</f>
        <v>4971.6000000000004</v>
      </c>
      <c r="W756" s="256">
        <f t="shared" si="2150"/>
        <v>4971.6000000000004</v>
      </c>
      <c r="X756" s="357"/>
      <c r="Y756" s="124"/>
      <c r="Z756" s="122"/>
      <c r="AA756" s="125"/>
      <c r="AB756" s="355" t="s">
        <v>573</v>
      </c>
    </row>
    <row r="757" spans="1:38" ht="12.6" customHeight="1" x14ac:dyDescent="0.2">
      <c r="B757" s="772" t="s">
        <v>437</v>
      </c>
      <c r="C757" s="772"/>
      <c r="D757" s="772"/>
      <c r="E757" s="772"/>
      <c r="F757" s="255">
        <f>3.91*X2</f>
        <v>6021.4000000000005</v>
      </c>
      <c r="G757" s="255">
        <f t="shared" si="2124"/>
        <v>6021.4000000000005</v>
      </c>
      <c r="H757" s="91"/>
      <c r="I757" s="91"/>
      <c r="J757" s="520">
        <f>F757+1000</f>
        <v>7021.4000000000005</v>
      </c>
      <c r="K757" s="255">
        <f t="shared" ref="K757:K760" si="2154">+J757*$X$1</f>
        <v>7021.4000000000005</v>
      </c>
      <c r="L757" s="520">
        <f>F757+600</f>
        <v>6621.4000000000005</v>
      </c>
      <c r="M757" s="255">
        <f t="shared" ref="M757:M760" si="2155">+L757*$X$1</f>
        <v>6621.4000000000005</v>
      </c>
      <c r="N757" s="520">
        <f>F757+380</f>
        <v>6401.4000000000005</v>
      </c>
      <c r="O757" s="255">
        <f t="shared" ref="O757:O760" si="2156">+N757*$X$1</f>
        <v>6401.4000000000005</v>
      </c>
      <c r="P757" s="520">
        <f>F757+270</f>
        <v>6291.4000000000005</v>
      </c>
      <c r="Q757" s="255">
        <f t="shared" ref="Q757:Q760" si="2157">+P757*$X$1</f>
        <v>6291.4000000000005</v>
      </c>
      <c r="R757" s="520">
        <f>F757+180</f>
        <v>6201.4000000000005</v>
      </c>
      <c r="S757" s="255">
        <f t="shared" ref="S757:S760" si="2158">+R757*$X$1</f>
        <v>6201.4000000000005</v>
      </c>
      <c r="T757" s="520">
        <f>F757+140</f>
        <v>6161.4000000000005</v>
      </c>
      <c r="U757" s="255">
        <f t="shared" ref="U757:U760" si="2159">+T757*$X$1</f>
        <v>6161.4000000000005</v>
      </c>
      <c r="V757" s="520">
        <f>F757+110</f>
        <v>6131.4000000000005</v>
      </c>
      <c r="W757" s="255">
        <f t="shared" ref="W757:W760" si="2160">+V757*$X$1</f>
        <v>6131.4000000000005</v>
      </c>
      <c r="X757" s="215"/>
      <c r="Y757" s="124"/>
      <c r="Z757" s="122"/>
      <c r="AA757" s="125"/>
      <c r="AB757" s="355" t="s">
        <v>374</v>
      </c>
    </row>
    <row r="758" spans="1:38" s="1" customFormat="1" ht="12.6" customHeight="1" x14ac:dyDescent="0.2">
      <c r="A758" s="18"/>
      <c r="B758" s="626" t="s">
        <v>913</v>
      </c>
      <c r="C758" s="627"/>
      <c r="D758" s="627"/>
      <c r="E758" s="628"/>
      <c r="F758" s="256">
        <f>12.67*X2</f>
        <v>19511.8</v>
      </c>
      <c r="G758" s="256">
        <f t="shared" ref="G758" si="2161">+F758*$X$1</f>
        <v>19511.8</v>
      </c>
      <c r="H758" s="528">
        <f>F758+5000</f>
        <v>24511.8</v>
      </c>
      <c r="I758" s="256">
        <f t="shared" ref="I758" si="2162">+H758*$X$1</f>
        <v>24511.8</v>
      </c>
      <c r="J758" s="528">
        <f>F758+900</f>
        <v>20411.8</v>
      </c>
      <c r="K758" s="256">
        <f t="shared" ref="K758" si="2163">+J758*$X$1</f>
        <v>20411.8</v>
      </c>
      <c r="L758" s="528">
        <f>F758+700</f>
        <v>20211.8</v>
      </c>
      <c r="M758" s="256">
        <f t="shared" ref="M758" si="2164">+L758*$X$1</f>
        <v>20211.8</v>
      </c>
      <c r="N758" s="528">
        <f>F758+550</f>
        <v>20061.8</v>
      </c>
      <c r="O758" s="256">
        <f t="shared" si="2156"/>
        <v>20061.8</v>
      </c>
      <c r="P758" s="528">
        <f t="shared" ref="P758:P760" si="2165">F758+400</f>
        <v>19911.8</v>
      </c>
      <c r="Q758" s="256">
        <f t="shared" si="2157"/>
        <v>19911.8</v>
      </c>
      <c r="R758" s="528">
        <f>F758+350</f>
        <v>19861.8</v>
      </c>
      <c r="S758" s="256">
        <f t="shared" si="2158"/>
        <v>19861.8</v>
      </c>
      <c r="T758" s="528">
        <f>F758+320</f>
        <v>19831.8</v>
      </c>
      <c r="U758" s="256">
        <f t="shared" si="2159"/>
        <v>19831.8</v>
      </c>
      <c r="V758" s="528">
        <f>F758+290</f>
        <v>19801.8</v>
      </c>
      <c r="W758" s="256">
        <f t="shared" si="2160"/>
        <v>19801.8</v>
      </c>
      <c r="X758" s="660"/>
      <c r="Y758" s="620"/>
      <c r="Z758" s="620"/>
      <c r="AA758" s="622"/>
      <c r="AB758" s="178">
        <v>10505</v>
      </c>
      <c r="AC758" s="4"/>
      <c r="AD758" s="4"/>
      <c r="AE758" s="4"/>
      <c r="AF758" s="4"/>
      <c r="AG758" s="4"/>
      <c r="AH758" s="116"/>
      <c r="AI758" s="4"/>
      <c r="AJ758" s="4"/>
      <c r="AK758" s="4"/>
      <c r="AL758" s="4"/>
    </row>
    <row r="759" spans="1:38" s="1" customFormat="1" ht="12.6" customHeight="1" x14ac:dyDescent="0.2">
      <c r="A759" s="18"/>
      <c r="B759" s="657" t="s">
        <v>808</v>
      </c>
      <c r="C759" s="677"/>
      <c r="D759" s="677"/>
      <c r="E759" s="678"/>
      <c r="F759" s="255">
        <f>22.49*X2</f>
        <v>34634.6</v>
      </c>
      <c r="G759" s="255">
        <f t="shared" ref="G759" si="2166">+F759*$X$1</f>
        <v>34634.6</v>
      </c>
      <c r="H759" s="520">
        <f>F759+5000</f>
        <v>39634.6</v>
      </c>
      <c r="I759" s="255">
        <f t="shared" ref="I759:I760" si="2167">+H759*$X$1</f>
        <v>39634.6</v>
      </c>
      <c r="J759" s="520">
        <f>F759+900</f>
        <v>35534.6</v>
      </c>
      <c r="K759" s="255">
        <f t="shared" si="2154"/>
        <v>35534.6</v>
      </c>
      <c r="L759" s="520">
        <f>F759+700</f>
        <v>35334.6</v>
      </c>
      <c r="M759" s="255">
        <f t="shared" si="2155"/>
        <v>35334.6</v>
      </c>
      <c r="N759" s="520">
        <f>F759+550</f>
        <v>35184.6</v>
      </c>
      <c r="O759" s="255">
        <f t="shared" si="2156"/>
        <v>35184.6</v>
      </c>
      <c r="P759" s="520">
        <f t="shared" si="2165"/>
        <v>35034.6</v>
      </c>
      <c r="Q759" s="255">
        <f t="shared" si="2157"/>
        <v>35034.6</v>
      </c>
      <c r="R759" s="520">
        <f>F759+350</f>
        <v>34984.6</v>
      </c>
      <c r="S759" s="255">
        <f t="shared" si="2158"/>
        <v>34984.6</v>
      </c>
      <c r="T759" s="520">
        <f>F759+320</f>
        <v>34954.6</v>
      </c>
      <c r="U759" s="255">
        <f t="shared" si="2159"/>
        <v>34954.6</v>
      </c>
      <c r="V759" s="520">
        <f>F759+290</f>
        <v>34924.6</v>
      </c>
      <c r="W759" s="255">
        <f t="shared" si="2160"/>
        <v>34924.6</v>
      </c>
      <c r="X759" s="660"/>
      <c r="Y759" s="620"/>
      <c r="Z759" s="620"/>
      <c r="AA759" s="622"/>
      <c r="AB759" s="178">
        <v>10506</v>
      </c>
      <c r="AC759" s="4"/>
      <c r="AD759" s="4"/>
      <c r="AE759" s="4"/>
      <c r="AF759" s="4"/>
      <c r="AG759" s="4"/>
      <c r="AH759" s="116"/>
      <c r="AI759" s="4"/>
      <c r="AJ759" s="4"/>
      <c r="AK759" s="4"/>
      <c r="AL759" s="4"/>
    </row>
    <row r="760" spans="1:38" s="1" customFormat="1" ht="12.6" customHeight="1" x14ac:dyDescent="0.2">
      <c r="A760" s="18"/>
      <c r="B760" s="640" t="s">
        <v>785</v>
      </c>
      <c r="C760" s="641"/>
      <c r="D760" s="641"/>
      <c r="E760" s="642"/>
      <c r="F760" s="256">
        <f>29.6*X2</f>
        <v>45584</v>
      </c>
      <c r="G760" s="256">
        <f t="shared" si="2124"/>
        <v>45584</v>
      </c>
      <c r="H760" s="528">
        <f>F760+5000</f>
        <v>50584</v>
      </c>
      <c r="I760" s="256">
        <f t="shared" si="2167"/>
        <v>50584</v>
      </c>
      <c r="J760" s="528">
        <f>F760+900</f>
        <v>46484</v>
      </c>
      <c r="K760" s="256">
        <f t="shared" si="2154"/>
        <v>46484</v>
      </c>
      <c r="L760" s="528">
        <f>F760+700</f>
        <v>46284</v>
      </c>
      <c r="M760" s="256">
        <f t="shared" si="2155"/>
        <v>46284</v>
      </c>
      <c r="N760" s="528">
        <f>F760+550</f>
        <v>46134</v>
      </c>
      <c r="O760" s="256">
        <f t="shared" si="2156"/>
        <v>46134</v>
      </c>
      <c r="P760" s="528">
        <f t="shared" si="2165"/>
        <v>45984</v>
      </c>
      <c r="Q760" s="256">
        <f t="shared" si="2157"/>
        <v>45984</v>
      </c>
      <c r="R760" s="528">
        <f>F760+350</f>
        <v>45934</v>
      </c>
      <c r="S760" s="256">
        <f t="shared" si="2158"/>
        <v>45934</v>
      </c>
      <c r="T760" s="528">
        <f>F760+320</f>
        <v>45904</v>
      </c>
      <c r="U760" s="256">
        <f t="shared" si="2159"/>
        <v>45904</v>
      </c>
      <c r="V760" s="528">
        <f>F760+290</f>
        <v>45874</v>
      </c>
      <c r="W760" s="256">
        <f t="shared" si="2160"/>
        <v>45874</v>
      </c>
      <c r="X760" s="660"/>
      <c r="Y760" s="620"/>
      <c r="Z760" s="620"/>
      <c r="AA760" s="622"/>
      <c r="AB760" s="178">
        <v>10507</v>
      </c>
      <c r="AC760" s="4"/>
      <c r="AD760" s="4"/>
      <c r="AE760" s="4"/>
      <c r="AF760" s="4"/>
      <c r="AG760" s="4"/>
      <c r="AH760" s="116"/>
      <c r="AI760" s="4"/>
      <c r="AJ760" s="4"/>
      <c r="AK760" s="4"/>
      <c r="AL760" s="4"/>
    </row>
    <row r="761" spans="1:38" s="1" customFormat="1" ht="12.6" customHeight="1" x14ac:dyDescent="0.2">
      <c r="A761" s="18"/>
      <c r="B761" s="626" t="s">
        <v>914</v>
      </c>
      <c r="C761" s="627"/>
      <c r="D761" s="627"/>
      <c r="E761" s="628"/>
      <c r="F761" s="255">
        <f>26.73*X2</f>
        <v>41164.199999999997</v>
      </c>
      <c r="G761" s="255">
        <f t="shared" ref="G761" si="2168">+F761*$X$1</f>
        <v>41164.199999999997</v>
      </c>
      <c r="H761" s="520">
        <f>F761+6000</f>
        <v>47164.2</v>
      </c>
      <c r="I761" s="255">
        <f t="shared" ref="I761" si="2169">+H761*$X$1</f>
        <v>47164.2</v>
      </c>
      <c r="J761" s="520">
        <f>F761+3000</f>
        <v>44164.2</v>
      </c>
      <c r="K761" s="255">
        <f t="shared" ref="K761" si="2170">+J761*$X$1</f>
        <v>44164.2</v>
      </c>
      <c r="L761" s="520">
        <f>F761+2000</f>
        <v>43164.2</v>
      </c>
      <c r="M761" s="255">
        <f t="shared" ref="M761" si="2171">+L761*$X$1</f>
        <v>43164.2</v>
      </c>
      <c r="N761" s="520">
        <f>F761+1800</f>
        <v>42964.2</v>
      </c>
      <c r="O761" s="255">
        <f t="shared" ref="O761" si="2172">+N761*$X$1</f>
        <v>42964.2</v>
      </c>
      <c r="P761" s="520">
        <f>F761+1600</f>
        <v>42764.2</v>
      </c>
      <c r="Q761" s="255">
        <f t="shared" ref="Q761" si="2173">+P761*$X$1</f>
        <v>42764.2</v>
      </c>
      <c r="R761" s="520">
        <f>F761+1400</f>
        <v>42564.2</v>
      </c>
      <c r="S761" s="255">
        <f t="shared" ref="S761" si="2174">+R761*$X$1</f>
        <v>42564.2</v>
      </c>
      <c r="T761" s="520">
        <f>F761+1200</f>
        <v>42364.2</v>
      </c>
      <c r="U761" s="255">
        <f t="shared" ref="U761" si="2175">+T761*$X$1</f>
        <v>42364.2</v>
      </c>
      <c r="V761" s="520">
        <f>F761+900</f>
        <v>42064.2</v>
      </c>
      <c r="W761" s="255">
        <f t="shared" ref="W761" si="2176">+V761*$X$1</f>
        <v>42064.2</v>
      </c>
      <c r="X761" s="660"/>
      <c r="Y761" s="620"/>
      <c r="Z761" s="620"/>
      <c r="AA761" s="622"/>
      <c r="AB761" s="178">
        <v>10508</v>
      </c>
      <c r="AC761" s="4"/>
      <c r="AD761" s="4"/>
      <c r="AE761" s="4"/>
      <c r="AF761" s="4"/>
      <c r="AG761" s="4"/>
      <c r="AH761" s="116"/>
      <c r="AI761" s="4"/>
      <c r="AJ761" s="4"/>
      <c r="AK761" s="4"/>
      <c r="AL761" s="4"/>
    </row>
    <row r="762" spans="1:38" ht="12.6" customHeight="1" x14ac:dyDescent="0.2">
      <c r="A762" s="10"/>
      <c r="B762" s="849" t="s">
        <v>275</v>
      </c>
      <c r="C762" s="849"/>
      <c r="D762" s="849"/>
      <c r="E762" s="849"/>
      <c r="F762" s="256">
        <f>35.07*X2</f>
        <v>54007.8</v>
      </c>
      <c r="G762" s="256">
        <f t="shared" ref="G762" si="2177">+F762*$X$1</f>
        <v>54007.8</v>
      </c>
      <c r="H762" s="95"/>
      <c r="I762" s="95"/>
      <c r="J762" s="82">
        <f>F762+900</f>
        <v>54907.8</v>
      </c>
      <c r="K762" s="256">
        <f>+J762*$X$1</f>
        <v>54907.8</v>
      </c>
      <c r="L762" s="528">
        <f>F762+500</f>
        <v>54507.8</v>
      </c>
      <c r="M762" s="256">
        <f t="shared" ref="M762" si="2178">+L762*$X$1</f>
        <v>54507.8</v>
      </c>
      <c r="N762" s="528">
        <f>F762+300</f>
        <v>54307.8</v>
      </c>
      <c r="O762" s="256">
        <f t="shared" ref="O762" si="2179">+N762*$X$1</f>
        <v>54307.8</v>
      </c>
      <c r="P762" s="528">
        <f>F762+190</f>
        <v>54197.8</v>
      </c>
      <c r="Q762" s="256">
        <f t="shared" ref="Q762" si="2180">+P762*$X$1</f>
        <v>54197.8</v>
      </c>
      <c r="R762" s="528">
        <f>F762+150</f>
        <v>54157.8</v>
      </c>
      <c r="S762" s="256">
        <f t="shared" ref="S762" si="2181">+R762*$X$1</f>
        <v>54157.8</v>
      </c>
      <c r="T762" s="528">
        <f>F762+120</f>
        <v>54127.8</v>
      </c>
      <c r="U762" s="256">
        <f t="shared" ref="U762" si="2182">+T762*$X$1</f>
        <v>54127.8</v>
      </c>
      <c r="V762" s="528"/>
      <c r="W762" s="256"/>
      <c r="X762" s="122"/>
      <c r="Y762" s="126"/>
      <c r="Z762" s="122"/>
      <c r="AA762" s="125"/>
      <c r="AB762" s="355" t="s">
        <v>385</v>
      </c>
    </row>
    <row r="763" spans="1:38" ht="12.6" customHeight="1" x14ac:dyDescent="0.2">
      <c r="A763" s="10"/>
      <c r="B763" s="841" t="s">
        <v>384</v>
      </c>
      <c r="C763" s="841"/>
      <c r="D763" s="841"/>
      <c r="E763" s="841"/>
      <c r="F763" s="255"/>
      <c r="G763" s="255"/>
      <c r="H763" s="91"/>
      <c r="I763" s="91"/>
      <c r="J763" s="520"/>
      <c r="K763" s="255"/>
      <c r="L763" s="520"/>
      <c r="M763" s="255"/>
      <c r="N763" s="520"/>
      <c r="O763" s="255"/>
      <c r="P763" s="520"/>
      <c r="Q763" s="255"/>
      <c r="R763" s="520"/>
      <c r="S763" s="255"/>
      <c r="T763" s="520"/>
      <c r="U763" s="255"/>
      <c r="V763" s="534"/>
      <c r="W763" s="484"/>
      <c r="X763" s="122"/>
      <c r="Y763" s="126"/>
      <c r="Z763" s="122"/>
      <c r="AA763" s="125"/>
      <c r="AB763" s="355" t="s">
        <v>276</v>
      </c>
    </row>
    <row r="764" spans="1:38" s="1" customFormat="1" ht="12.6" customHeight="1" x14ac:dyDescent="0.2">
      <c r="A764" s="18"/>
      <c r="B764" s="647" t="s">
        <v>855</v>
      </c>
      <c r="C764" s="648"/>
      <c r="D764" s="648"/>
      <c r="E764" s="648"/>
      <c r="F764" s="256">
        <v>25940</v>
      </c>
      <c r="G764" s="256">
        <f t="shared" ref="G764" si="2183">+F764*$X$1</f>
        <v>25940</v>
      </c>
      <c r="H764" s="528"/>
      <c r="I764" s="256"/>
      <c r="J764" s="82"/>
      <c r="K764" s="256"/>
      <c r="L764" s="528">
        <f>F764+600</f>
        <v>26540</v>
      </c>
      <c r="M764" s="256">
        <f t="shared" ref="M764:M765" si="2184">+L764*$X$1</f>
        <v>26540</v>
      </c>
      <c r="N764" s="528">
        <f>F764+380</f>
        <v>26320</v>
      </c>
      <c r="O764" s="256">
        <f t="shared" ref="O764:O765" si="2185">+N764*$X$1</f>
        <v>26320</v>
      </c>
      <c r="P764" s="528">
        <f>F764+270</f>
        <v>26210</v>
      </c>
      <c r="Q764" s="256">
        <f t="shared" ref="Q764:Q765" si="2186">+P764*$X$1</f>
        <v>26210</v>
      </c>
      <c r="R764" s="528">
        <f>F764+180</f>
        <v>26120</v>
      </c>
      <c r="S764" s="256">
        <f t="shared" ref="S764:S765" si="2187">+R764*$X$1</f>
        <v>26120</v>
      </c>
      <c r="T764" s="528">
        <f>F764+140</f>
        <v>26080</v>
      </c>
      <c r="U764" s="256">
        <f t="shared" ref="U764:U765" si="2188">+T764*$X$1</f>
        <v>26080</v>
      </c>
      <c r="V764" s="528">
        <f>F764+110</f>
        <v>26050</v>
      </c>
      <c r="W764" s="256">
        <f t="shared" ref="W764:W765" si="2189">+V764*$X$1</f>
        <v>26050</v>
      </c>
      <c r="X764" s="660"/>
      <c r="Y764" s="620"/>
      <c r="Z764" s="620"/>
      <c r="AA764" s="622"/>
      <c r="AB764" s="178" t="s">
        <v>733</v>
      </c>
      <c r="AC764" s="4"/>
      <c r="AD764" s="4"/>
      <c r="AE764" s="4"/>
      <c r="AF764" s="4"/>
      <c r="AG764" s="4"/>
      <c r="AH764" s="116"/>
      <c r="AI764" s="4"/>
      <c r="AJ764" s="4"/>
      <c r="AK764" s="4"/>
      <c r="AL764" s="4"/>
    </row>
    <row r="765" spans="1:38" s="1" customFormat="1" ht="12.6" customHeight="1" x14ac:dyDescent="0.2">
      <c r="A765" s="18"/>
      <c r="B765" s="654" t="s">
        <v>854</v>
      </c>
      <c r="C765" s="655"/>
      <c r="D765" s="655"/>
      <c r="E765" s="655"/>
      <c r="F765" s="255">
        <v>14073</v>
      </c>
      <c r="G765" s="255">
        <f t="shared" ref="G765" si="2190">+F765*$X$1</f>
        <v>14073</v>
      </c>
      <c r="H765" s="520"/>
      <c r="I765" s="255"/>
      <c r="J765" s="68"/>
      <c r="K765" s="255"/>
      <c r="L765" s="520">
        <f>F765+600</f>
        <v>14673</v>
      </c>
      <c r="M765" s="255">
        <f t="shared" si="2184"/>
        <v>14673</v>
      </c>
      <c r="N765" s="520">
        <f>F765+380</f>
        <v>14453</v>
      </c>
      <c r="O765" s="255">
        <f t="shared" si="2185"/>
        <v>14453</v>
      </c>
      <c r="P765" s="520">
        <f>F765+270</f>
        <v>14343</v>
      </c>
      <c r="Q765" s="255">
        <f t="shared" si="2186"/>
        <v>14343</v>
      </c>
      <c r="R765" s="520">
        <f>F765+180</f>
        <v>14253</v>
      </c>
      <c r="S765" s="255">
        <f t="shared" si="2187"/>
        <v>14253</v>
      </c>
      <c r="T765" s="520">
        <f>F765+140</f>
        <v>14213</v>
      </c>
      <c r="U765" s="255">
        <f t="shared" si="2188"/>
        <v>14213</v>
      </c>
      <c r="V765" s="520">
        <f>F765+110</f>
        <v>14183</v>
      </c>
      <c r="W765" s="255">
        <f t="shared" si="2189"/>
        <v>14183</v>
      </c>
      <c r="X765" s="660"/>
      <c r="Y765" s="620"/>
      <c r="Z765" s="620"/>
      <c r="AA765" s="622"/>
      <c r="AB765" s="178" t="s">
        <v>734</v>
      </c>
      <c r="AC765" s="4"/>
      <c r="AD765" s="4"/>
      <c r="AE765" s="4"/>
      <c r="AF765" s="4"/>
      <c r="AG765" s="4"/>
      <c r="AH765" s="116"/>
      <c r="AI765" s="4"/>
      <c r="AJ765" s="4"/>
      <c r="AK765" s="4"/>
      <c r="AL765" s="4"/>
    </row>
    <row r="766" spans="1:38" ht="12.6" customHeight="1" x14ac:dyDescent="0.2">
      <c r="A766" s="188"/>
      <c r="B766" s="771" t="s">
        <v>477</v>
      </c>
      <c r="C766" s="648"/>
      <c r="D766" s="648"/>
      <c r="E766" s="648"/>
      <c r="F766" s="256">
        <v>18624</v>
      </c>
      <c r="G766" s="256">
        <f t="shared" ref="G766" si="2191">+F766*$X$1</f>
        <v>18624</v>
      </c>
      <c r="H766" s="250"/>
      <c r="I766" s="250"/>
      <c r="J766" s="528">
        <f>F766+1000</f>
        <v>19624</v>
      </c>
      <c r="K766" s="256">
        <f t="shared" ref="K766" si="2192">+J766*$X$1</f>
        <v>19624</v>
      </c>
      <c r="L766" s="528">
        <f t="shared" ref="L766" si="2193">F766+800</f>
        <v>19424</v>
      </c>
      <c r="M766" s="256">
        <f t="shared" ref="M766:M767" si="2194">+L766*$X$1</f>
        <v>19424</v>
      </c>
      <c r="N766" s="528">
        <f t="shared" ref="N766" si="2195">F766+700</f>
        <v>19324</v>
      </c>
      <c r="O766" s="256">
        <f t="shared" ref="O766:O767" si="2196">+N766*$X$1</f>
        <v>19324</v>
      </c>
      <c r="P766" s="528">
        <f t="shared" ref="P766" si="2197">F766+600</f>
        <v>19224</v>
      </c>
      <c r="Q766" s="256">
        <f t="shared" ref="Q766:Q767" si="2198">+P766*$X$1</f>
        <v>19224</v>
      </c>
      <c r="R766" s="528">
        <f t="shared" ref="R766" si="2199">F766+500</f>
        <v>19124</v>
      </c>
      <c r="S766" s="256">
        <f t="shared" ref="S766:S767" si="2200">+R766*$X$1</f>
        <v>19124</v>
      </c>
      <c r="T766" s="528">
        <f t="shared" ref="T766" si="2201">F766+450</f>
        <v>19074</v>
      </c>
      <c r="U766" s="256">
        <f t="shared" ref="U766:U767" si="2202">+T766*$X$1</f>
        <v>19074</v>
      </c>
      <c r="V766" s="535"/>
      <c r="W766" s="256"/>
      <c r="X766" s="272"/>
      <c r="Y766" s="272"/>
      <c r="Z766" s="272"/>
      <c r="AA766" s="272"/>
      <c r="AB766" s="355" t="s">
        <v>575</v>
      </c>
    </row>
    <row r="767" spans="1:38" ht="12.6" customHeight="1" x14ac:dyDescent="0.2">
      <c r="A767" s="188"/>
      <c r="B767" s="758" t="s">
        <v>370</v>
      </c>
      <c r="C767" s="687"/>
      <c r="D767" s="687"/>
      <c r="E767" s="687"/>
      <c r="F767" s="255">
        <v>20890</v>
      </c>
      <c r="G767" s="255">
        <f t="shared" ref="G767:G772" si="2203">+F767*$X$1</f>
        <v>20890</v>
      </c>
      <c r="H767" s="251"/>
      <c r="I767" s="251"/>
      <c r="J767" s="520"/>
      <c r="K767" s="255"/>
      <c r="L767" s="520">
        <f>F767+800</f>
        <v>21690</v>
      </c>
      <c r="M767" s="255">
        <f t="shared" si="2194"/>
        <v>21690</v>
      </c>
      <c r="N767" s="520">
        <f>F767+420</f>
        <v>21310</v>
      </c>
      <c r="O767" s="255">
        <f t="shared" si="2196"/>
        <v>21310</v>
      </c>
      <c r="P767" s="520">
        <f>F767+300</f>
        <v>21190</v>
      </c>
      <c r="Q767" s="255">
        <f t="shared" si="2198"/>
        <v>21190</v>
      </c>
      <c r="R767" s="520">
        <f>F767+220</f>
        <v>21110</v>
      </c>
      <c r="S767" s="255">
        <f t="shared" si="2200"/>
        <v>21110</v>
      </c>
      <c r="T767" s="520">
        <f>F767+190</f>
        <v>21080</v>
      </c>
      <c r="U767" s="255">
        <f t="shared" si="2202"/>
        <v>21080</v>
      </c>
      <c r="V767" s="520">
        <f>F767+160</f>
        <v>21050</v>
      </c>
      <c r="W767" s="255">
        <f t="shared" ref="W767" si="2204">+V767*$X$1</f>
        <v>21050</v>
      </c>
      <c r="X767" s="139"/>
      <c r="Y767" s="139"/>
      <c r="Z767" s="139"/>
      <c r="AA767" s="139"/>
      <c r="AB767" s="355" t="s">
        <v>373</v>
      </c>
    </row>
    <row r="768" spans="1:38" ht="12.6" customHeight="1" x14ac:dyDescent="0.2">
      <c r="A768" s="188"/>
      <c r="B768" s="776" t="s">
        <v>476</v>
      </c>
      <c r="C768" s="698"/>
      <c r="D768" s="698"/>
      <c r="E768" s="698"/>
      <c r="F768" s="256">
        <v>21780</v>
      </c>
      <c r="G768" s="256">
        <f t="shared" ref="G768:G769" si="2205">+F768*$X$1</f>
        <v>21780</v>
      </c>
      <c r="H768" s="528">
        <f>F768+6000</f>
        <v>27780</v>
      </c>
      <c r="I768" s="256">
        <f t="shared" ref="I768" si="2206">+H768*$X$1</f>
        <v>27780</v>
      </c>
      <c r="J768" s="528">
        <f>F768+1500</f>
        <v>23280</v>
      </c>
      <c r="K768" s="256">
        <f t="shared" ref="K768" si="2207">+J768*$X$1</f>
        <v>23280</v>
      </c>
      <c r="L768" s="528">
        <f>F768+800</f>
        <v>22580</v>
      </c>
      <c r="M768" s="256">
        <f t="shared" ref="M768:M769" si="2208">+L768*$X$1</f>
        <v>22580</v>
      </c>
      <c r="N768" s="528">
        <f>F768+420</f>
        <v>22200</v>
      </c>
      <c r="O768" s="256">
        <f t="shared" ref="O768:O769" si="2209">+N768*$X$1</f>
        <v>22200</v>
      </c>
      <c r="P768" s="528">
        <f>F768+300</f>
        <v>22080</v>
      </c>
      <c r="Q768" s="256">
        <f t="shared" ref="Q768:Q769" si="2210">+P768*$X$1</f>
        <v>22080</v>
      </c>
      <c r="R768" s="528">
        <f>F768+220</f>
        <v>22000</v>
      </c>
      <c r="S768" s="256">
        <f t="shared" ref="S768:S769" si="2211">+R768*$X$1</f>
        <v>22000</v>
      </c>
      <c r="T768" s="528">
        <f>F768+190</f>
        <v>21970</v>
      </c>
      <c r="U768" s="256">
        <f t="shared" ref="U768:U769" si="2212">+T768*$X$1</f>
        <v>21970</v>
      </c>
      <c r="V768" s="528">
        <f>F768+160</f>
        <v>21940</v>
      </c>
      <c r="W768" s="256">
        <f t="shared" ref="W768:W769" si="2213">+V768*$X$1</f>
        <v>21940</v>
      </c>
      <c r="X768" s="272"/>
      <c r="Y768" s="272"/>
      <c r="Z768" s="272"/>
      <c r="AA768" s="272"/>
      <c r="AB768" s="355" t="s">
        <v>478</v>
      </c>
    </row>
    <row r="769" spans="1:35" ht="12.6" customHeight="1" x14ac:dyDescent="0.2">
      <c r="A769" s="188"/>
      <c r="B769" s="758" t="s">
        <v>660</v>
      </c>
      <c r="C769" s="687"/>
      <c r="D769" s="687"/>
      <c r="E769" s="687"/>
      <c r="F769" s="255">
        <v>21603</v>
      </c>
      <c r="G769" s="255">
        <f t="shared" si="2205"/>
        <v>21603</v>
      </c>
      <c r="H769" s="520">
        <f>F769+6000</f>
        <v>27603</v>
      </c>
      <c r="I769" s="255">
        <f t="shared" ref="I769" si="2214">+H769*$X$1</f>
        <v>27603</v>
      </c>
      <c r="J769" s="520">
        <f>F769+1500</f>
        <v>23103</v>
      </c>
      <c r="K769" s="255">
        <f t="shared" ref="K769:K774" si="2215">+J769*$X$1</f>
        <v>23103</v>
      </c>
      <c r="L769" s="520">
        <f>F769+800</f>
        <v>22403</v>
      </c>
      <c r="M769" s="255">
        <f t="shared" si="2208"/>
        <v>22403</v>
      </c>
      <c r="N769" s="520">
        <f>F769+420</f>
        <v>22023</v>
      </c>
      <c r="O769" s="255">
        <f t="shared" si="2209"/>
        <v>22023</v>
      </c>
      <c r="P769" s="520">
        <f>F769+300</f>
        <v>21903</v>
      </c>
      <c r="Q769" s="255">
        <f t="shared" si="2210"/>
        <v>21903</v>
      </c>
      <c r="R769" s="520">
        <f>F769+220</f>
        <v>21823</v>
      </c>
      <c r="S769" s="255">
        <f t="shared" si="2211"/>
        <v>21823</v>
      </c>
      <c r="T769" s="520">
        <f>F769+190</f>
        <v>21793</v>
      </c>
      <c r="U769" s="255">
        <f t="shared" si="2212"/>
        <v>21793</v>
      </c>
      <c r="V769" s="520">
        <f>F769+160</f>
        <v>21763</v>
      </c>
      <c r="W769" s="255">
        <f t="shared" si="2213"/>
        <v>21763</v>
      </c>
      <c r="X769" s="387"/>
      <c r="Y769" s="387"/>
      <c r="Z769" s="387"/>
      <c r="AA769" s="387"/>
      <c r="AB769" s="355" t="s">
        <v>661</v>
      </c>
    </row>
    <row r="770" spans="1:35" ht="12.6" customHeight="1" x14ac:dyDescent="0.2">
      <c r="A770" s="188"/>
      <c r="B770" s="776" t="s">
        <v>369</v>
      </c>
      <c r="C770" s="698"/>
      <c r="D770" s="698"/>
      <c r="E770" s="698"/>
      <c r="F770" s="256">
        <v>23148</v>
      </c>
      <c r="G770" s="256">
        <f t="shared" si="2203"/>
        <v>23148</v>
      </c>
      <c r="H770" s="250"/>
      <c r="I770" s="250"/>
      <c r="J770" s="92">
        <f>F770+1500</f>
        <v>24648</v>
      </c>
      <c r="K770" s="280">
        <f t="shared" si="2215"/>
        <v>24648</v>
      </c>
      <c r="L770" s="92">
        <f>F770+1000</f>
        <v>24148</v>
      </c>
      <c r="M770" s="280">
        <f t="shared" ref="M770" si="2216">+L770*$X$1</f>
        <v>24148</v>
      </c>
      <c r="N770" s="92">
        <f>F770+800</f>
        <v>23948</v>
      </c>
      <c r="O770" s="280">
        <f t="shared" ref="O770" si="2217">+N770*$X$1</f>
        <v>23948</v>
      </c>
      <c r="P770" s="92">
        <f>F770+650</f>
        <v>23798</v>
      </c>
      <c r="Q770" s="280">
        <f t="shared" ref="Q770" si="2218">+P770*$X$1</f>
        <v>23798</v>
      </c>
      <c r="R770" s="92">
        <f>F770+550</f>
        <v>23698</v>
      </c>
      <c r="S770" s="280">
        <f t="shared" ref="S770" si="2219">+R770*$X$1</f>
        <v>23698</v>
      </c>
      <c r="T770" s="92">
        <f>F770+490</f>
        <v>23638</v>
      </c>
      <c r="U770" s="280">
        <f t="shared" ref="U770" si="2220">+T770*$X$1</f>
        <v>23638</v>
      </c>
      <c r="V770" s="416"/>
      <c r="W770" s="256"/>
      <c r="X770" s="139"/>
      <c r="Y770" s="139"/>
      <c r="Z770" s="139"/>
      <c r="AA770" s="139"/>
      <c r="AB770" s="355" t="s">
        <v>372</v>
      </c>
    </row>
    <row r="771" spans="1:35" ht="12.6" customHeight="1" x14ac:dyDescent="0.2">
      <c r="A771" s="188"/>
      <c r="B771" s="758" t="s">
        <v>479</v>
      </c>
      <c r="C771" s="687"/>
      <c r="D771" s="687"/>
      <c r="E771" s="687"/>
      <c r="F771" s="321">
        <f>7.8*X2</f>
        <v>12012</v>
      </c>
      <c r="G771" s="255">
        <f t="shared" ref="G771" si="2221">+F771*$X$1</f>
        <v>12012</v>
      </c>
      <c r="H771" s="251"/>
      <c r="I771" s="251"/>
      <c r="J771" s="93">
        <f t="shared" ref="J771:J774" si="2222">F771+1500</f>
        <v>13512</v>
      </c>
      <c r="K771" s="270">
        <f t="shared" si="2215"/>
        <v>13512</v>
      </c>
      <c r="L771" s="93">
        <f t="shared" ref="L771:L774" si="2223">F771+1000</f>
        <v>13012</v>
      </c>
      <c r="M771" s="270">
        <f t="shared" ref="M771:M774" si="2224">+L771*$X$1</f>
        <v>13012</v>
      </c>
      <c r="N771" s="93">
        <f t="shared" ref="N771:N774" si="2225">F771+800</f>
        <v>12812</v>
      </c>
      <c r="O771" s="270">
        <f t="shared" ref="O771:O774" si="2226">+N771*$X$1</f>
        <v>12812</v>
      </c>
      <c r="P771" s="93">
        <f t="shared" ref="P771:P774" si="2227">F771+650</f>
        <v>12662</v>
      </c>
      <c r="Q771" s="270">
        <f t="shared" ref="Q771:Q774" si="2228">+P771*$X$1</f>
        <v>12662</v>
      </c>
      <c r="R771" s="93">
        <f t="shared" ref="R771:R774" si="2229">F771+550</f>
        <v>12562</v>
      </c>
      <c r="S771" s="270">
        <f t="shared" ref="S771:S774" si="2230">+R771*$X$1</f>
        <v>12562</v>
      </c>
      <c r="T771" s="93">
        <f t="shared" ref="T771:T774" si="2231">F771+490</f>
        <v>12502</v>
      </c>
      <c r="U771" s="270">
        <f t="shared" ref="U771:U774" si="2232">+T771*$X$1</f>
        <v>12502</v>
      </c>
      <c r="V771" s="273"/>
      <c r="W771" s="255"/>
      <c r="X771" s="274"/>
      <c r="Y771" s="274"/>
      <c r="Z771" s="274"/>
      <c r="AA771" s="274"/>
      <c r="AB771" s="355" t="s">
        <v>576</v>
      </c>
    </row>
    <row r="772" spans="1:35" ht="12.6" customHeight="1" x14ac:dyDescent="0.2">
      <c r="A772" s="188"/>
      <c r="B772" s="776" t="s">
        <v>413</v>
      </c>
      <c r="C772" s="698"/>
      <c r="D772" s="698"/>
      <c r="E772" s="698"/>
      <c r="F772" s="322">
        <f>7.8*X2</f>
        <v>12012</v>
      </c>
      <c r="G772" s="256">
        <f t="shared" si="2203"/>
        <v>12012</v>
      </c>
      <c r="H772" s="250"/>
      <c r="I772" s="250"/>
      <c r="J772" s="92">
        <f t="shared" si="2222"/>
        <v>13512</v>
      </c>
      <c r="K772" s="280">
        <f t="shared" si="2215"/>
        <v>13512</v>
      </c>
      <c r="L772" s="92">
        <f t="shared" si="2223"/>
        <v>13012</v>
      </c>
      <c r="M772" s="280">
        <f t="shared" si="2224"/>
        <v>13012</v>
      </c>
      <c r="N772" s="92">
        <f t="shared" si="2225"/>
        <v>12812</v>
      </c>
      <c r="O772" s="280">
        <f t="shared" si="2226"/>
        <v>12812</v>
      </c>
      <c r="P772" s="92">
        <f t="shared" si="2227"/>
        <v>12662</v>
      </c>
      <c r="Q772" s="280">
        <f t="shared" si="2228"/>
        <v>12662</v>
      </c>
      <c r="R772" s="92">
        <f t="shared" si="2229"/>
        <v>12562</v>
      </c>
      <c r="S772" s="280">
        <f t="shared" si="2230"/>
        <v>12562</v>
      </c>
      <c r="T772" s="92">
        <f t="shared" si="2231"/>
        <v>12502</v>
      </c>
      <c r="U772" s="280">
        <f t="shared" si="2232"/>
        <v>12502</v>
      </c>
      <c r="V772" s="528"/>
      <c r="W772" s="256"/>
      <c r="X772" s="139"/>
      <c r="Y772" s="139"/>
      <c r="Z772" s="139"/>
      <c r="AA772" s="139"/>
      <c r="AB772" s="355" t="s">
        <v>568</v>
      </c>
    </row>
    <row r="773" spans="1:35" ht="12.6" customHeight="1" x14ac:dyDescent="0.2">
      <c r="A773" s="188"/>
      <c r="B773" s="758" t="s">
        <v>579</v>
      </c>
      <c r="C773" s="687"/>
      <c r="D773" s="687"/>
      <c r="E773" s="687"/>
      <c r="F773" s="321">
        <f>15*X2</f>
        <v>23100</v>
      </c>
      <c r="G773" s="255">
        <f t="shared" ref="G773" si="2233">+F773*$X$1</f>
        <v>23100</v>
      </c>
      <c r="H773" s="251"/>
      <c r="I773" s="251"/>
      <c r="J773" s="92">
        <f t="shared" si="2222"/>
        <v>24600</v>
      </c>
      <c r="K773" s="270">
        <f t="shared" si="2215"/>
        <v>24600</v>
      </c>
      <c r="L773" s="93">
        <f t="shared" si="2223"/>
        <v>24100</v>
      </c>
      <c r="M773" s="270">
        <f t="shared" si="2224"/>
        <v>24100</v>
      </c>
      <c r="N773" s="93">
        <f t="shared" si="2225"/>
        <v>23900</v>
      </c>
      <c r="O773" s="270">
        <f t="shared" si="2226"/>
        <v>23900</v>
      </c>
      <c r="P773" s="93">
        <f t="shared" si="2227"/>
        <v>23750</v>
      </c>
      <c r="Q773" s="270">
        <f t="shared" si="2228"/>
        <v>23750</v>
      </c>
      <c r="R773" s="93">
        <f t="shared" si="2229"/>
        <v>23650</v>
      </c>
      <c r="S773" s="270">
        <f t="shared" si="2230"/>
        <v>23650</v>
      </c>
      <c r="T773" s="93">
        <f t="shared" si="2231"/>
        <v>23590</v>
      </c>
      <c r="U773" s="270">
        <f t="shared" si="2232"/>
        <v>23590</v>
      </c>
      <c r="V773" s="520"/>
      <c r="W773" s="255"/>
      <c r="X773" s="330"/>
      <c r="Y773" s="330"/>
      <c r="Z773" s="330"/>
      <c r="AA773" s="330"/>
      <c r="AB773" s="355" t="s">
        <v>569</v>
      </c>
    </row>
    <row r="774" spans="1:35" ht="12.6" customHeight="1" x14ac:dyDescent="0.2">
      <c r="A774" s="188"/>
      <c r="B774" s="776" t="s">
        <v>412</v>
      </c>
      <c r="C774" s="698"/>
      <c r="D774" s="698"/>
      <c r="E774" s="698"/>
      <c r="F774" s="322">
        <f>10.41*X2</f>
        <v>16031.4</v>
      </c>
      <c r="G774" s="256">
        <f t="shared" ref="G774" si="2234">+F774*$X$1</f>
        <v>16031.4</v>
      </c>
      <c r="H774" s="250"/>
      <c r="I774" s="250"/>
      <c r="J774" s="92">
        <f t="shared" si="2222"/>
        <v>17531.400000000001</v>
      </c>
      <c r="K774" s="280">
        <f t="shared" si="2215"/>
        <v>17531.400000000001</v>
      </c>
      <c r="L774" s="92">
        <f t="shared" si="2223"/>
        <v>17031.400000000001</v>
      </c>
      <c r="M774" s="280">
        <f t="shared" si="2224"/>
        <v>17031.400000000001</v>
      </c>
      <c r="N774" s="92">
        <f t="shared" si="2225"/>
        <v>16831.400000000001</v>
      </c>
      <c r="O774" s="280">
        <f t="shared" si="2226"/>
        <v>16831.400000000001</v>
      </c>
      <c r="P774" s="92">
        <f t="shared" si="2227"/>
        <v>16681.400000000001</v>
      </c>
      <c r="Q774" s="280">
        <f t="shared" si="2228"/>
        <v>16681.400000000001</v>
      </c>
      <c r="R774" s="92">
        <f t="shared" si="2229"/>
        <v>16581.400000000001</v>
      </c>
      <c r="S774" s="280">
        <f t="shared" si="2230"/>
        <v>16581.400000000001</v>
      </c>
      <c r="T774" s="92">
        <f t="shared" si="2231"/>
        <v>16521.400000000001</v>
      </c>
      <c r="U774" s="280">
        <f t="shared" si="2232"/>
        <v>16521.400000000001</v>
      </c>
      <c r="V774" s="528"/>
      <c r="W774" s="256"/>
      <c r="X774" s="139"/>
      <c r="Y774" s="139"/>
      <c r="Z774" s="139"/>
      <c r="AA774" s="139"/>
      <c r="AB774" s="355" t="s">
        <v>570</v>
      </c>
    </row>
    <row r="775" spans="1:35" ht="9" customHeight="1" x14ac:dyDescent="0.2">
      <c r="A775" s="188"/>
      <c r="B775" s="98"/>
      <c r="C775" s="428"/>
      <c r="D775" s="428"/>
      <c r="E775" s="428"/>
      <c r="F775" s="359"/>
      <c r="G775" s="293"/>
      <c r="H775" s="106"/>
      <c r="I775" s="293"/>
      <c r="J775" s="106"/>
      <c r="K775" s="293"/>
      <c r="L775" s="106"/>
      <c r="M775" s="293"/>
      <c r="N775" s="106"/>
      <c r="O775" s="293"/>
      <c r="P775" s="106"/>
      <c r="Q775" s="293"/>
      <c r="R775" s="106"/>
      <c r="S775" s="293"/>
      <c r="T775" s="106"/>
      <c r="U775" s="293"/>
      <c r="V775" s="71"/>
      <c r="W775" s="392"/>
      <c r="X775" s="427"/>
      <c r="Y775" s="427"/>
      <c r="Z775" s="427"/>
      <c r="AA775" s="427"/>
      <c r="AB775" s="360"/>
    </row>
    <row r="776" spans="1:35" ht="19.5" customHeight="1" x14ac:dyDescent="0.2">
      <c r="A776" s="26"/>
      <c r="B776" s="910" t="s">
        <v>277</v>
      </c>
      <c r="C776" s="911"/>
      <c r="D776" s="911"/>
      <c r="E776" s="911"/>
      <c r="F776" s="911"/>
      <c r="G776" s="911"/>
      <c r="H776" s="911"/>
      <c r="I776" s="911"/>
      <c r="J776" s="911"/>
      <c r="K776" s="911"/>
      <c r="L776" s="911"/>
      <c r="M776" s="911"/>
      <c r="N776" s="911"/>
      <c r="O776" s="911"/>
      <c r="P776" s="911"/>
      <c r="Q776" s="911"/>
      <c r="R776" s="911"/>
      <c r="S776" s="911"/>
      <c r="T776" s="911"/>
      <c r="U776" s="911"/>
      <c r="V776" s="911"/>
      <c r="W776" s="912"/>
      <c r="AF776" s="759"/>
      <c r="AG776" s="760"/>
      <c r="AH776" s="760"/>
    </row>
    <row r="777" spans="1:35" ht="12.6" customHeight="1" x14ac:dyDescent="0.2">
      <c r="A777" s="17"/>
      <c r="B777" s="960"/>
      <c r="C777" s="961"/>
      <c r="D777" s="961"/>
      <c r="E777" s="961"/>
      <c r="F777" s="961"/>
      <c r="G777" s="962"/>
      <c r="H777" s="409"/>
      <c r="I777" s="410" t="s">
        <v>260</v>
      </c>
      <c r="J777" s="410"/>
      <c r="K777" s="410" t="s">
        <v>17</v>
      </c>
      <c r="L777" s="410"/>
      <c r="M777" s="410" t="s">
        <v>18</v>
      </c>
      <c r="N777" s="410"/>
      <c r="O777" s="410" t="s">
        <v>19</v>
      </c>
      <c r="P777" s="410"/>
      <c r="Q777" s="410" t="s">
        <v>261</v>
      </c>
      <c r="R777" s="410"/>
      <c r="S777" s="410" t="s">
        <v>20</v>
      </c>
      <c r="T777" s="410"/>
      <c r="U777" s="410" t="s">
        <v>21</v>
      </c>
      <c r="V777" s="410"/>
      <c r="W777" s="410" t="s">
        <v>22</v>
      </c>
    </row>
    <row r="778" spans="1:35" ht="12.6" customHeight="1" x14ac:dyDescent="0.2">
      <c r="A778" s="956"/>
      <c r="B778" s="800" t="s">
        <v>453</v>
      </c>
      <c r="C778" s="801"/>
      <c r="D778" s="801"/>
      <c r="E778" s="801"/>
      <c r="F778" s="801"/>
      <c r="G778" s="802"/>
      <c r="H778" s="504"/>
      <c r="I778" s="601"/>
      <c r="J778" s="331"/>
      <c r="K778" s="603"/>
      <c r="L778" s="259">
        <v>150</v>
      </c>
      <c r="M778" s="603">
        <f>+L778*$X$1</f>
        <v>150</v>
      </c>
      <c r="N778" s="389">
        <v>80</v>
      </c>
      <c r="O778" s="603">
        <f>+N778*$X$1</f>
        <v>80</v>
      </c>
      <c r="P778" s="389">
        <v>65</v>
      </c>
      <c r="Q778" s="603">
        <f>+P778*$X$1</f>
        <v>65</v>
      </c>
      <c r="R778" s="389">
        <v>60</v>
      </c>
      <c r="S778" s="603">
        <f>+R778*$X$1</f>
        <v>60</v>
      </c>
      <c r="T778" s="389">
        <v>55</v>
      </c>
      <c r="U778" s="606">
        <f>+T778*$X$1</f>
        <v>55</v>
      </c>
      <c r="V778" s="389">
        <v>45</v>
      </c>
      <c r="W778" s="603">
        <f>+V778*$X$1</f>
        <v>45</v>
      </c>
    </row>
    <row r="779" spans="1:35" ht="12.6" customHeight="1" x14ac:dyDescent="0.2">
      <c r="A779" s="956"/>
      <c r="B779" s="907" t="s">
        <v>278</v>
      </c>
      <c r="C779" s="908"/>
      <c r="D779" s="908"/>
      <c r="E779" s="908"/>
      <c r="F779" s="908"/>
      <c r="G779" s="909"/>
      <c r="H779" s="505"/>
      <c r="I779" s="602"/>
      <c r="J779" s="332">
        <v>300</v>
      </c>
      <c r="K779" s="604">
        <f>+J779*$X$1</f>
        <v>300</v>
      </c>
      <c r="L779" s="333">
        <v>200</v>
      </c>
      <c r="M779" s="605">
        <f>+L779*$X$1</f>
        <v>200</v>
      </c>
      <c r="N779" s="102">
        <v>160</v>
      </c>
      <c r="O779" s="605">
        <f>+N779*$X$1</f>
        <v>160</v>
      </c>
      <c r="P779" s="102">
        <v>130</v>
      </c>
      <c r="Q779" s="605">
        <f>+P779*$X$1</f>
        <v>130</v>
      </c>
      <c r="R779" s="102">
        <v>120</v>
      </c>
      <c r="S779" s="605">
        <f>+R779*$X$1</f>
        <v>120</v>
      </c>
      <c r="T779" s="102">
        <v>110</v>
      </c>
      <c r="U779" s="605">
        <f>+T779*$X$1</f>
        <v>110</v>
      </c>
      <c r="V779" s="102">
        <v>80</v>
      </c>
      <c r="W779" s="605">
        <f>+V779*$X$1</f>
        <v>80</v>
      </c>
    </row>
    <row r="780" spans="1:35" ht="12.6" customHeight="1" x14ac:dyDescent="0.2">
      <c r="A780" s="956"/>
      <c r="B780" s="800" t="s">
        <v>454</v>
      </c>
      <c r="C780" s="801"/>
      <c r="D780" s="801"/>
      <c r="E780" s="801"/>
      <c r="F780" s="801"/>
      <c r="G780" s="802"/>
      <c r="H780" s="259"/>
      <c r="I780" s="603"/>
      <c r="J780" s="259"/>
      <c r="K780" s="603"/>
      <c r="L780" s="259">
        <v>170</v>
      </c>
      <c r="M780" s="603">
        <f>+L780*$X$1</f>
        <v>170</v>
      </c>
      <c r="N780" s="389">
        <v>110</v>
      </c>
      <c r="O780" s="603">
        <f>+N780*$X$1</f>
        <v>110</v>
      </c>
      <c r="P780" s="389">
        <v>90</v>
      </c>
      <c r="Q780" s="603">
        <f>+P780*$X$1</f>
        <v>90</v>
      </c>
      <c r="R780" s="389">
        <v>85</v>
      </c>
      <c r="S780" s="603">
        <f>+R780*$X$1</f>
        <v>85</v>
      </c>
      <c r="T780" s="389">
        <v>80</v>
      </c>
      <c r="U780" s="606">
        <f>+T780*$X$1</f>
        <v>80</v>
      </c>
      <c r="V780" s="389">
        <v>70</v>
      </c>
      <c r="W780" s="603">
        <f>+V780*$X$1</f>
        <v>70</v>
      </c>
    </row>
    <row r="781" spans="1:35" ht="12.6" customHeight="1" x14ac:dyDescent="0.2">
      <c r="A781" s="956"/>
      <c r="B781" s="803" t="s">
        <v>452</v>
      </c>
      <c r="C781" s="804"/>
      <c r="D781" s="804"/>
      <c r="E781" s="804"/>
      <c r="F781" s="804"/>
      <c r="G781" s="805"/>
      <c r="H781" s="334">
        <v>500</v>
      </c>
      <c r="I781" s="604">
        <f>+H781*$X$1</f>
        <v>500</v>
      </c>
      <c r="J781" s="334">
        <v>300</v>
      </c>
      <c r="K781" s="604">
        <f>+J781*$X$1</f>
        <v>300</v>
      </c>
      <c r="L781" s="334">
        <v>250</v>
      </c>
      <c r="M781" s="604">
        <f>+L781*$X$1</f>
        <v>250</v>
      </c>
      <c r="N781" s="499">
        <v>220</v>
      </c>
      <c r="O781" s="604">
        <f>+N781*$X$1</f>
        <v>220</v>
      </c>
      <c r="P781" s="499">
        <v>200</v>
      </c>
      <c r="Q781" s="604">
        <f>+P781*$X$1</f>
        <v>200</v>
      </c>
      <c r="R781" s="499">
        <v>180</v>
      </c>
      <c r="S781" s="604">
        <f>+R781*$X$1</f>
        <v>180</v>
      </c>
      <c r="T781" s="499">
        <v>150</v>
      </c>
      <c r="U781" s="605">
        <f>+T781*$X$1</f>
        <v>150</v>
      </c>
      <c r="V781" s="499">
        <v>130</v>
      </c>
      <c r="W781" s="604">
        <f>+V781*$X$1</f>
        <v>130</v>
      </c>
    </row>
    <row r="782" spans="1:35" ht="12.75" customHeight="1" x14ac:dyDescent="0.2">
      <c r="A782" s="956"/>
      <c r="B782" s="838" t="s">
        <v>725</v>
      </c>
      <c r="C782" s="839"/>
      <c r="D782" s="839"/>
      <c r="E782" s="839"/>
      <c r="F782" s="839"/>
      <c r="G782" s="839"/>
      <c r="H782" s="839"/>
      <c r="I782" s="839"/>
      <c r="J782" s="839"/>
      <c r="K782" s="839"/>
      <c r="L782" s="839"/>
      <c r="M782" s="839"/>
      <c r="N782" s="839"/>
      <c r="O782" s="839"/>
      <c r="P782" s="839"/>
      <c r="Q782" s="839"/>
      <c r="R782" s="839"/>
      <c r="S782" s="839"/>
      <c r="T782" s="839"/>
      <c r="U782" s="839"/>
      <c r="V782" s="839"/>
      <c r="W782" s="840"/>
    </row>
    <row r="783" spans="1:35" ht="13.5" customHeight="1" x14ac:dyDescent="0.2">
      <c r="A783" s="956"/>
      <c r="B783" s="826" t="s">
        <v>516</v>
      </c>
      <c r="C783" s="827"/>
      <c r="D783" s="827"/>
      <c r="E783" s="827"/>
      <c r="F783" s="827"/>
      <c r="G783" s="828"/>
      <c r="H783" s="810"/>
      <c r="I783" s="798" t="s">
        <v>260</v>
      </c>
      <c r="J783" s="810"/>
      <c r="K783" s="798" t="s">
        <v>17</v>
      </c>
      <c r="L783" s="798"/>
      <c r="M783" s="798" t="s">
        <v>18</v>
      </c>
      <c r="N783" s="798"/>
      <c r="O783" s="798" t="s">
        <v>19</v>
      </c>
      <c r="P783" s="798"/>
      <c r="Q783" s="798" t="s">
        <v>261</v>
      </c>
      <c r="R783" s="798"/>
      <c r="S783" s="798" t="s">
        <v>20</v>
      </c>
      <c r="T783" s="798"/>
      <c r="U783" s="798" t="s">
        <v>21</v>
      </c>
      <c r="V783" s="798"/>
      <c r="W783" s="798" t="s">
        <v>22</v>
      </c>
    </row>
    <row r="784" spans="1:35" ht="11.25" customHeight="1" x14ac:dyDescent="0.2">
      <c r="A784" s="956"/>
      <c r="B784" s="829"/>
      <c r="C784" s="830"/>
      <c r="D784" s="830"/>
      <c r="E784" s="830"/>
      <c r="F784" s="830"/>
      <c r="G784" s="831"/>
      <c r="H784" s="811"/>
      <c r="I784" s="799"/>
      <c r="J784" s="811"/>
      <c r="K784" s="799"/>
      <c r="L784" s="806"/>
      <c r="M784" s="806"/>
      <c r="N784" s="806"/>
      <c r="O784" s="806"/>
      <c r="P784" s="806"/>
      <c r="Q784" s="806"/>
      <c r="R784" s="806"/>
      <c r="S784" s="806"/>
      <c r="T784" s="806"/>
      <c r="U784" s="806"/>
      <c r="V784" s="806"/>
      <c r="W784" s="806"/>
      <c r="AB784" s="56"/>
      <c r="AC784" s="56"/>
      <c r="AD784" s="56"/>
      <c r="AE784" s="56"/>
      <c r="AF784" s="56"/>
      <c r="AG784" s="56"/>
      <c r="AH784" s="56"/>
      <c r="AI784" s="56"/>
    </row>
    <row r="785" spans="1:28" ht="12.6" customHeight="1" x14ac:dyDescent="0.2">
      <c r="A785" s="956"/>
      <c r="B785" s="812" t="s">
        <v>514</v>
      </c>
      <c r="C785" s="813"/>
      <c r="D785" s="813"/>
      <c r="E785" s="813"/>
      <c r="F785" s="813"/>
      <c r="G785" s="814"/>
      <c r="H785" s="82">
        <v>840</v>
      </c>
      <c r="I785" s="269">
        <f>+H785*$X$1</f>
        <v>840</v>
      </c>
      <c r="J785" s="82">
        <v>720</v>
      </c>
      <c r="K785" s="269">
        <f>+J785*$X$1</f>
        <v>720</v>
      </c>
      <c r="L785" s="389">
        <v>580</v>
      </c>
      <c r="M785" s="256">
        <f>+L785*$X$1</f>
        <v>580</v>
      </c>
      <c r="N785" s="389">
        <v>530</v>
      </c>
      <c r="O785" s="256">
        <f>+N785*$X$1</f>
        <v>530</v>
      </c>
      <c r="P785" s="389">
        <v>460</v>
      </c>
      <c r="Q785" s="256">
        <f>+P785*$X$1</f>
        <v>460</v>
      </c>
      <c r="R785" s="389">
        <v>430</v>
      </c>
      <c r="S785" s="256">
        <f>+R785*$X$1</f>
        <v>430</v>
      </c>
      <c r="T785" s="389">
        <v>410</v>
      </c>
      <c r="U785" s="256">
        <f>+T785*$X$1</f>
        <v>410</v>
      </c>
      <c r="V785" s="389">
        <v>390</v>
      </c>
      <c r="W785" s="256">
        <f>+V785*$X$1</f>
        <v>390</v>
      </c>
    </row>
    <row r="786" spans="1:28" ht="12.6" customHeight="1" x14ac:dyDescent="0.2">
      <c r="A786" s="956"/>
      <c r="B786" s="957" t="s">
        <v>511</v>
      </c>
      <c r="C786" s="958"/>
      <c r="D786" s="958"/>
      <c r="E786" s="958"/>
      <c r="F786" s="958"/>
      <c r="G786" s="959"/>
      <c r="H786" s="68">
        <v>900</v>
      </c>
      <c r="I786" s="234">
        <f>+H786*$X$1</f>
        <v>900</v>
      </c>
      <c r="J786" s="68">
        <v>780</v>
      </c>
      <c r="K786" s="234">
        <f>+J786*$X$1</f>
        <v>780</v>
      </c>
      <c r="L786" s="499">
        <v>720</v>
      </c>
      <c r="M786" s="255">
        <f>+L786*$X$1</f>
        <v>720</v>
      </c>
      <c r="N786" s="499">
        <v>650</v>
      </c>
      <c r="O786" s="255">
        <f>+N786*$X$1</f>
        <v>650</v>
      </c>
      <c r="P786" s="499">
        <v>620</v>
      </c>
      <c r="Q786" s="255">
        <f>+P786*$X$1</f>
        <v>620</v>
      </c>
      <c r="R786" s="499">
        <v>600</v>
      </c>
      <c r="S786" s="255">
        <f>+R786*$X$1</f>
        <v>600</v>
      </c>
      <c r="T786" s="499">
        <v>580</v>
      </c>
      <c r="U786" s="255">
        <f>+T786*$X$1</f>
        <v>580</v>
      </c>
      <c r="V786" s="499">
        <v>540</v>
      </c>
      <c r="W786" s="255">
        <f>+V786*$X$1</f>
        <v>540</v>
      </c>
    </row>
    <row r="787" spans="1:28" ht="12.6" customHeight="1" x14ac:dyDescent="0.2">
      <c r="A787" s="956"/>
      <c r="B787" s="812" t="s">
        <v>513</v>
      </c>
      <c r="C787" s="813"/>
      <c r="D787" s="813"/>
      <c r="E787" s="813"/>
      <c r="F787" s="813"/>
      <c r="G787" s="814"/>
      <c r="H787" s="82">
        <v>1200</v>
      </c>
      <c r="I787" s="269">
        <f>+H787*$X$1</f>
        <v>1200</v>
      </c>
      <c r="J787" s="82">
        <v>1100</v>
      </c>
      <c r="K787" s="269">
        <f>+J787*$X$1</f>
        <v>1100</v>
      </c>
      <c r="L787" s="389">
        <v>1000</v>
      </c>
      <c r="M787" s="256">
        <f>+L787*$X$1</f>
        <v>1000</v>
      </c>
      <c r="N787" s="389">
        <v>910</v>
      </c>
      <c r="O787" s="256">
        <f>+N787*$X$1</f>
        <v>910</v>
      </c>
      <c r="P787" s="389">
        <v>880</v>
      </c>
      <c r="Q787" s="256">
        <f>+P787*$X$1</f>
        <v>880</v>
      </c>
      <c r="R787" s="389">
        <v>850</v>
      </c>
      <c r="S787" s="256">
        <f>+R787*$X$1</f>
        <v>850</v>
      </c>
      <c r="T787" s="389">
        <v>810</v>
      </c>
      <c r="U787" s="256">
        <f>+T787*$X$1</f>
        <v>810</v>
      </c>
      <c r="V787" s="389">
        <v>780</v>
      </c>
      <c r="W787" s="256">
        <f>+V787*$X$1</f>
        <v>780</v>
      </c>
    </row>
    <row r="788" spans="1:28" ht="12.6" customHeight="1" x14ac:dyDescent="0.2">
      <c r="A788" s="956"/>
      <c r="B788" s="957" t="s">
        <v>512</v>
      </c>
      <c r="C788" s="958"/>
      <c r="D788" s="958"/>
      <c r="E788" s="958"/>
      <c r="F788" s="958"/>
      <c r="G788" s="959"/>
      <c r="H788" s="68">
        <v>1600</v>
      </c>
      <c r="I788" s="599">
        <f>+H788*$X$1</f>
        <v>1600</v>
      </c>
      <c r="J788" s="68">
        <v>1400</v>
      </c>
      <c r="K788" s="600">
        <f>+J788*$X$1</f>
        <v>1400</v>
      </c>
      <c r="L788" s="499">
        <v>1300</v>
      </c>
      <c r="M788" s="255">
        <f>+L788*$X$1</f>
        <v>1300</v>
      </c>
      <c r="N788" s="499">
        <v>1250</v>
      </c>
      <c r="O788" s="255">
        <f>+N788*$X$1</f>
        <v>1250</v>
      </c>
      <c r="P788" s="499">
        <v>1200</v>
      </c>
      <c r="Q788" s="255">
        <f>+P788*$X$1</f>
        <v>1200</v>
      </c>
      <c r="R788" s="499">
        <v>1160</v>
      </c>
      <c r="S788" s="255">
        <f>+R788*$X$1</f>
        <v>1160</v>
      </c>
      <c r="T788" s="499">
        <v>1130</v>
      </c>
      <c r="U788" s="255">
        <f>+T788*$X$1</f>
        <v>1130</v>
      </c>
      <c r="V788" s="499">
        <v>1100</v>
      </c>
      <c r="W788" s="255">
        <f>+V788*$X$1</f>
        <v>1100</v>
      </c>
    </row>
    <row r="789" spans="1:28" ht="9" customHeight="1" x14ac:dyDescent="0.2">
      <c r="A789" s="188"/>
      <c r="B789" s="189"/>
      <c r="C789" s="189"/>
      <c r="D789" s="189"/>
      <c r="E789" s="189"/>
      <c r="F789" s="190"/>
      <c r="G789" s="190"/>
      <c r="H789" s="71"/>
      <c r="I789" s="191"/>
      <c r="J789" s="191"/>
      <c r="K789" s="191"/>
      <c r="L789" s="191"/>
      <c r="M789" s="191"/>
      <c r="N789" s="191"/>
      <c r="O789" s="191"/>
      <c r="P789" s="191"/>
      <c r="Q789" s="191"/>
      <c r="R789" s="191"/>
      <c r="S789" s="191"/>
      <c r="T789" s="191"/>
      <c r="U789" s="191"/>
      <c r="V789" s="71"/>
      <c r="W789" s="183"/>
      <c r="X789" s="182"/>
      <c r="Y789" s="182"/>
      <c r="Z789" s="182"/>
      <c r="AA789" s="182"/>
      <c r="AB789" s="192"/>
    </row>
    <row r="790" spans="1:28" ht="17.25" customHeight="1" x14ac:dyDescent="0.2">
      <c r="B790" s="847" t="s">
        <v>458</v>
      </c>
      <c r="C790" s="848"/>
      <c r="D790" s="848"/>
      <c r="E790" s="848"/>
      <c r="F790" s="848"/>
      <c r="G790" s="848"/>
      <c r="H790" s="848"/>
      <c r="I790" s="848"/>
      <c r="J790" s="848"/>
      <c r="K790" s="66" t="s">
        <v>455</v>
      </c>
      <c r="L790" s="67">
        <v>42</v>
      </c>
      <c r="M790" s="312">
        <f>+L790*$X$1</f>
        <v>42</v>
      </c>
      <c r="N790" s="65"/>
      <c r="O790" s="66" t="s">
        <v>456</v>
      </c>
      <c r="P790" s="67">
        <v>39</v>
      </c>
      <c r="Q790" s="312">
        <f>+P790*$X$1</f>
        <v>39</v>
      </c>
      <c r="R790" s="43"/>
      <c r="S790" s="43"/>
      <c r="T790" s="43"/>
      <c r="U790" s="43"/>
      <c r="V790" s="43"/>
      <c r="W790" s="43"/>
    </row>
    <row r="791" spans="1:28" ht="10.5" customHeight="1" x14ac:dyDescent="0.2">
      <c r="B791" s="46"/>
      <c r="C791" s="159"/>
      <c r="D791" s="159"/>
      <c r="E791" s="159"/>
      <c r="F791" s="159"/>
      <c r="G791" s="159"/>
      <c r="H791" s="159"/>
      <c r="I791" s="159"/>
      <c r="J791" s="159"/>
      <c r="K791" s="47"/>
      <c r="L791" s="48"/>
      <c r="M791" s="49"/>
      <c r="N791" s="43"/>
      <c r="O791" s="47"/>
      <c r="P791" s="48"/>
      <c r="Q791" s="49"/>
      <c r="R791" s="43"/>
      <c r="S791" s="43"/>
      <c r="T791" s="43"/>
      <c r="U791" s="43"/>
      <c r="V791" s="43"/>
      <c r="W791" s="43"/>
    </row>
    <row r="792" spans="1:28" x14ac:dyDescent="0.2">
      <c r="B792" s="3"/>
      <c r="C792" s="845" t="s">
        <v>279</v>
      </c>
      <c r="D792" s="846"/>
      <c r="E792" s="846"/>
      <c r="F792" s="846"/>
      <c r="G792" s="846"/>
      <c r="H792" s="846"/>
      <c r="I792" s="846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1:28" ht="12.6" customHeight="1" x14ac:dyDescent="0.2">
      <c r="B793" s="3"/>
      <c r="C793" s="904" t="s">
        <v>280</v>
      </c>
      <c r="D793" s="905"/>
      <c r="E793" s="905"/>
      <c r="F793" s="905"/>
      <c r="G793" s="906"/>
      <c r="H793" s="361"/>
      <c r="I793" s="358"/>
      <c r="J793" s="4"/>
      <c r="K793" s="4"/>
      <c r="L793" s="34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1:28" ht="12.6" customHeight="1" x14ac:dyDescent="0.2">
      <c r="B794" s="3"/>
      <c r="C794" s="842" t="s">
        <v>281</v>
      </c>
      <c r="D794" s="843"/>
      <c r="E794" s="843"/>
      <c r="F794" s="843"/>
      <c r="G794" s="844"/>
      <c r="H794" s="38"/>
      <c r="I794" s="362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1:28" ht="12.6" customHeight="1" x14ac:dyDescent="0.2">
      <c r="B795" s="3"/>
      <c r="C795" s="842" t="s">
        <v>282</v>
      </c>
      <c r="D795" s="843"/>
      <c r="E795" s="843"/>
      <c r="F795" s="843"/>
      <c r="G795" s="844"/>
      <c r="H795" s="40"/>
      <c r="I795" s="311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1:28" ht="15.95" customHeight="1" x14ac:dyDescent="0.2">
      <c r="B796" s="3"/>
      <c r="C796" s="850" t="s">
        <v>509</v>
      </c>
      <c r="D796" s="827"/>
      <c r="E796" s="827"/>
      <c r="F796" s="827"/>
      <c r="G796" s="827"/>
      <c r="H796" s="851"/>
      <c r="I796" s="852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1:28" ht="15.75" customHeight="1" x14ac:dyDescent="0.2">
      <c r="B797" s="3"/>
      <c r="C797" s="829"/>
      <c r="D797" s="830"/>
      <c r="E797" s="830"/>
      <c r="F797" s="830"/>
      <c r="G797" s="830"/>
      <c r="H797" s="853"/>
      <c r="I797" s="85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1:28" ht="10.5" customHeight="1" x14ac:dyDescent="0.2">
      <c r="B798" s="4"/>
      <c r="C798" s="45"/>
      <c r="D798" s="45"/>
      <c r="E798" s="45"/>
      <c r="F798" s="45"/>
      <c r="G798" s="45"/>
      <c r="H798" s="39"/>
      <c r="I798" s="299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1:28" ht="10.5" customHeight="1" thickBot="1" x14ac:dyDescent="0.25">
      <c r="B799" s="4"/>
      <c r="C799" s="45"/>
      <c r="D799" s="45"/>
      <c r="E799" s="45"/>
      <c r="F799" s="45"/>
      <c r="G799" s="45"/>
      <c r="H799" s="39"/>
      <c r="I799" s="299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1:28" ht="13.5" customHeight="1" x14ac:dyDescent="0.2">
      <c r="B800" s="817" t="s">
        <v>955</v>
      </c>
      <c r="C800" s="818"/>
      <c r="D800" s="818"/>
      <c r="E800" s="818"/>
      <c r="F800" s="818"/>
      <c r="G800" s="818"/>
      <c r="H800" s="818"/>
      <c r="I800" s="818"/>
      <c r="J800" s="818"/>
      <c r="K800" s="818"/>
      <c r="L800" s="818"/>
      <c r="M800" s="818"/>
      <c r="N800" s="818"/>
      <c r="O800" s="818"/>
      <c r="P800" s="818"/>
      <c r="Q800" s="818"/>
      <c r="R800" s="818"/>
      <c r="S800" s="818"/>
      <c r="T800" s="818"/>
      <c r="U800" s="818"/>
      <c r="V800" s="818"/>
      <c r="W800" s="819"/>
    </row>
    <row r="801" spans="2:34" ht="13.5" customHeight="1" x14ac:dyDescent="0.2">
      <c r="B801" s="820"/>
      <c r="C801" s="821"/>
      <c r="D801" s="821"/>
      <c r="E801" s="821"/>
      <c r="F801" s="821"/>
      <c r="G801" s="821"/>
      <c r="H801" s="821"/>
      <c r="I801" s="821"/>
      <c r="J801" s="821"/>
      <c r="K801" s="821"/>
      <c r="L801" s="821"/>
      <c r="M801" s="821"/>
      <c r="N801" s="821"/>
      <c r="O801" s="821"/>
      <c r="P801" s="821"/>
      <c r="Q801" s="821"/>
      <c r="R801" s="821"/>
      <c r="S801" s="821"/>
      <c r="T801" s="821"/>
      <c r="U801" s="821"/>
      <c r="V801" s="821"/>
      <c r="W801" s="822"/>
    </row>
    <row r="802" spans="2:34" ht="13.5" customHeight="1" thickBot="1" x14ac:dyDescent="0.25">
      <c r="B802" s="823"/>
      <c r="C802" s="824"/>
      <c r="D802" s="824"/>
      <c r="E802" s="824"/>
      <c r="F802" s="824"/>
      <c r="G802" s="824"/>
      <c r="H802" s="824"/>
      <c r="I802" s="824"/>
      <c r="J802" s="824"/>
      <c r="K802" s="824"/>
      <c r="L802" s="824"/>
      <c r="M802" s="824"/>
      <c r="N802" s="824"/>
      <c r="O802" s="824"/>
      <c r="P802" s="824"/>
      <c r="Q802" s="824"/>
      <c r="R802" s="824"/>
      <c r="S802" s="824"/>
      <c r="T802" s="824"/>
      <c r="U802" s="824"/>
      <c r="V802" s="824"/>
      <c r="W802" s="825"/>
    </row>
    <row r="803" spans="2:34" ht="9" customHeight="1" x14ac:dyDescent="0.2">
      <c r="B803" s="4"/>
      <c r="C803" s="37"/>
      <c r="D803" s="37"/>
      <c r="E803" s="37"/>
      <c r="F803" s="37"/>
      <c r="G803" s="37"/>
      <c r="H803" s="39"/>
      <c r="I803" s="39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34" ht="23.25" customHeight="1" x14ac:dyDescent="0.2">
      <c r="B804" s="3"/>
      <c r="C804" s="832" t="s">
        <v>577</v>
      </c>
      <c r="D804" s="833"/>
      <c r="E804" s="833"/>
      <c r="F804" s="833"/>
      <c r="G804" s="833"/>
      <c r="H804" s="833"/>
      <c r="I804" s="834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AF804" s="759" t="s">
        <v>3</v>
      </c>
      <c r="AG804" s="760"/>
      <c r="AH804" s="760"/>
    </row>
    <row r="805" spans="2:34" ht="12.95" customHeight="1" x14ac:dyDescent="0.2">
      <c r="B805" s="3"/>
      <c r="C805" s="855"/>
      <c r="D805" s="856"/>
      <c r="E805" s="856"/>
      <c r="F805" s="856"/>
      <c r="G805" s="856"/>
      <c r="H805" s="856"/>
      <c r="I805" s="857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34" ht="12.95" customHeight="1" x14ac:dyDescent="0.2">
      <c r="B806" s="3"/>
      <c r="C806" s="858"/>
      <c r="D806" s="859"/>
      <c r="E806" s="859"/>
      <c r="F806" s="859"/>
      <c r="G806" s="859"/>
      <c r="H806" s="859"/>
      <c r="I806" s="860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34" ht="12.95" customHeight="1" x14ac:dyDescent="0.2">
      <c r="B807" s="3"/>
      <c r="C807" s="858"/>
      <c r="D807" s="859"/>
      <c r="E807" s="859"/>
      <c r="F807" s="859"/>
      <c r="G807" s="859"/>
      <c r="H807" s="859"/>
      <c r="I807" s="860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34" ht="12.95" customHeight="1" x14ac:dyDescent="0.2">
      <c r="B808" s="3"/>
      <c r="C808" s="858"/>
      <c r="D808" s="859"/>
      <c r="E808" s="859"/>
      <c r="F808" s="859"/>
      <c r="G808" s="859"/>
      <c r="H808" s="859"/>
      <c r="I808" s="860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34" ht="12.95" customHeight="1" x14ac:dyDescent="0.2">
      <c r="B809" s="3"/>
      <c r="C809" s="858"/>
      <c r="D809" s="859"/>
      <c r="E809" s="859"/>
      <c r="F809" s="859"/>
      <c r="G809" s="859"/>
      <c r="H809" s="859"/>
      <c r="I809" s="860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34" ht="12.95" customHeight="1" x14ac:dyDescent="0.2">
      <c r="B810" s="3"/>
      <c r="C810" s="858"/>
      <c r="D810" s="859"/>
      <c r="E810" s="859"/>
      <c r="F810" s="859"/>
      <c r="G810" s="859"/>
      <c r="H810" s="859"/>
      <c r="I810" s="860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34" ht="10.5" customHeight="1" x14ac:dyDescent="0.2">
      <c r="B811" s="3"/>
      <c r="C811" s="861"/>
      <c r="D811" s="862"/>
      <c r="E811" s="862"/>
      <c r="F811" s="862"/>
      <c r="G811" s="862"/>
      <c r="H811" s="862"/>
      <c r="I811" s="86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34" ht="12.6" customHeight="1" x14ac:dyDescent="0.2">
      <c r="B812" s="3"/>
      <c r="C812" s="835" t="s">
        <v>365</v>
      </c>
      <c r="D812" s="835"/>
      <c r="E812" s="836"/>
      <c r="F812" s="836"/>
      <c r="G812" s="837"/>
      <c r="H812" s="40">
        <v>1800</v>
      </c>
      <c r="I812" s="313">
        <f>+H812*$X$1</f>
        <v>1800</v>
      </c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34" ht="12.6" customHeight="1" x14ac:dyDescent="0.2">
      <c r="B813" s="3"/>
      <c r="C813" s="835" t="s">
        <v>578</v>
      </c>
      <c r="D813" s="835"/>
      <c r="E813" s="836"/>
      <c r="F813" s="836"/>
      <c r="G813" s="837"/>
      <c r="H813" s="40">
        <v>1650</v>
      </c>
      <c r="I813" s="313">
        <f>+H813*$X$1</f>
        <v>1650</v>
      </c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34" ht="9.75" customHeight="1" x14ac:dyDescent="0.2">
      <c r="B814" s="3"/>
      <c r="C814" s="44"/>
      <c r="D814" s="42"/>
      <c r="E814" s="42"/>
      <c r="F814" s="42"/>
      <c r="G814" s="37"/>
      <c r="H814" s="39"/>
      <c r="I814" s="39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34" ht="15" customHeight="1" x14ac:dyDescent="0.2">
      <c r="B815" s="869" t="s">
        <v>510</v>
      </c>
      <c r="C815" s="870"/>
      <c r="D815" s="870"/>
      <c r="E815" s="870"/>
      <c r="F815" s="870"/>
      <c r="G815" s="870"/>
      <c r="H815" s="870"/>
      <c r="I815" s="870"/>
      <c r="J815" s="870"/>
      <c r="K815" s="870"/>
      <c r="L815" s="870"/>
      <c r="M815" s="870"/>
      <c r="N815" s="870"/>
      <c r="O815" s="870"/>
      <c r="P815" s="870"/>
      <c r="Q815" s="870"/>
      <c r="R815" s="870"/>
      <c r="S815" s="870"/>
      <c r="T815" s="870"/>
      <c r="U815" s="870"/>
      <c r="V815" s="870"/>
      <c r="W815" s="871"/>
    </row>
    <row r="816" spans="2:34" ht="9.75" customHeight="1" x14ac:dyDescent="0.2">
      <c r="B816" s="24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</row>
    <row r="817" spans="2:34" ht="15" customHeight="1" x14ac:dyDescent="0.2">
      <c r="B817" s="867" t="s">
        <v>283</v>
      </c>
      <c r="C817" s="868"/>
      <c r="D817" s="868"/>
      <c r="E817" s="868"/>
      <c r="F817" s="868"/>
      <c r="G817" s="868"/>
      <c r="H817" s="868"/>
      <c r="I817" s="868"/>
      <c r="J817" s="868"/>
      <c r="K817" s="868"/>
      <c r="L817" s="868"/>
      <c r="M817" s="868"/>
      <c r="N817" s="868"/>
      <c r="O817" s="868"/>
      <c r="P817" s="868"/>
      <c r="Q817" s="868"/>
      <c r="R817" s="868"/>
      <c r="S817" s="868"/>
      <c r="T817" s="868"/>
      <c r="U817" s="868"/>
      <c r="V817" s="868"/>
      <c r="W817" s="868"/>
    </row>
    <row r="818" spans="2:34" ht="15" customHeight="1" x14ac:dyDescent="0.2">
      <c r="B818" s="867" t="s">
        <v>284</v>
      </c>
      <c r="C818" s="868"/>
      <c r="D818" s="868"/>
      <c r="E818" s="868"/>
      <c r="F818" s="868"/>
      <c r="G818" s="868"/>
      <c r="H818" s="868"/>
      <c r="I818" s="868"/>
      <c r="J818" s="868"/>
      <c r="K818" s="868"/>
      <c r="L818" s="868"/>
      <c r="M818" s="868"/>
      <c r="N818" s="868"/>
      <c r="O818" s="868"/>
      <c r="P818" s="868"/>
      <c r="Q818" s="868"/>
      <c r="R818" s="868"/>
      <c r="S818" s="868"/>
      <c r="T818" s="868"/>
      <c r="U818" s="868"/>
      <c r="V818" s="868"/>
      <c r="W818" s="868"/>
      <c r="AF818" s="759"/>
      <c r="AG818" s="760"/>
      <c r="AH818" s="760"/>
    </row>
    <row r="819" spans="2:34" ht="15" customHeight="1" x14ac:dyDescent="0.2">
      <c r="B819" s="867" t="s">
        <v>285</v>
      </c>
      <c r="C819" s="868"/>
      <c r="D819" s="868"/>
      <c r="E819" s="868"/>
      <c r="F819" s="868"/>
      <c r="G819" s="868"/>
      <c r="H819" s="868"/>
      <c r="I819" s="868"/>
      <c r="J819" s="868"/>
      <c r="K819" s="868"/>
      <c r="L819" s="868"/>
      <c r="M819" s="868"/>
      <c r="N819" s="868"/>
      <c r="O819" s="868"/>
      <c r="P819" s="868"/>
      <c r="Q819" s="868"/>
      <c r="R819" s="868"/>
      <c r="S819" s="868"/>
      <c r="T819" s="868"/>
      <c r="U819" s="868"/>
      <c r="V819" s="868"/>
      <c r="W819" s="868"/>
    </row>
    <row r="820" spans="2:34" ht="9.75" customHeight="1" x14ac:dyDescent="0.2">
      <c r="B820" s="11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2:34" ht="9.75" customHeight="1" x14ac:dyDescent="0.2">
      <c r="B821" s="11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2:34" ht="18" customHeight="1" thickBot="1" x14ac:dyDescent="0.25">
      <c r="B822" s="901" t="s">
        <v>286</v>
      </c>
      <c r="C822" s="902"/>
      <c r="D822" s="902"/>
      <c r="E822" s="902"/>
      <c r="F822" s="902"/>
      <c r="G822" s="902"/>
      <c r="H822" s="902"/>
      <c r="I822" s="902"/>
      <c r="J822" s="902"/>
      <c r="K822" s="902"/>
      <c r="L822" s="902"/>
      <c r="M822" s="902"/>
      <c r="N822" s="902"/>
      <c r="O822" s="902"/>
      <c r="P822" s="902"/>
      <c r="Q822" s="902"/>
      <c r="R822" s="902"/>
      <c r="S822" s="902"/>
      <c r="T822" s="902"/>
      <c r="U822" s="902"/>
      <c r="V822" s="902"/>
      <c r="W822" s="903"/>
    </row>
    <row r="823" spans="2:34" x14ac:dyDescent="0.2">
      <c r="B823" s="890" t="s">
        <v>835</v>
      </c>
      <c r="C823" s="891"/>
      <c r="D823" s="891"/>
      <c r="E823" s="891"/>
      <c r="F823" s="891"/>
      <c r="G823" s="891"/>
      <c r="H823" s="891"/>
      <c r="I823" s="891"/>
      <c r="J823" s="891"/>
      <c r="K823" s="891"/>
      <c r="L823" s="891"/>
      <c r="M823" s="891"/>
      <c r="N823" s="892"/>
      <c r="O823" s="892"/>
      <c r="P823" s="892"/>
      <c r="Q823" s="892"/>
      <c r="R823" s="892"/>
      <c r="S823" s="892"/>
      <c r="T823" s="892"/>
      <c r="U823" s="892"/>
      <c r="V823" s="892"/>
      <c r="W823" s="893"/>
    </row>
    <row r="824" spans="2:34" ht="12.75" customHeight="1" x14ac:dyDescent="0.2">
      <c r="B824" s="894"/>
      <c r="C824" s="891"/>
      <c r="D824" s="891"/>
      <c r="E824" s="891"/>
      <c r="F824" s="891"/>
      <c r="G824" s="891"/>
      <c r="H824" s="891"/>
      <c r="I824" s="891"/>
      <c r="J824" s="891"/>
      <c r="K824" s="891"/>
      <c r="L824" s="891"/>
      <c r="M824" s="891"/>
      <c r="N824" s="892"/>
      <c r="O824" s="892"/>
      <c r="P824" s="892"/>
      <c r="Q824" s="892"/>
      <c r="R824" s="892"/>
      <c r="S824" s="892"/>
      <c r="T824" s="892"/>
      <c r="U824" s="892"/>
      <c r="V824" s="892"/>
      <c r="W824" s="893"/>
    </row>
    <row r="825" spans="2:34" x14ac:dyDescent="0.2">
      <c r="B825" s="894"/>
      <c r="C825" s="891"/>
      <c r="D825" s="891"/>
      <c r="E825" s="891"/>
      <c r="F825" s="891"/>
      <c r="G825" s="891"/>
      <c r="H825" s="891"/>
      <c r="I825" s="891"/>
      <c r="J825" s="891"/>
      <c r="K825" s="891"/>
      <c r="L825" s="891"/>
      <c r="M825" s="891"/>
      <c r="N825" s="892"/>
      <c r="O825" s="892"/>
      <c r="P825" s="892"/>
      <c r="Q825" s="892"/>
      <c r="R825" s="892"/>
      <c r="S825" s="892"/>
      <c r="T825" s="892"/>
      <c r="U825" s="892"/>
      <c r="V825" s="892"/>
      <c r="W825" s="893"/>
    </row>
    <row r="826" spans="2:34" x14ac:dyDescent="0.2">
      <c r="B826" s="895"/>
      <c r="C826" s="896"/>
      <c r="D826" s="896"/>
      <c r="E826" s="896"/>
      <c r="F826" s="896"/>
      <c r="G826" s="896"/>
      <c r="H826" s="896"/>
      <c r="I826" s="896"/>
      <c r="J826" s="896"/>
      <c r="K826" s="896"/>
      <c r="L826" s="896"/>
      <c r="M826" s="896"/>
      <c r="N826" s="897"/>
      <c r="O826" s="897"/>
      <c r="P826" s="897"/>
      <c r="Q826" s="897"/>
      <c r="R826" s="897"/>
      <c r="S826" s="897"/>
      <c r="T826" s="897"/>
      <c r="U826" s="897"/>
      <c r="V826" s="897"/>
      <c r="W826" s="898"/>
    </row>
    <row r="827" spans="2:34" ht="12.6" customHeight="1" x14ac:dyDescent="0.2">
      <c r="B827" s="193"/>
      <c r="C827" s="193"/>
      <c r="D827" s="193"/>
      <c r="E827" s="193"/>
      <c r="F827" s="193"/>
      <c r="G827" s="193"/>
      <c r="H827" s="193"/>
      <c r="I827" s="193"/>
      <c r="J827" s="193"/>
      <c r="K827" s="193"/>
      <c r="L827" s="193"/>
      <c r="M827" s="194"/>
      <c r="N827" s="59"/>
      <c r="O827" s="59"/>
      <c r="P827" s="59"/>
      <c r="Q827" s="59"/>
      <c r="R827" s="59"/>
      <c r="S827" s="59"/>
      <c r="T827" s="59"/>
      <c r="U827" s="59"/>
      <c r="V827" s="59"/>
      <c r="W827" s="59"/>
    </row>
    <row r="828" spans="2:34" x14ac:dyDescent="0.2">
      <c r="B828" s="899" t="s">
        <v>287</v>
      </c>
      <c r="C828" s="900"/>
      <c r="D828" s="900"/>
      <c r="E828" s="900"/>
      <c r="F828" s="900"/>
      <c r="G828" s="900"/>
      <c r="H828" s="900"/>
      <c r="I828" s="900"/>
      <c r="J828" s="900"/>
      <c r="K828" s="900"/>
      <c r="L828" s="900"/>
      <c r="M828" s="900"/>
      <c r="N828" s="900"/>
      <c r="O828" s="900"/>
      <c r="P828" s="900"/>
      <c r="Q828" s="900"/>
      <c r="R828" s="900"/>
      <c r="S828" s="900"/>
      <c r="T828" s="900"/>
      <c r="U828" s="900"/>
      <c r="V828" s="900"/>
      <c r="W828" s="900"/>
    </row>
    <row r="829" spans="2:34" x14ac:dyDescent="0.2">
      <c r="B829" s="900"/>
      <c r="C829" s="900"/>
      <c r="D829" s="900"/>
      <c r="E829" s="900"/>
      <c r="F829" s="900"/>
      <c r="G829" s="900"/>
      <c r="H829" s="900"/>
      <c r="I829" s="900"/>
      <c r="J829" s="900"/>
      <c r="K829" s="900"/>
      <c r="L829" s="900"/>
      <c r="M829" s="900"/>
      <c r="N829" s="900"/>
      <c r="O829" s="900"/>
      <c r="P829" s="900"/>
      <c r="Q829" s="900"/>
      <c r="R829" s="900"/>
      <c r="S829" s="900"/>
      <c r="T829" s="900"/>
      <c r="U829" s="900"/>
      <c r="V829" s="900"/>
      <c r="W829" s="900"/>
    </row>
    <row r="830" spans="2:34" x14ac:dyDescent="0.2">
      <c r="B830" s="889" t="s">
        <v>288</v>
      </c>
      <c r="C830" s="868"/>
      <c r="D830" s="868"/>
      <c r="E830" s="868"/>
      <c r="F830" s="868"/>
      <c r="G830" s="868"/>
      <c r="H830" s="868"/>
      <c r="I830" s="868"/>
      <c r="J830" s="868"/>
      <c r="K830" s="868"/>
      <c r="L830" s="868"/>
      <c r="M830" s="868"/>
      <c r="N830" s="868"/>
      <c r="O830" s="868"/>
      <c r="P830" s="868"/>
      <c r="Q830" s="868"/>
      <c r="R830" s="868"/>
      <c r="S830" s="868"/>
      <c r="T830" s="868"/>
      <c r="U830" s="868"/>
      <c r="V830" s="868"/>
      <c r="W830" s="868"/>
    </row>
    <row r="831" spans="2:34" ht="12.75" customHeight="1" x14ac:dyDescent="0.2">
      <c r="B831" s="456"/>
      <c r="C831" s="455"/>
      <c r="D831" s="455"/>
      <c r="E831" s="455"/>
      <c r="F831" s="455"/>
      <c r="G831" s="455"/>
      <c r="H831" s="455"/>
      <c r="I831" s="455"/>
      <c r="J831" s="455"/>
      <c r="K831" s="455"/>
      <c r="L831" s="455"/>
      <c r="M831" s="455"/>
      <c r="N831" s="455"/>
      <c r="O831" s="455"/>
      <c r="P831" s="455"/>
      <c r="Q831" s="455"/>
      <c r="R831" s="455"/>
      <c r="S831" s="455"/>
      <c r="T831" s="455"/>
      <c r="U831" s="455"/>
      <c r="V831" s="455"/>
      <c r="W831" s="455"/>
    </row>
    <row r="832" spans="2:34" ht="16.5" customHeight="1" x14ac:dyDescent="0.2">
      <c r="B832" s="888" t="s">
        <v>839</v>
      </c>
      <c r="C832" s="671"/>
      <c r="D832" s="671"/>
      <c r="E832" s="671"/>
      <c r="F832" s="671"/>
      <c r="G832" s="671"/>
      <c r="H832" s="671"/>
      <c r="I832" s="671"/>
      <c r="J832" s="671"/>
      <c r="K832" s="671"/>
      <c r="L832" s="671"/>
      <c r="M832" s="671"/>
      <c r="N832" s="671"/>
      <c r="O832" s="671"/>
      <c r="P832" s="671"/>
      <c r="Q832" s="671"/>
      <c r="R832" s="671"/>
      <c r="S832" s="671"/>
      <c r="T832" s="671"/>
      <c r="U832" s="671"/>
      <c r="V832" s="671"/>
      <c r="W832" s="671"/>
    </row>
    <row r="833" spans="2:24" ht="11.25" customHeight="1" x14ac:dyDescent="0.2"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62"/>
    </row>
    <row r="834" spans="2:24" ht="8.25" customHeight="1" x14ac:dyDescent="0.2">
      <c r="B834" s="872" t="s">
        <v>834</v>
      </c>
      <c r="C834" s="873"/>
      <c r="D834" s="873"/>
      <c r="E834" s="873"/>
      <c r="F834" s="873"/>
      <c r="G834" s="873"/>
      <c r="H834" s="873"/>
      <c r="I834" s="873"/>
      <c r="J834" s="873"/>
      <c r="K834" s="874"/>
      <c r="L834" s="874"/>
      <c r="M834" s="874"/>
      <c r="N834" s="874"/>
      <c r="O834" s="874"/>
      <c r="P834" s="874"/>
      <c r="Q834" s="874"/>
      <c r="R834" s="874"/>
      <c r="S834" s="874"/>
      <c r="T834" s="874"/>
      <c r="U834" s="874"/>
      <c r="V834" s="874"/>
      <c r="W834" s="875"/>
    </row>
    <row r="835" spans="2:24" ht="12.75" customHeight="1" x14ac:dyDescent="0.2">
      <c r="B835" s="876"/>
      <c r="C835" s="877"/>
      <c r="D835" s="877"/>
      <c r="E835" s="877"/>
      <c r="F835" s="877"/>
      <c r="G835" s="877"/>
      <c r="H835" s="877"/>
      <c r="I835" s="877"/>
      <c r="J835" s="877"/>
      <c r="K835" s="878"/>
      <c r="L835" s="878"/>
      <c r="M835" s="878"/>
      <c r="N835" s="878"/>
      <c r="O835" s="878"/>
      <c r="P835" s="878"/>
      <c r="Q835" s="878"/>
      <c r="R835" s="878"/>
      <c r="S835" s="878"/>
      <c r="T835" s="878"/>
      <c r="U835" s="878"/>
      <c r="V835" s="878"/>
      <c r="W835" s="879"/>
    </row>
    <row r="836" spans="2:24" x14ac:dyDescent="0.2">
      <c r="B836" s="880"/>
      <c r="C836" s="881"/>
      <c r="D836" s="881"/>
      <c r="E836" s="881"/>
      <c r="F836" s="881"/>
      <c r="G836" s="881"/>
      <c r="H836" s="881"/>
      <c r="I836" s="881"/>
      <c r="J836" s="881"/>
      <c r="K836" s="878"/>
      <c r="L836" s="878"/>
      <c r="M836" s="878"/>
      <c r="N836" s="878"/>
      <c r="O836" s="878"/>
      <c r="P836" s="878"/>
      <c r="Q836" s="878"/>
      <c r="R836" s="878"/>
      <c r="S836" s="878"/>
      <c r="T836" s="878"/>
      <c r="U836" s="878"/>
      <c r="V836" s="878"/>
      <c r="W836" s="879"/>
    </row>
    <row r="837" spans="2:24" x14ac:dyDescent="0.2">
      <c r="B837" s="880"/>
      <c r="C837" s="881"/>
      <c r="D837" s="881"/>
      <c r="E837" s="881"/>
      <c r="F837" s="881"/>
      <c r="G837" s="881"/>
      <c r="H837" s="881"/>
      <c r="I837" s="881"/>
      <c r="J837" s="881"/>
      <c r="K837" s="878"/>
      <c r="L837" s="878"/>
      <c r="M837" s="878"/>
      <c r="N837" s="878"/>
      <c r="O837" s="878"/>
      <c r="P837" s="878"/>
      <c r="Q837" s="878"/>
      <c r="R837" s="878"/>
      <c r="S837" s="878"/>
      <c r="T837" s="878"/>
      <c r="U837" s="878"/>
      <c r="V837" s="878"/>
      <c r="W837" s="879"/>
    </row>
    <row r="838" spans="2:24" x14ac:dyDescent="0.2">
      <c r="B838" s="880"/>
      <c r="C838" s="881"/>
      <c r="D838" s="881"/>
      <c r="E838" s="881"/>
      <c r="F838" s="881"/>
      <c r="G838" s="881"/>
      <c r="H838" s="881"/>
      <c r="I838" s="881"/>
      <c r="J838" s="881"/>
      <c r="K838" s="878"/>
      <c r="L838" s="878"/>
      <c r="M838" s="878"/>
      <c r="N838" s="878"/>
      <c r="O838" s="878"/>
      <c r="P838" s="878"/>
      <c r="Q838" s="878"/>
      <c r="R838" s="878"/>
      <c r="S838" s="878"/>
      <c r="T838" s="878"/>
      <c r="U838" s="878"/>
      <c r="V838" s="878"/>
      <c r="W838" s="879"/>
    </row>
    <row r="839" spans="2:24" x14ac:dyDescent="0.2">
      <c r="B839" s="880"/>
      <c r="C839" s="881"/>
      <c r="D839" s="881"/>
      <c r="E839" s="881"/>
      <c r="F839" s="881"/>
      <c r="G839" s="881"/>
      <c r="H839" s="881"/>
      <c r="I839" s="881"/>
      <c r="J839" s="881"/>
      <c r="K839" s="878"/>
      <c r="L839" s="878"/>
      <c r="M839" s="878"/>
      <c r="N839" s="878"/>
      <c r="O839" s="878"/>
      <c r="P839" s="878"/>
      <c r="Q839" s="878"/>
      <c r="R839" s="878"/>
      <c r="S839" s="878"/>
      <c r="T839" s="878"/>
      <c r="U839" s="878"/>
      <c r="V839" s="878"/>
      <c r="W839" s="879"/>
    </row>
    <row r="840" spans="2:24" x14ac:dyDescent="0.2">
      <c r="B840" s="882"/>
      <c r="C840" s="883"/>
      <c r="D840" s="883"/>
      <c r="E840" s="883"/>
      <c r="F840" s="883"/>
      <c r="G840" s="883"/>
      <c r="H840" s="883"/>
      <c r="I840" s="883"/>
      <c r="J840" s="883"/>
      <c r="K840" s="883"/>
      <c r="L840" s="883"/>
      <c r="M840" s="883"/>
      <c r="N840" s="883"/>
      <c r="O840" s="883"/>
      <c r="P840" s="883"/>
      <c r="Q840" s="883"/>
      <c r="R840" s="883"/>
      <c r="S840" s="883"/>
      <c r="T840" s="883"/>
      <c r="U840" s="883"/>
      <c r="V840" s="883"/>
      <c r="W840" s="884"/>
    </row>
    <row r="841" spans="2:24" ht="15" customHeight="1" x14ac:dyDescent="0.2">
      <c r="B841" s="885"/>
      <c r="C841" s="886"/>
      <c r="D841" s="886"/>
      <c r="E841" s="886"/>
      <c r="F841" s="886"/>
      <c r="G841" s="886"/>
      <c r="H841" s="886"/>
      <c r="I841" s="886"/>
      <c r="J841" s="886"/>
      <c r="K841" s="886"/>
      <c r="L841" s="886"/>
      <c r="M841" s="886"/>
      <c r="N841" s="886"/>
      <c r="O841" s="886"/>
      <c r="P841" s="886"/>
      <c r="Q841" s="886"/>
      <c r="R841" s="886"/>
      <c r="S841" s="886"/>
      <c r="T841" s="886"/>
      <c r="U841" s="886"/>
      <c r="V841" s="886"/>
      <c r="W841" s="887"/>
    </row>
    <row r="842" spans="2:24" ht="12.6" customHeight="1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4" ht="18.75" customHeight="1" x14ac:dyDescent="0.2">
      <c r="B843" s="864" t="s">
        <v>289</v>
      </c>
      <c r="C843" s="865"/>
      <c r="D843" s="865"/>
      <c r="E843" s="865"/>
      <c r="F843" s="865"/>
      <c r="G843" s="865"/>
      <c r="H843" s="865"/>
      <c r="I843" s="865"/>
      <c r="J843" s="865"/>
      <c r="K843" s="865"/>
      <c r="L843" s="865"/>
      <c r="M843" s="865"/>
      <c r="N843" s="865"/>
      <c r="O843" s="865"/>
      <c r="P843" s="865"/>
      <c r="Q843" s="865"/>
      <c r="R843" s="865"/>
      <c r="S843" s="865"/>
      <c r="T843" s="865"/>
      <c r="U843" s="865"/>
      <c r="V843" s="865"/>
      <c r="W843" s="866"/>
    </row>
    <row r="844" spans="2:24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4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4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4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4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ht="12.75" customHeight="1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B1235" s="3"/>
      <c r="C1235" s="3"/>
      <c r="D1235" s="3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7"/>
      <c r="W1235" s="7"/>
    </row>
    <row r="1236" spans="2:23" x14ac:dyDescent="0.2">
      <c r="B1236" s="3"/>
      <c r="C1236" s="3"/>
      <c r="D1236" s="3"/>
      <c r="E1236" s="4"/>
      <c r="F1236" s="4"/>
      <c r="G1236" s="4"/>
      <c r="H1236" s="4"/>
      <c r="I1236" s="4"/>
      <c r="J1236" s="4"/>
      <c r="K1236" s="4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7"/>
      <c r="W1236" s="7"/>
    </row>
    <row r="1237" spans="2:23" x14ac:dyDescent="0.2">
      <c r="B1237" s="3"/>
      <c r="C1237" s="3"/>
      <c r="D1237" s="3"/>
      <c r="E1237" s="4"/>
      <c r="F1237" s="4"/>
      <c r="G1237" s="4"/>
      <c r="H1237" s="4"/>
      <c r="I1237" s="4"/>
      <c r="J1237" s="4"/>
      <c r="K1237" s="4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7"/>
      <c r="W1237" s="7"/>
    </row>
    <row r="1238" spans="2:23" x14ac:dyDescent="0.2">
      <c r="B1238" s="3"/>
      <c r="C1238" s="3"/>
      <c r="D1238" s="3"/>
      <c r="E1238" s="4"/>
      <c r="F1238" s="4"/>
      <c r="G1238" s="4"/>
      <c r="H1238" s="4"/>
      <c r="I1238" s="4"/>
      <c r="J1238" s="4"/>
      <c r="K1238" s="4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7"/>
      <c r="W1238" s="7"/>
    </row>
    <row r="1239" spans="2:23" x14ac:dyDescent="0.2">
      <c r="B1239" s="3"/>
      <c r="C1239" s="3"/>
      <c r="D1239" s="3"/>
      <c r="E1239" s="4"/>
      <c r="F1239" s="4"/>
      <c r="G1239" s="4"/>
      <c r="H1239" s="4"/>
      <c r="I1239" s="4"/>
      <c r="J1239" s="4"/>
      <c r="K1239" s="4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7"/>
      <c r="W1239" s="7"/>
    </row>
    <row r="1240" spans="2:23" x14ac:dyDescent="0.2">
      <c r="B1240" s="3"/>
      <c r="C1240" s="3"/>
      <c r="D1240" s="3"/>
      <c r="E1240" s="4"/>
      <c r="F1240" s="4"/>
      <c r="G1240" s="4"/>
      <c r="H1240" s="4"/>
      <c r="I1240" s="4"/>
      <c r="J1240" s="4"/>
      <c r="K1240" s="4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7"/>
      <c r="W1240" s="7"/>
    </row>
    <row r="1241" spans="2:23" x14ac:dyDescent="0.2">
      <c r="B1241" s="3"/>
      <c r="C1241" s="3"/>
      <c r="D1241" s="3"/>
      <c r="E1241" s="4"/>
      <c r="F1241" s="4"/>
      <c r="G1241" s="4"/>
      <c r="H1241" s="4"/>
      <c r="I1241" s="4"/>
      <c r="J1241" s="4"/>
      <c r="K1241" s="4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7"/>
      <c r="W1241" s="7"/>
    </row>
    <row r="1242" spans="2:23" x14ac:dyDescent="0.2">
      <c r="B1242" s="3"/>
      <c r="C1242" s="3"/>
      <c r="D1242" s="3"/>
      <c r="E1242" s="4"/>
      <c r="F1242" s="4"/>
      <c r="G1242" s="4"/>
      <c r="H1242" s="4"/>
      <c r="I1242" s="4"/>
      <c r="J1242" s="4"/>
      <c r="K1242" s="4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7"/>
      <c r="W1242" s="7"/>
    </row>
    <row r="1243" spans="2:23" x14ac:dyDescent="0.2">
      <c r="B1243" s="3"/>
      <c r="C1243" s="3"/>
      <c r="D1243" s="3"/>
      <c r="E1243" s="4"/>
      <c r="F1243" s="4"/>
      <c r="G1243" s="4"/>
      <c r="H1243" s="4"/>
      <c r="I1243" s="4"/>
      <c r="J1243" s="4"/>
      <c r="K1243" s="4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7"/>
      <c r="W1243" s="7"/>
    </row>
    <row r="1244" spans="2:23" x14ac:dyDescent="0.2">
      <c r="B1244" s="3"/>
      <c r="C1244" s="3"/>
      <c r="D1244" s="3"/>
      <c r="E1244" s="4"/>
      <c r="F1244" s="4"/>
      <c r="G1244" s="4"/>
      <c r="H1244" s="4"/>
      <c r="I1244" s="4"/>
      <c r="J1244" s="4"/>
      <c r="K1244" s="4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7"/>
      <c r="W1244" s="7"/>
    </row>
    <row r="1245" spans="2:23" x14ac:dyDescent="0.2">
      <c r="B1245" s="3"/>
      <c r="C1245" s="3"/>
      <c r="D1245" s="3"/>
      <c r="E1245" s="4"/>
      <c r="F1245" s="4"/>
      <c r="G1245" s="4"/>
      <c r="H1245" s="4"/>
      <c r="I1245" s="4"/>
      <c r="J1245" s="4"/>
      <c r="K1245" s="4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7"/>
      <c r="W1245" s="7"/>
    </row>
    <row r="1246" spans="2:23" x14ac:dyDescent="0.2">
      <c r="B1246" s="3"/>
      <c r="C1246" s="3"/>
      <c r="D1246" s="3"/>
      <c r="E1246" s="4"/>
      <c r="F1246" s="4"/>
      <c r="G1246" s="4"/>
      <c r="H1246" s="4"/>
      <c r="I1246" s="4"/>
      <c r="J1246" s="4"/>
      <c r="K1246" s="4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7"/>
      <c r="W1246" s="7"/>
    </row>
    <row r="1247" spans="2:23" x14ac:dyDescent="0.2">
      <c r="B1247" s="3"/>
      <c r="C1247" s="3"/>
      <c r="D1247" s="3"/>
      <c r="E1247" s="4"/>
      <c r="F1247" s="4"/>
      <c r="G1247" s="4"/>
      <c r="H1247" s="4"/>
      <c r="I1247" s="4"/>
      <c r="J1247" s="4"/>
      <c r="K1247" s="4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7"/>
      <c r="W1247" s="7"/>
    </row>
    <row r="1248" spans="2:23" x14ac:dyDescent="0.2">
      <c r="B1248" s="3"/>
      <c r="C1248" s="3"/>
      <c r="D1248" s="3"/>
      <c r="E1248" s="4"/>
      <c r="F1248" s="4"/>
      <c r="G1248" s="4"/>
      <c r="H1248" s="4"/>
      <c r="I1248" s="4"/>
      <c r="J1248" s="4"/>
      <c r="K1248" s="4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7"/>
      <c r="W1248" s="7"/>
    </row>
    <row r="1249" spans="2:23" x14ac:dyDescent="0.2">
      <c r="B1249" s="3"/>
      <c r="C1249" s="3"/>
      <c r="D1249" s="3"/>
      <c r="E1249" s="4"/>
      <c r="F1249" s="4"/>
      <c r="G1249" s="4"/>
      <c r="H1249" s="4"/>
      <c r="I1249" s="4"/>
      <c r="J1249" s="4"/>
      <c r="K1249" s="4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7"/>
      <c r="W1249" s="7"/>
    </row>
    <row r="1250" spans="2:23" x14ac:dyDescent="0.2">
      <c r="B1250" s="3"/>
      <c r="C1250" s="3"/>
      <c r="D1250" s="3"/>
      <c r="E1250" s="4"/>
      <c r="F1250" s="4"/>
      <c r="G1250" s="4"/>
      <c r="H1250" s="4"/>
      <c r="I1250" s="4"/>
      <c r="J1250" s="4"/>
      <c r="K1250" s="4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7"/>
      <c r="W1250" s="7"/>
    </row>
    <row r="1251" spans="2:23" x14ac:dyDescent="0.2">
      <c r="B1251" s="3"/>
      <c r="C1251" s="3"/>
      <c r="D1251" s="3"/>
      <c r="E1251" s="4"/>
      <c r="F1251" s="4"/>
      <c r="G1251" s="4"/>
      <c r="H1251" s="4"/>
      <c r="I1251" s="4"/>
      <c r="J1251" s="4"/>
      <c r="K1251" s="4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7"/>
      <c r="W1251" s="7"/>
    </row>
    <row r="1252" spans="2:23" x14ac:dyDescent="0.2">
      <c r="B1252" s="3"/>
      <c r="C1252" s="3"/>
      <c r="D1252" s="3"/>
      <c r="E1252" s="4"/>
      <c r="F1252" s="4"/>
      <c r="G1252" s="4"/>
      <c r="H1252" s="4"/>
      <c r="I1252" s="4"/>
      <c r="J1252" s="4"/>
      <c r="K1252" s="4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7"/>
      <c r="W1252" s="7"/>
    </row>
    <row r="1253" spans="2:23" x14ac:dyDescent="0.2">
      <c r="B1253" s="3"/>
      <c r="C1253" s="3"/>
      <c r="D1253" s="3"/>
      <c r="E1253" s="4"/>
      <c r="F1253" s="4"/>
      <c r="G1253" s="4"/>
      <c r="H1253" s="4"/>
      <c r="I1253" s="4"/>
      <c r="J1253" s="4"/>
      <c r="K1253" s="4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7"/>
      <c r="W1253" s="7"/>
    </row>
    <row r="1254" spans="2:23" x14ac:dyDescent="0.2">
      <c r="E1254" s="1"/>
      <c r="F1254" s="1"/>
      <c r="H1254" s="1"/>
      <c r="I1254" s="1"/>
      <c r="J1254" s="1"/>
      <c r="K1254" s="1"/>
    </row>
    <row r="1255" spans="2:23" x14ac:dyDescent="0.2">
      <c r="E1255" s="1"/>
      <c r="F1255" s="1"/>
      <c r="H1255" s="1"/>
      <c r="I1255" s="1"/>
      <c r="J1255" s="1"/>
      <c r="K1255" s="1"/>
    </row>
    <row r="1256" spans="2:23" x14ac:dyDescent="0.2">
      <c r="E1256" s="1"/>
      <c r="F1256" s="1"/>
      <c r="H1256" s="1"/>
      <c r="I1256" s="1"/>
      <c r="J1256" s="1"/>
      <c r="K1256" s="1"/>
    </row>
    <row r="1257" spans="2:23" x14ac:dyDescent="0.2">
      <c r="E1257" s="1"/>
      <c r="F1257" s="1"/>
      <c r="H1257" s="1"/>
      <c r="I1257" s="1"/>
      <c r="J1257" s="1"/>
      <c r="K1257" s="1"/>
    </row>
    <row r="1258" spans="2:23" x14ac:dyDescent="0.2">
      <c r="E1258" s="1"/>
      <c r="F1258" s="1"/>
      <c r="H1258" s="1"/>
      <c r="I1258" s="1"/>
      <c r="J1258" s="1"/>
      <c r="K1258" s="1"/>
    </row>
    <row r="1259" spans="2:23" x14ac:dyDescent="0.2">
      <c r="E1259" s="1"/>
      <c r="F1259" s="1"/>
      <c r="H1259" s="1"/>
      <c r="I1259" s="1"/>
      <c r="J1259" s="1"/>
      <c r="K1259" s="1"/>
    </row>
    <row r="1260" spans="2:23" x14ac:dyDescent="0.2">
      <c r="E1260" s="1"/>
      <c r="F1260" s="1"/>
      <c r="H1260" s="1"/>
      <c r="I1260" s="1"/>
      <c r="J1260" s="1"/>
      <c r="K1260" s="1"/>
    </row>
    <row r="1261" spans="2:23" x14ac:dyDescent="0.2">
      <c r="E1261" s="1"/>
      <c r="F1261" s="1"/>
      <c r="H1261" s="1"/>
      <c r="I1261" s="1"/>
      <c r="J1261" s="1"/>
      <c r="K1261" s="1"/>
    </row>
    <row r="1262" spans="2:23" x14ac:dyDescent="0.2">
      <c r="E1262" s="1"/>
      <c r="F1262" s="1"/>
      <c r="H1262" s="1"/>
      <c r="I1262" s="1"/>
      <c r="J1262" s="1"/>
      <c r="K1262" s="1"/>
    </row>
    <row r="1263" spans="2:23" x14ac:dyDescent="0.2">
      <c r="E1263" s="1"/>
      <c r="F1263" s="1"/>
      <c r="H1263" s="1"/>
      <c r="I1263" s="1"/>
      <c r="J1263" s="1"/>
      <c r="K1263" s="1"/>
    </row>
    <row r="1264" spans="2:23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  <row r="1650" spans="5:11" x14ac:dyDescent="0.2">
      <c r="E1650" s="1"/>
      <c r="F1650" s="1"/>
      <c r="H1650" s="1"/>
      <c r="I1650" s="1"/>
      <c r="J1650" s="1"/>
      <c r="K1650" s="1"/>
    </row>
    <row r="1651" spans="5:11" x14ac:dyDescent="0.2">
      <c r="E1651" s="1"/>
      <c r="F1651" s="1"/>
      <c r="H1651" s="1"/>
      <c r="I1651" s="1"/>
      <c r="J1651" s="1"/>
      <c r="K1651" s="1"/>
    </row>
    <row r="1652" spans="5:11" x14ac:dyDescent="0.2">
      <c r="E1652" s="1"/>
      <c r="F1652" s="1"/>
      <c r="H1652" s="1"/>
      <c r="I1652" s="1"/>
      <c r="J1652" s="1"/>
      <c r="K1652" s="1"/>
    </row>
    <row r="1653" spans="5:11" x14ac:dyDescent="0.2">
      <c r="E1653" s="1"/>
      <c r="F1653" s="1"/>
      <c r="H1653" s="1"/>
      <c r="I1653" s="1"/>
      <c r="J1653" s="1"/>
      <c r="K1653" s="1"/>
    </row>
    <row r="1654" spans="5:11" x14ac:dyDescent="0.2">
      <c r="E1654" s="1"/>
      <c r="F1654" s="1"/>
      <c r="H1654" s="1"/>
      <c r="I1654" s="1"/>
      <c r="J1654" s="1"/>
      <c r="K1654" s="1"/>
    </row>
    <row r="1655" spans="5:11" x14ac:dyDescent="0.2">
      <c r="E1655" s="1"/>
      <c r="F1655" s="1"/>
      <c r="H1655" s="1"/>
      <c r="I1655" s="1"/>
      <c r="J1655" s="1"/>
      <c r="K1655" s="1"/>
    </row>
    <row r="1656" spans="5:11" x14ac:dyDescent="0.2">
      <c r="E1656" s="1"/>
      <c r="F1656" s="1"/>
      <c r="H1656" s="1"/>
      <c r="I1656" s="1"/>
      <c r="J1656" s="1"/>
      <c r="K1656" s="1"/>
    </row>
    <row r="1657" spans="5:11" x14ac:dyDescent="0.2">
      <c r="E1657" s="1"/>
      <c r="F1657" s="1"/>
      <c r="H1657" s="1"/>
      <c r="I1657" s="1"/>
      <c r="J1657" s="1"/>
      <c r="K1657" s="1"/>
    </row>
    <row r="1658" spans="5:11" x14ac:dyDescent="0.2">
      <c r="E1658" s="1"/>
      <c r="F1658" s="1"/>
      <c r="H1658" s="1"/>
      <c r="I1658" s="1"/>
      <c r="J1658" s="1"/>
      <c r="K1658" s="1"/>
    </row>
    <row r="1659" spans="5:11" x14ac:dyDescent="0.2">
      <c r="E1659" s="1"/>
      <c r="F1659" s="1"/>
      <c r="H1659" s="1"/>
      <c r="I1659" s="1"/>
      <c r="J1659" s="1"/>
      <c r="K1659" s="1"/>
    </row>
    <row r="1660" spans="5:11" x14ac:dyDescent="0.2">
      <c r="E1660" s="1"/>
      <c r="F1660" s="1"/>
      <c r="H1660" s="1"/>
      <c r="I1660" s="1"/>
      <c r="J1660" s="1"/>
      <c r="K1660" s="1"/>
    </row>
    <row r="1661" spans="5:11" x14ac:dyDescent="0.2">
      <c r="E1661" s="1"/>
      <c r="F1661" s="1"/>
      <c r="H1661" s="1"/>
      <c r="I1661" s="1"/>
      <c r="J1661" s="1"/>
      <c r="K1661" s="1"/>
    </row>
    <row r="1662" spans="5:11" x14ac:dyDescent="0.2">
      <c r="E1662" s="1"/>
      <c r="F1662" s="1"/>
      <c r="H1662" s="1"/>
      <c r="I1662" s="1"/>
      <c r="J1662" s="1"/>
      <c r="K1662" s="1"/>
    </row>
    <row r="1663" spans="5:11" x14ac:dyDescent="0.2">
      <c r="E1663" s="1"/>
      <c r="F1663" s="1"/>
      <c r="H1663" s="1"/>
      <c r="I1663" s="1"/>
      <c r="J1663" s="1"/>
      <c r="K1663" s="1"/>
    </row>
    <row r="1664" spans="5:11" x14ac:dyDescent="0.2">
      <c r="E1664" s="1"/>
      <c r="F1664" s="1"/>
      <c r="H1664" s="1"/>
      <c r="I1664" s="1"/>
      <c r="J1664" s="1"/>
      <c r="K1664" s="1"/>
    </row>
    <row r="1665" spans="5:11" x14ac:dyDescent="0.2">
      <c r="E1665" s="1"/>
      <c r="F1665" s="1"/>
      <c r="H1665" s="1"/>
      <c r="I1665" s="1"/>
      <c r="J1665" s="1"/>
      <c r="K1665" s="1"/>
    </row>
    <row r="1666" spans="5:11" x14ac:dyDescent="0.2">
      <c r="E1666" s="1"/>
      <c r="F1666" s="1"/>
      <c r="H1666" s="1"/>
      <c r="I1666" s="1"/>
      <c r="J1666" s="1"/>
      <c r="K1666" s="1"/>
    </row>
    <row r="1667" spans="5:11" x14ac:dyDescent="0.2">
      <c r="E1667" s="1"/>
      <c r="F1667" s="1"/>
      <c r="H1667" s="1"/>
      <c r="I1667" s="1"/>
      <c r="J1667" s="1"/>
      <c r="K1667" s="1"/>
    </row>
    <row r="1668" spans="5:11" x14ac:dyDescent="0.2">
      <c r="E1668" s="1"/>
      <c r="F1668" s="1"/>
      <c r="H1668" s="1"/>
      <c r="I1668" s="1"/>
      <c r="J1668" s="1"/>
      <c r="K1668" s="1"/>
    </row>
  </sheetData>
  <mergeCells count="1281">
    <mergeCell ref="B619:E619"/>
    <mergeCell ref="B261:E261"/>
    <mergeCell ref="X261:AA261"/>
    <mergeCell ref="B262:E262"/>
    <mergeCell ref="X262:AA262"/>
    <mergeCell ref="B263:E263"/>
    <mergeCell ref="X263:AA263"/>
    <mergeCell ref="B264:E264"/>
    <mergeCell ref="X264:AA264"/>
    <mergeCell ref="B220:E220"/>
    <mergeCell ref="B386:E386"/>
    <mergeCell ref="B408:E408"/>
    <mergeCell ref="AB318:AB319"/>
    <mergeCell ref="B655:E655"/>
    <mergeCell ref="AB617:AB618"/>
    <mergeCell ref="AF617:AH617"/>
    <mergeCell ref="B641:E641"/>
    <mergeCell ref="B690:E690"/>
    <mergeCell ref="B503:E503"/>
    <mergeCell ref="X503:AA503"/>
    <mergeCell ref="B658:E658"/>
    <mergeCell ref="B558:B559"/>
    <mergeCell ref="C558:E559"/>
    <mergeCell ref="F558:F559"/>
    <mergeCell ref="G558:G559"/>
    <mergeCell ref="H558:W558"/>
    <mergeCell ref="X558:AA559"/>
    <mergeCell ref="AB558:AB559"/>
    <mergeCell ref="AF558:AH558"/>
    <mergeCell ref="B504:E504"/>
    <mergeCell ref="B511:E511"/>
    <mergeCell ref="X511:AA511"/>
    <mergeCell ref="B513:E513"/>
    <mergeCell ref="B514:E514"/>
    <mergeCell ref="X514:AA514"/>
    <mergeCell ref="B518:E518"/>
    <mergeCell ref="X518:AA518"/>
    <mergeCell ref="B515:E515"/>
    <mergeCell ref="B548:E548"/>
    <mergeCell ref="B597:E597"/>
    <mergeCell ref="AB639:AB640"/>
    <mergeCell ref="AF639:AH639"/>
    <mergeCell ref="B484:E484"/>
    <mergeCell ref="AF616:AH616"/>
    <mergeCell ref="B521:E521"/>
    <mergeCell ref="X564:AA564"/>
    <mergeCell ref="F478:F479"/>
    <mergeCell ref="B497:E497"/>
    <mergeCell ref="X497:AA497"/>
    <mergeCell ref="B500:E500"/>
    <mergeCell ref="X494:AA494"/>
    <mergeCell ref="X500:AA500"/>
    <mergeCell ref="B486:E486"/>
    <mergeCell ref="B487:E487"/>
    <mergeCell ref="B488:E488"/>
    <mergeCell ref="B490:E490"/>
    <mergeCell ref="B508:E508"/>
    <mergeCell ref="B517:E517"/>
    <mergeCell ref="X517:AA517"/>
    <mergeCell ref="B580:E580"/>
    <mergeCell ref="B582:E582"/>
    <mergeCell ref="X569:AA569"/>
    <mergeCell ref="B523:E523"/>
    <mergeCell ref="B571:W571"/>
    <mergeCell ref="B505:E505"/>
    <mergeCell ref="B520:E520"/>
    <mergeCell ref="B578:E578"/>
    <mergeCell ref="X567:AA567"/>
    <mergeCell ref="B546:E546"/>
    <mergeCell ref="B584:E584"/>
    <mergeCell ref="B572:B573"/>
    <mergeCell ref="AB238:AB239"/>
    <mergeCell ref="B383:E383"/>
    <mergeCell ref="B269:E269"/>
    <mergeCell ref="F238:F239"/>
    <mergeCell ref="B258:E258"/>
    <mergeCell ref="B380:E380"/>
    <mergeCell ref="B336:E336"/>
    <mergeCell ref="B368:E368"/>
    <mergeCell ref="B337:E337"/>
    <mergeCell ref="B482:E482"/>
    <mergeCell ref="B483:E483"/>
    <mergeCell ref="B410:E410"/>
    <mergeCell ref="B462:E462"/>
    <mergeCell ref="H398:W398"/>
    <mergeCell ref="X510:AA510"/>
    <mergeCell ref="B438:E438"/>
    <mergeCell ref="X508:AA508"/>
    <mergeCell ref="B415:E415"/>
    <mergeCell ref="B433:E433"/>
    <mergeCell ref="B418:E418"/>
    <mergeCell ref="B426:E426"/>
    <mergeCell ref="B414:E414"/>
    <mergeCell ref="B425:E425"/>
    <mergeCell ref="X423:AA423"/>
    <mergeCell ref="B456:E456"/>
    <mergeCell ref="B474:E474"/>
    <mergeCell ref="B613:G613"/>
    <mergeCell ref="B614:G614"/>
    <mergeCell ref="AF398:AH398"/>
    <mergeCell ref="AB398:AB399"/>
    <mergeCell ref="AF318:AH318"/>
    <mergeCell ref="B406:E406"/>
    <mergeCell ref="AB478:AB479"/>
    <mergeCell ref="B407:E407"/>
    <mergeCell ref="X265:AA265"/>
    <mergeCell ref="B601:E601"/>
    <mergeCell ref="H478:W478"/>
    <mergeCell ref="B598:E598"/>
    <mergeCell ref="AF478:AH478"/>
    <mergeCell ref="B575:E575"/>
    <mergeCell ref="X565:AA565"/>
    <mergeCell ref="B543:E543"/>
    <mergeCell ref="B537:E537"/>
    <mergeCell ref="B429:E429"/>
    <mergeCell ref="B460:E460"/>
    <mergeCell ref="B435:E435"/>
    <mergeCell ref="X520:AA520"/>
    <mergeCell ref="X547:AA547"/>
    <mergeCell ref="B468:E468"/>
    <mergeCell ref="X449:AA449"/>
    <mergeCell ref="X448:AA448"/>
    <mergeCell ref="B440:E440"/>
    <mergeCell ref="B442:E442"/>
    <mergeCell ref="B431:E431"/>
    <mergeCell ref="X470:AA470"/>
    <mergeCell ref="B499:E499"/>
    <mergeCell ref="X398:AA399"/>
    <mergeCell ref="X456:AA456"/>
    <mergeCell ref="B64:E64"/>
    <mergeCell ref="B222:E222"/>
    <mergeCell ref="B225:E225"/>
    <mergeCell ref="G130:K130"/>
    <mergeCell ref="B392:E392"/>
    <mergeCell ref="B421:E421"/>
    <mergeCell ref="X472:AA472"/>
    <mergeCell ref="B465:E465"/>
    <mergeCell ref="B451:E451"/>
    <mergeCell ref="B516:E516"/>
    <mergeCell ref="B283:E283"/>
    <mergeCell ref="B276:E276"/>
    <mergeCell ref="B281:E281"/>
    <mergeCell ref="B449:E449"/>
    <mergeCell ref="B467:E467"/>
    <mergeCell ref="B352:E352"/>
    <mergeCell ref="B424:E424"/>
    <mergeCell ref="B334:E334"/>
    <mergeCell ref="X334:AA334"/>
    <mergeCell ref="B295:E295"/>
    <mergeCell ref="X295:AA295"/>
    <mergeCell ref="B305:E305"/>
    <mergeCell ref="B445:E445"/>
    <mergeCell ref="B441:E441"/>
    <mergeCell ref="B448:E448"/>
    <mergeCell ref="B391:E391"/>
    <mergeCell ref="B394:E394"/>
    <mergeCell ref="C398:E399"/>
    <mergeCell ref="B413:E413"/>
    <mergeCell ref="Q389:W389"/>
    <mergeCell ref="B430:E430"/>
    <mergeCell ref="B432:E432"/>
    <mergeCell ref="B651:E651"/>
    <mergeCell ref="G639:G640"/>
    <mergeCell ref="H639:W639"/>
    <mergeCell ref="X639:AA640"/>
    <mergeCell ref="B539:E539"/>
    <mergeCell ref="X536:AA536"/>
    <mergeCell ref="X282:AA282"/>
    <mergeCell ref="B423:E423"/>
    <mergeCell ref="B343:E343"/>
    <mergeCell ref="B345:E345"/>
    <mergeCell ref="X454:AA454"/>
    <mergeCell ref="B452:E452"/>
    <mergeCell ref="B436:E436"/>
    <mergeCell ref="X422:AA422"/>
    <mergeCell ref="X504:AA504"/>
    <mergeCell ref="B599:E599"/>
    <mergeCell ref="B595:E595"/>
    <mergeCell ref="B606:E606"/>
    <mergeCell ref="B605:E605"/>
    <mergeCell ref="B639:B640"/>
    <mergeCell ref="B403:E403"/>
    <mergeCell ref="B434:E434"/>
    <mergeCell ref="B428:E428"/>
    <mergeCell ref="B544:E544"/>
    <mergeCell ref="B569:E569"/>
    <mergeCell ref="B446:E446"/>
    <mergeCell ref="X453:AA453"/>
    <mergeCell ref="X451:AA451"/>
    <mergeCell ref="X515:AA515"/>
    <mergeCell ref="B363:E363"/>
    <mergeCell ref="X447:AA447"/>
    <mergeCell ref="X455:AA455"/>
    <mergeCell ref="B659:E659"/>
    <mergeCell ref="B604:E604"/>
    <mergeCell ref="X305:AA305"/>
    <mergeCell ref="B457:E457"/>
    <mergeCell ref="B455:E455"/>
    <mergeCell ref="X507:AA507"/>
    <mergeCell ref="B458:E458"/>
    <mergeCell ref="B348:E348"/>
    <mergeCell ref="X389:AA389"/>
    <mergeCell ref="B707:E707"/>
    <mergeCell ref="X548:AA548"/>
    <mergeCell ref="X452:AA452"/>
    <mergeCell ref="B422:E422"/>
    <mergeCell ref="B443:E443"/>
    <mergeCell ref="X450:AA450"/>
    <mergeCell ref="B519:E519"/>
    <mergeCell ref="B502:E502"/>
    <mergeCell ref="B526:E526"/>
    <mergeCell ref="B470:E470"/>
    <mergeCell ref="B532:E532"/>
    <mergeCell ref="B498:E498"/>
    <mergeCell ref="X535:AA535"/>
    <mergeCell ref="X528:AA528"/>
    <mergeCell ref="X496:AA496"/>
    <mergeCell ref="B512:E512"/>
    <mergeCell ref="X512:AA512"/>
    <mergeCell ref="B648:E648"/>
    <mergeCell ref="B676:E676"/>
    <mergeCell ref="B437:E437"/>
    <mergeCell ref="B427:E427"/>
    <mergeCell ref="B375:E375"/>
    <mergeCell ref="B681:E681"/>
    <mergeCell ref="B444:E444"/>
    <mergeCell ref="G490:M490"/>
    <mergeCell ref="B384:E384"/>
    <mergeCell ref="B405:E405"/>
    <mergeCell ref="G398:G399"/>
    <mergeCell ref="B450:E450"/>
    <mergeCell ref="B463:E463"/>
    <mergeCell ref="B466:E466"/>
    <mergeCell ref="B373:E373"/>
    <mergeCell ref="B367:E367"/>
    <mergeCell ref="B447:E447"/>
    <mergeCell ref="B388:E388"/>
    <mergeCell ref="B419:E419"/>
    <mergeCell ref="B411:E411"/>
    <mergeCell ref="B404:E404"/>
    <mergeCell ref="B459:E459"/>
    <mergeCell ref="B461:E461"/>
    <mergeCell ref="B464:E464"/>
    <mergeCell ref="B453:E453"/>
    <mergeCell ref="B454:E454"/>
    <mergeCell ref="B372:E372"/>
    <mergeCell ref="B412:E412"/>
    <mergeCell ref="B398:B399"/>
    <mergeCell ref="B417:E417"/>
    <mergeCell ref="B393:E393"/>
    <mergeCell ref="B409:E409"/>
    <mergeCell ref="B377:E377"/>
    <mergeCell ref="B382:E382"/>
    <mergeCell ref="B370:E370"/>
    <mergeCell ref="B379:E379"/>
    <mergeCell ref="B374:E374"/>
    <mergeCell ref="B439:E439"/>
    <mergeCell ref="B292:E292"/>
    <mergeCell ref="B355:E355"/>
    <mergeCell ref="B329:E329"/>
    <mergeCell ref="B344:E344"/>
    <mergeCell ref="X421:AA421"/>
    <mergeCell ref="B416:E416"/>
    <mergeCell ref="B302:E302"/>
    <mergeCell ref="B312:E312"/>
    <mergeCell ref="B378:E378"/>
    <mergeCell ref="B420:E420"/>
    <mergeCell ref="X385:AA385"/>
    <mergeCell ref="X384:AA384"/>
    <mergeCell ref="B385:E385"/>
    <mergeCell ref="B332:E332"/>
    <mergeCell ref="X351:AA351"/>
    <mergeCell ref="X359:AA359"/>
    <mergeCell ref="X353:AA353"/>
    <mergeCell ref="X349:AA349"/>
    <mergeCell ref="B366:E366"/>
    <mergeCell ref="X338:AA338"/>
    <mergeCell ref="X333:AA333"/>
    <mergeCell ref="X330:AA330"/>
    <mergeCell ref="B327:E327"/>
    <mergeCell ref="B387:E387"/>
    <mergeCell ref="X318:AA319"/>
    <mergeCell ref="B313:E313"/>
    <mergeCell ref="B369:E369"/>
    <mergeCell ref="B401:E401"/>
    <mergeCell ref="X362:AA362"/>
    <mergeCell ref="X294:AA294"/>
    <mergeCell ref="X328:AA328"/>
    <mergeCell ref="X348:AA348"/>
    <mergeCell ref="B323:E323"/>
    <mergeCell ref="B321:E321"/>
    <mergeCell ref="B346:E346"/>
    <mergeCell ref="X346:AA346"/>
    <mergeCell ref="B328:E328"/>
    <mergeCell ref="B359:E359"/>
    <mergeCell ref="B311:E311"/>
    <mergeCell ref="B309:E309"/>
    <mergeCell ref="B357:E357"/>
    <mergeCell ref="X299:AA299"/>
    <mergeCell ref="B335:E335"/>
    <mergeCell ref="X331:AA331"/>
    <mergeCell ref="X332:AA332"/>
    <mergeCell ref="X336:AA336"/>
    <mergeCell ref="B339:E339"/>
    <mergeCell ref="B325:E325"/>
    <mergeCell ref="X343:AA343"/>
    <mergeCell ref="B354:E354"/>
    <mergeCell ref="B353:E353"/>
    <mergeCell ref="X342:AA342"/>
    <mergeCell ref="B358:E358"/>
    <mergeCell ref="X358:AA358"/>
    <mergeCell ref="B342:E342"/>
    <mergeCell ref="AF158:AH158"/>
    <mergeCell ref="B129:E129"/>
    <mergeCell ref="X145:AA145"/>
    <mergeCell ref="B98:E98"/>
    <mergeCell ref="AB158:AB159"/>
    <mergeCell ref="X149:AA149"/>
    <mergeCell ref="X112:AA112"/>
    <mergeCell ref="B113:E113"/>
    <mergeCell ref="X144:AA144"/>
    <mergeCell ref="X339:AA339"/>
    <mergeCell ref="B333:E333"/>
    <mergeCell ref="C318:E319"/>
    <mergeCell ref="AF238:AH238"/>
    <mergeCell ref="X117:AA117"/>
    <mergeCell ref="B106:E106"/>
    <mergeCell ref="X172:AA172"/>
    <mergeCell ref="B197:E197"/>
    <mergeCell ref="X197:AA197"/>
    <mergeCell ref="B201:E201"/>
    <mergeCell ref="X201:AA201"/>
    <mergeCell ref="X160:AA160"/>
    <mergeCell ref="X176:AA176"/>
    <mergeCell ref="X189:AA189"/>
    <mergeCell ref="X181:AA181"/>
    <mergeCell ref="X175:AA175"/>
    <mergeCell ref="B189:E189"/>
    <mergeCell ref="B138:E138"/>
    <mergeCell ref="B136:E136"/>
    <mergeCell ref="B177:E177"/>
    <mergeCell ref="X177:AA177"/>
    <mergeCell ref="B168:E168"/>
    <mergeCell ref="X168:AA168"/>
    <mergeCell ref="B97:E97"/>
    <mergeCell ref="B111:E111"/>
    <mergeCell ref="X131:AA131"/>
    <mergeCell ref="X146:AA146"/>
    <mergeCell ref="X142:AA142"/>
    <mergeCell ref="B140:E140"/>
    <mergeCell ref="B146:E146"/>
    <mergeCell ref="B330:E330"/>
    <mergeCell ref="X281:AA281"/>
    <mergeCell ref="B232:E232"/>
    <mergeCell ref="B246:E246"/>
    <mergeCell ref="B245:E245"/>
    <mergeCell ref="X200:AA200"/>
    <mergeCell ref="X196:AA196"/>
    <mergeCell ref="X329:AA329"/>
    <mergeCell ref="B307:E307"/>
    <mergeCell ref="B298:E298"/>
    <mergeCell ref="G108:M108"/>
    <mergeCell ref="B125:E125"/>
    <mergeCell ref="B124:E124"/>
    <mergeCell ref="B123:E123"/>
    <mergeCell ref="B257:E257"/>
    <mergeCell ref="B224:E224"/>
    <mergeCell ref="B279:E279"/>
    <mergeCell ref="X274:AA274"/>
    <mergeCell ref="B240:E240"/>
    <mergeCell ref="C238:E239"/>
    <mergeCell ref="X268:AA268"/>
    <mergeCell ref="X206:AA206"/>
    <mergeCell ref="X211:AA211"/>
    <mergeCell ref="B209:E209"/>
    <mergeCell ref="B172:E172"/>
    <mergeCell ref="AF78:AH78"/>
    <mergeCell ref="AC146:AF146"/>
    <mergeCell ref="X132:AA132"/>
    <mergeCell ref="B126:E126"/>
    <mergeCell ref="G127:K127"/>
    <mergeCell ref="X108:AA108"/>
    <mergeCell ref="B109:E109"/>
    <mergeCell ref="G109:M109"/>
    <mergeCell ref="X109:AA109"/>
    <mergeCell ref="B110:E110"/>
    <mergeCell ref="G110:M110"/>
    <mergeCell ref="B100:E100"/>
    <mergeCell ref="B118:E118"/>
    <mergeCell ref="X87:Z87"/>
    <mergeCell ref="X134:AA134"/>
    <mergeCell ref="AB78:AB79"/>
    <mergeCell ref="G117:M117"/>
    <mergeCell ref="B81:E81"/>
    <mergeCell ref="X124:AA124"/>
    <mergeCell ref="B84:E84"/>
    <mergeCell ref="B85:E85"/>
    <mergeCell ref="B82:E82"/>
    <mergeCell ref="X105:AA105"/>
    <mergeCell ref="X110:AA110"/>
    <mergeCell ref="G114:M114"/>
    <mergeCell ref="X114:AA114"/>
    <mergeCell ref="B115:E115"/>
    <mergeCell ref="X111:AA111"/>
    <mergeCell ref="X125:AA125"/>
    <mergeCell ref="G128:K128"/>
    <mergeCell ref="X127:AA127"/>
    <mergeCell ref="B108:E108"/>
    <mergeCell ref="X74:AA74"/>
    <mergeCell ref="B71:E71"/>
    <mergeCell ref="B69:E69"/>
    <mergeCell ref="B139:E139"/>
    <mergeCell ref="B116:E116"/>
    <mergeCell ref="X143:AA143"/>
    <mergeCell ref="B142:E142"/>
    <mergeCell ref="X137:AA137"/>
    <mergeCell ref="B141:E141"/>
    <mergeCell ref="G129:K129"/>
    <mergeCell ref="G124:K124"/>
    <mergeCell ref="B90:E90"/>
    <mergeCell ref="B127:E127"/>
    <mergeCell ref="B130:E130"/>
    <mergeCell ref="X123:AA123"/>
    <mergeCell ref="X121:AA121"/>
    <mergeCell ref="B122:E122"/>
    <mergeCell ref="G122:K122"/>
    <mergeCell ref="G113:M113"/>
    <mergeCell ref="X113:AA113"/>
    <mergeCell ref="B120:E120"/>
    <mergeCell ref="X120:AA120"/>
    <mergeCell ref="I118:W120"/>
    <mergeCell ref="X119:AA119"/>
    <mergeCell ref="G115:M115"/>
    <mergeCell ref="X128:AA128"/>
    <mergeCell ref="B80:E80"/>
    <mergeCell ref="B86:E86"/>
    <mergeCell ref="X83:Z83"/>
    <mergeCell ref="X126:AA126"/>
    <mergeCell ref="G112:M112"/>
    <mergeCell ref="B112:E112"/>
    <mergeCell ref="B103:E103"/>
    <mergeCell ref="B93:E93"/>
    <mergeCell ref="B89:E89"/>
    <mergeCell ref="X158:AA159"/>
    <mergeCell ref="G125:K125"/>
    <mergeCell ref="B101:E101"/>
    <mergeCell ref="B154:E154"/>
    <mergeCell ref="B135:E135"/>
    <mergeCell ref="B145:E145"/>
    <mergeCell ref="X122:AA122"/>
    <mergeCell ref="B121:E121"/>
    <mergeCell ref="X141:AA141"/>
    <mergeCell ref="B133:E133"/>
    <mergeCell ref="B132:E132"/>
    <mergeCell ref="B128:E128"/>
    <mergeCell ref="G126:K126"/>
    <mergeCell ref="X130:AA130"/>
    <mergeCell ref="X133:AA133"/>
    <mergeCell ref="X115:AA115"/>
    <mergeCell ref="B134:E134"/>
    <mergeCell ref="B149:E149"/>
    <mergeCell ref="G131:K131"/>
    <mergeCell ref="X136:AA136"/>
    <mergeCell ref="X150:AA150"/>
    <mergeCell ref="B131:E131"/>
    <mergeCell ref="X129:AA129"/>
    <mergeCell ref="X106:AA106"/>
    <mergeCell ref="G123:K123"/>
    <mergeCell ref="G116:M116"/>
    <mergeCell ref="X116:AA116"/>
    <mergeCell ref="B117:E117"/>
    <mergeCell ref="G111:M111"/>
    <mergeCell ref="B87:E87"/>
    <mergeCell ref="B96:E96"/>
    <mergeCell ref="B57:E57"/>
    <mergeCell ref="H44:K44"/>
    <mergeCell ref="X46:AA46"/>
    <mergeCell ref="X86:Z86"/>
    <mergeCell ref="F80:I90"/>
    <mergeCell ref="X47:AA47"/>
    <mergeCell ref="B74:E74"/>
    <mergeCell ref="X72:AA72"/>
    <mergeCell ref="B91:E91"/>
    <mergeCell ref="B94:E94"/>
    <mergeCell ref="B107:E107"/>
    <mergeCell ref="O94:W94"/>
    <mergeCell ref="H78:W78"/>
    <mergeCell ref="B102:E102"/>
    <mergeCell ref="B46:E46"/>
    <mergeCell ref="B48:E48"/>
    <mergeCell ref="B49:E49"/>
    <mergeCell ref="B51:E51"/>
    <mergeCell ref="B72:E72"/>
    <mergeCell ref="I72:M72"/>
    <mergeCell ref="G106:M106"/>
    <mergeCell ref="B65:E65"/>
    <mergeCell ref="B83:E83"/>
    <mergeCell ref="B99:E99"/>
    <mergeCell ref="B92:E92"/>
    <mergeCell ref="B104:E104"/>
    <mergeCell ref="B95:E95"/>
    <mergeCell ref="X104:AA104"/>
    <mergeCell ref="B53:E53"/>
    <mergeCell ref="X71:AA71"/>
    <mergeCell ref="X5:AD7"/>
    <mergeCell ref="B42:E42"/>
    <mergeCell ref="B119:E119"/>
    <mergeCell ref="G121:K121"/>
    <mergeCell ref="X118:AA118"/>
    <mergeCell ref="AF24:AI24"/>
    <mergeCell ref="AF27:AJ27"/>
    <mergeCell ref="AF17:AJ17"/>
    <mergeCell ref="X17:AA17"/>
    <mergeCell ref="Q17:W17"/>
    <mergeCell ref="B31:E31"/>
    <mergeCell ref="H39:K39"/>
    <mergeCell ref="B43:E43"/>
    <mergeCell ref="H43:K43"/>
    <mergeCell ref="X39:AA39"/>
    <mergeCell ref="H31:K31"/>
    <mergeCell ref="H42:K42"/>
    <mergeCell ref="B33:E33"/>
    <mergeCell ref="B37:E37"/>
    <mergeCell ref="X32:AA32"/>
    <mergeCell ref="G104:M104"/>
    <mergeCell ref="G105:M105"/>
    <mergeCell ref="H38:K38"/>
    <mergeCell ref="X42:AA42"/>
    <mergeCell ref="X41:AA41"/>
    <mergeCell ref="B88:E88"/>
    <mergeCell ref="B47:E47"/>
    <mergeCell ref="X107:AA107"/>
    <mergeCell ref="B105:E105"/>
    <mergeCell ref="X82:Z82"/>
    <mergeCell ref="X48:AA48"/>
    <mergeCell ref="G107:M107"/>
    <mergeCell ref="AF21:AJ21"/>
    <mergeCell ref="B14:E14"/>
    <mergeCell ref="B25:E25"/>
    <mergeCell ref="G8:G9"/>
    <mergeCell ref="X34:AA34"/>
    <mergeCell ref="X19:AA19"/>
    <mergeCell ref="B22:E22"/>
    <mergeCell ref="AF23:AI23"/>
    <mergeCell ref="AF22:AI22"/>
    <mergeCell ref="AF25:AJ25"/>
    <mergeCell ref="B26:E26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AF26:AJ26"/>
    <mergeCell ref="B23:E23"/>
    <mergeCell ref="H29:K29"/>
    <mergeCell ref="AF15:AI15"/>
    <mergeCell ref="X29:AA29"/>
    <mergeCell ref="B29:E29"/>
    <mergeCell ref="B21:E21"/>
    <mergeCell ref="AF28:AJ28"/>
    <mergeCell ref="AF20:AI20"/>
    <mergeCell ref="B16:E16"/>
    <mergeCell ref="B24:E24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14:AA14"/>
    <mergeCell ref="B7:W7"/>
    <mergeCell ref="B12:E12"/>
    <mergeCell ref="AE5:AI7"/>
    <mergeCell ref="AF10:AH10"/>
    <mergeCell ref="E3:W3"/>
    <mergeCell ref="E4:W4"/>
    <mergeCell ref="B2:W2"/>
    <mergeCell ref="B10:E10"/>
    <mergeCell ref="B11:E11"/>
    <mergeCell ref="AB8:AB9"/>
    <mergeCell ref="C8:E9"/>
    <mergeCell ref="X33:AA33"/>
    <mergeCell ref="G78:G79"/>
    <mergeCell ref="B52:E52"/>
    <mergeCell ref="X70:AA70"/>
    <mergeCell ref="B66:E66"/>
    <mergeCell ref="B61:E61"/>
    <mergeCell ref="B34:E34"/>
    <mergeCell ref="B28:E28"/>
    <mergeCell ref="B32:E32"/>
    <mergeCell ref="H33:K33"/>
    <mergeCell ref="H40:K40"/>
    <mergeCell ref="B41:E41"/>
    <mergeCell ref="X25:AA25"/>
    <mergeCell ref="B68:E68"/>
    <mergeCell ref="B62:E62"/>
    <mergeCell ref="X30:AA30"/>
    <mergeCell ref="B38:E38"/>
    <mergeCell ref="B30:E30"/>
    <mergeCell ref="H37:K37"/>
    <mergeCell ref="H35:K35"/>
    <mergeCell ref="B36:E36"/>
    <mergeCell ref="X35:AA35"/>
    <mergeCell ref="X31:AA31"/>
    <mergeCell ref="B55:E55"/>
    <mergeCell ref="X26:AA26"/>
    <mergeCell ref="H41:K41"/>
    <mergeCell ref="F78:F79"/>
    <mergeCell ref="X44:AA44"/>
    <mergeCell ref="B60:E60"/>
    <mergeCell ref="B35:E35"/>
    <mergeCell ref="B78:B79"/>
    <mergeCell ref="B54:E54"/>
    <mergeCell ref="Q18:W18"/>
    <mergeCell ref="X37:AA37"/>
    <mergeCell ref="H30:K30"/>
    <mergeCell ref="X45:AA45"/>
    <mergeCell ref="X40:AA40"/>
    <mergeCell ref="H45:K45"/>
    <mergeCell ref="B39:E39"/>
    <mergeCell ref="X43:AA43"/>
    <mergeCell ref="X36:AA36"/>
    <mergeCell ref="X38:AA38"/>
    <mergeCell ref="C78:E79"/>
    <mergeCell ref="B73:E73"/>
    <mergeCell ref="B58:E58"/>
    <mergeCell ref="I70:M70"/>
    <mergeCell ref="I71:M71"/>
    <mergeCell ref="B70:E70"/>
    <mergeCell ref="H32:K32"/>
    <mergeCell ref="H34:K34"/>
    <mergeCell ref="H46:K46"/>
    <mergeCell ref="B40:E40"/>
    <mergeCell ref="B45:E45"/>
    <mergeCell ref="X78:AA79"/>
    <mergeCell ref="B27:E27"/>
    <mergeCell ref="H48:K48"/>
    <mergeCell ref="B67:E67"/>
    <mergeCell ref="B63:E63"/>
    <mergeCell ref="B50:E50"/>
    <mergeCell ref="B56:E56"/>
    <mergeCell ref="B44:E44"/>
    <mergeCell ref="H47:K47"/>
    <mergeCell ref="B59:E59"/>
    <mergeCell ref="H36:K36"/>
    <mergeCell ref="B169:E169"/>
    <mergeCell ref="X169:AA169"/>
    <mergeCell ref="B364:E364"/>
    <mergeCell ref="X273:AA273"/>
    <mergeCell ref="B286:E286"/>
    <mergeCell ref="B290:E290"/>
    <mergeCell ref="B296:E296"/>
    <mergeCell ref="B326:E326"/>
    <mergeCell ref="B347:E347"/>
    <mergeCell ref="X209:AA209"/>
    <mergeCell ref="X148:AA148"/>
    <mergeCell ref="X173:AA173"/>
    <mergeCell ref="B247:E247"/>
    <mergeCell ref="X208:AA208"/>
    <mergeCell ref="B229:E229"/>
    <mergeCell ref="B310:E310"/>
    <mergeCell ref="B320:E320"/>
    <mergeCell ref="B166:E166"/>
    <mergeCell ref="X296:AA296"/>
    <mergeCell ref="B360:E360"/>
    <mergeCell ref="B184:E184"/>
    <mergeCell ref="B213:E213"/>
    <mergeCell ref="B212:E212"/>
    <mergeCell ref="B233:E233"/>
    <mergeCell ref="B299:E299"/>
    <mergeCell ref="X238:AA239"/>
    <mergeCell ref="B304:E304"/>
    <mergeCell ref="B221:E221"/>
    <mergeCell ref="B280:E280"/>
    <mergeCell ref="B230:E230"/>
    <mergeCell ref="Q250:W250"/>
    <mergeCell ref="X354:AA354"/>
    <mergeCell ref="B190:E190"/>
    <mergeCell ref="X194:AA194"/>
    <mergeCell ref="B272:E272"/>
    <mergeCell ref="X269:AA269"/>
    <mergeCell ref="B204:E204"/>
    <mergeCell ref="B210:E210"/>
    <mergeCell ref="H207:K212"/>
    <mergeCell ref="B218:E218"/>
    <mergeCell ref="B349:E349"/>
    <mergeCell ref="X289:AA289"/>
    <mergeCell ref="X314:AA314"/>
    <mergeCell ref="B219:E219"/>
    <mergeCell ref="B251:E251"/>
    <mergeCell ref="X185:AA185"/>
    <mergeCell ref="G238:G239"/>
    <mergeCell ref="B287:E287"/>
    <mergeCell ref="B340:E340"/>
    <mergeCell ref="B215:E215"/>
    <mergeCell ref="B195:E195"/>
    <mergeCell ref="X210:AA210"/>
    <mergeCell ref="B217:E217"/>
    <mergeCell ref="B205:E205"/>
    <mergeCell ref="X212:AA212"/>
    <mergeCell ref="B308:E308"/>
    <mergeCell ref="X287:AA287"/>
    <mergeCell ref="B211:E211"/>
    <mergeCell ref="B200:E200"/>
    <mergeCell ref="B206:E206"/>
    <mergeCell ref="B186:E186"/>
    <mergeCell ref="B214:E214"/>
    <mergeCell ref="B192:E192"/>
    <mergeCell ref="B254:E254"/>
    <mergeCell ref="A778:A788"/>
    <mergeCell ref="B786:G786"/>
    <mergeCell ref="B767:E767"/>
    <mergeCell ref="B787:G787"/>
    <mergeCell ref="B768:E768"/>
    <mergeCell ref="B771:E771"/>
    <mergeCell ref="B788:G788"/>
    <mergeCell ref="B777:G777"/>
    <mergeCell ref="B780:G780"/>
    <mergeCell ref="X457:AA457"/>
    <mergeCell ref="B507:E507"/>
    <mergeCell ref="B501:E501"/>
    <mergeCell ref="F572:F573"/>
    <mergeCell ref="B769:E769"/>
    <mergeCell ref="F713:F714"/>
    <mergeCell ref="B706:E706"/>
    <mergeCell ref="X519:AA519"/>
    <mergeCell ref="B469:E469"/>
    <mergeCell ref="X471:AA471"/>
    <mergeCell ref="G478:G479"/>
    <mergeCell ref="X495:AA495"/>
    <mergeCell ref="X493:AA493"/>
    <mergeCell ref="B472:E472"/>
    <mergeCell ref="B494:E494"/>
    <mergeCell ref="X537:AA537"/>
    <mergeCell ref="B677:E677"/>
    <mergeCell ref="B730:E730"/>
    <mergeCell ref="B741:E741"/>
    <mergeCell ref="B633:E633"/>
    <mergeCell ref="X617:AA618"/>
    <mergeCell ref="B527:E527"/>
    <mergeCell ref="X568:AA568"/>
    <mergeCell ref="B547:E547"/>
    <mergeCell ref="B266:E266"/>
    <mergeCell ref="X266:AA266"/>
    <mergeCell ref="B277:E277"/>
    <mergeCell ref="B238:B239"/>
    <mergeCell ref="B260:E260"/>
    <mergeCell ref="B267:E267"/>
    <mergeCell ref="B265:E265"/>
    <mergeCell ref="B306:E306"/>
    <mergeCell ref="B297:E297"/>
    <mergeCell ref="X283:AA283"/>
    <mergeCell ref="B268:E268"/>
    <mergeCell ref="X277:AA277"/>
    <mergeCell ref="B273:E273"/>
    <mergeCell ref="X271:AA271"/>
    <mergeCell ref="X278:AA278"/>
    <mergeCell ref="X272:AA272"/>
    <mergeCell ref="B255:E255"/>
    <mergeCell ref="B274:E274"/>
    <mergeCell ref="B293:E293"/>
    <mergeCell ref="B300:E300"/>
    <mergeCell ref="B301:E301"/>
    <mergeCell ref="X267:AA267"/>
    <mergeCell ref="B389:E389"/>
    <mergeCell ref="B285:E285"/>
    <mergeCell ref="B489:E489"/>
    <mergeCell ref="G489:M489"/>
    <mergeCell ref="X360:AA360"/>
    <mergeCell ref="B365:E365"/>
    <mergeCell ref="X357:AA357"/>
    <mergeCell ref="B510:E510"/>
    <mergeCell ref="B318:B319"/>
    <mergeCell ref="F398:F399"/>
    <mergeCell ref="B351:E351"/>
    <mergeCell ref="B608:E608"/>
    <mergeCell ref="B338:E338"/>
    <mergeCell ref="X566:AA566"/>
    <mergeCell ref="B565:E565"/>
    <mergeCell ref="B562:E562"/>
    <mergeCell ref="B568:E568"/>
    <mergeCell ref="B553:E553"/>
    <mergeCell ref="B554:E554"/>
    <mergeCell ref="X550:AA550"/>
    <mergeCell ref="B550:E550"/>
    <mergeCell ref="B551:E551"/>
    <mergeCell ref="B549:E549"/>
    <mergeCell ref="B561:E561"/>
    <mergeCell ref="B564:E564"/>
    <mergeCell ref="X551:AA551"/>
    <mergeCell ref="B533:E533"/>
    <mergeCell ref="B525:E525"/>
    <mergeCell ref="B531:E531"/>
    <mergeCell ref="B540:E540"/>
    <mergeCell ref="B541:E541"/>
    <mergeCell ref="B542:E542"/>
    <mergeCell ref="B566:E566"/>
    <mergeCell ref="B567:E567"/>
    <mergeCell ref="B545:E545"/>
    <mergeCell ref="I523:M525"/>
    <mergeCell ref="B528:E528"/>
    <mergeCell ref="X546:AA546"/>
    <mergeCell ref="B607:E607"/>
    <mergeCell ref="X516:AA516"/>
    <mergeCell ref="X549:AA549"/>
    <mergeCell ref="B644:E644"/>
    <mergeCell ref="B524:E524"/>
    <mergeCell ref="B610:E610"/>
    <mergeCell ref="B675:E675"/>
    <mergeCell ref="B688:E688"/>
    <mergeCell ref="B649:E649"/>
    <mergeCell ref="B650:E650"/>
    <mergeCell ref="B652:E652"/>
    <mergeCell ref="B646:E646"/>
    <mergeCell ref="B625:E625"/>
    <mergeCell ref="B622:E622"/>
    <mergeCell ref="B630:E630"/>
    <mergeCell ref="B560:E560"/>
    <mergeCell ref="B552:E552"/>
    <mergeCell ref="B529:E529"/>
    <mergeCell ref="B583:E583"/>
    <mergeCell ref="B563:E563"/>
    <mergeCell ref="B534:E534"/>
    <mergeCell ref="B596:E596"/>
    <mergeCell ref="B586:E586"/>
    <mergeCell ref="B576:E576"/>
    <mergeCell ref="B603:E603"/>
    <mergeCell ref="B674:E674"/>
    <mergeCell ref="B643:E643"/>
    <mergeCell ref="B591:E591"/>
    <mergeCell ref="B657:E657"/>
    <mergeCell ref="B631:E631"/>
    <mergeCell ref="B660:E660"/>
    <mergeCell ref="B666:E666"/>
    <mergeCell ref="B612:E612"/>
    <mergeCell ref="B621:E621"/>
    <mergeCell ref="B587:E587"/>
    <mergeCell ref="F639:F640"/>
    <mergeCell ref="C713:E714"/>
    <mergeCell ref="B668:E668"/>
    <mergeCell ref="B667:E667"/>
    <mergeCell ref="B700:E700"/>
    <mergeCell ref="G694:G695"/>
    <mergeCell ref="H694:W694"/>
    <mergeCell ref="B701:E701"/>
    <mergeCell ref="B656:E656"/>
    <mergeCell ref="B663:E663"/>
    <mergeCell ref="B709:E709"/>
    <mergeCell ref="B691:E691"/>
    <mergeCell ref="B686:E686"/>
    <mergeCell ref="B702:E702"/>
    <mergeCell ref="H572:W572"/>
    <mergeCell ref="F617:F618"/>
    <mergeCell ref="G617:G618"/>
    <mergeCell ref="B703:E703"/>
    <mergeCell ref="H617:W617"/>
    <mergeCell ref="B590:E590"/>
    <mergeCell ref="B594:E594"/>
    <mergeCell ref="G572:G573"/>
    <mergeCell ref="B588:E588"/>
    <mergeCell ref="B589:E589"/>
    <mergeCell ref="B617:B618"/>
    <mergeCell ref="C617:E618"/>
    <mergeCell ref="B611:E611"/>
    <mergeCell ref="B602:E602"/>
    <mergeCell ref="B699:E699"/>
    <mergeCell ref="B705:E705"/>
    <mergeCell ref="B689:E689"/>
    <mergeCell ref="B585:E585"/>
    <mergeCell ref="B843:W843"/>
    <mergeCell ref="B817:W817"/>
    <mergeCell ref="B815:W815"/>
    <mergeCell ref="B834:W841"/>
    <mergeCell ref="B818:W818"/>
    <mergeCell ref="B832:W832"/>
    <mergeCell ref="B830:W830"/>
    <mergeCell ref="B823:W826"/>
    <mergeCell ref="B828:W829"/>
    <mergeCell ref="B822:W822"/>
    <mergeCell ref="B819:W819"/>
    <mergeCell ref="S783:S784"/>
    <mergeCell ref="C793:G793"/>
    <mergeCell ref="B766:E766"/>
    <mergeCell ref="N783:N784"/>
    <mergeCell ref="H783:H784"/>
    <mergeCell ref="I783:I784"/>
    <mergeCell ref="B779:G779"/>
    <mergeCell ref="B776:W776"/>
    <mergeCell ref="C794:G794"/>
    <mergeCell ref="AF818:AH818"/>
    <mergeCell ref="O783:O784"/>
    <mergeCell ref="L783:L784"/>
    <mergeCell ref="P783:P784"/>
    <mergeCell ref="C804:I804"/>
    <mergeCell ref="C812:G812"/>
    <mergeCell ref="C813:G813"/>
    <mergeCell ref="M783:M784"/>
    <mergeCell ref="B774:E774"/>
    <mergeCell ref="B772:E772"/>
    <mergeCell ref="B782:W782"/>
    <mergeCell ref="X759:AA759"/>
    <mergeCell ref="B763:E763"/>
    <mergeCell ref="B773:E773"/>
    <mergeCell ref="C795:G795"/>
    <mergeCell ref="U783:U784"/>
    <mergeCell ref="C792:I792"/>
    <mergeCell ref="B790:J790"/>
    <mergeCell ref="AF776:AH776"/>
    <mergeCell ref="V783:V784"/>
    <mergeCell ref="B762:E762"/>
    <mergeCell ref="C796:I797"/>
    <mergeCell ref="C805:I811"/>
    <mergeCell ref="X760:AA760"/>
    <mergeCell ref="B696:E696"/>
    <mergeCell ref="B665:E665"/>
    <mergeCell ref="B756:E756"/>
    <mergeCell ref="X731:AA731"/>
    <mergeCell ref="X758:AA758"/>
    <mergeCell ref="B732:E732"/>
    <mergeCell ref="G721:G722"/>
    <mergeCell ref="H721:W721"/>
    <mergeCell ref="X721:AA722"/>
    <mergeCell ref="X765:AA765"/>
    <mergeCell ref="X732:AA732"/>
    <mergeCell ref="B744:E744"/>
    <mergeCell ref="B725:E725"/>
    <mergeCell ref="B729:E729"/>
    <mergeCell ref="B727:E727"/>
    <mergeCell ref="B743:E743"/>
    <mergeCell ref="B757:E757"/>
    <mergeCell ref="B734:E734"/>
    <mergeCell ref="B731:E731"/>
    <mergeCell ref="B733:E733"/>
    <mergeCell ref="B735:E735"/>
    <mergeCell ref="B739:E739"/>
    <mergeCell ref="B723:E723"/>
    <mergeCell ref="B716:E716"/>
    <mergeCell ref="B698:E698"/>
    <mergeCell ref="B715:E715"/>
    <mergeCell ref="B758:E758"/>
    <mergeCell ref="X738:AA738"/>
    <mergeCell ref="B669:E669"/>
    <mergeCell ref="B721:B722"/>
    <mergeCell ref="X748:AA748"/>
    <mergeCell ref="B760:E760"/>
    <mergeCell ref="C639:E640"/>
    <mergeCell ref="B620:E620"/>
    <mergeCell ref="B717:E717"/>
    <mergeCell ref="J783:J784"/>
    <mergeCell ref="B785:G785"/>
    <mergeCell ref="B712:W712"/>
    <mergeCell ref="B713:B714"/>
    <mergeCell ref="AF804:AH804"/>
    <mergeCell ref="B800:W802"/>
    <mergeCell ref="AB713:AB714"/>
    <mergeCell ref="Q783:Q784"/>
    <mergeCell ref="G713:G714"/>
    <mergeCell ref="B747:E747"/>
    <mergeCell ref="X749:AA749"/>
    <mergeCell ref="X735:AA735"/>
    <mergeCell ref="AF713:AH713"/>
    <mergeCell ref="B726:E726"/>
    <mergeCell ref="X753:AA753"/>
    <mergeCell ref="X741:AA741"/>
    <mergeCell ref="X740:AA740"/>
    <mergeCell ref="B751:E751"/>
    <mergeCell ref="B783:G784"/>
    <mergeCell ref="T783:T784"/>
    <mergeCell ref="B745:E745"/>
    <mergeCell ref="H713:W713"/>
    <mergeCell ref="B728:E728"/>
    <mergeCell ref="B710:E710"/>
    <mergeCell ref="B724:E724"/>
    <mergeCell ref="B749:E749"/>
    <mergeCell ref="X739:AA739"/>
    <mergeCell ref="AF721:AH721"/>
    <mergeCell ref="B737:E737"/>
    <mergeCell ref="C721:E722"/>
    <mergeCell ref="B764:E764"/>
    <mergeCell ref="K783:K784"/>
    <mergeCell ref="B778:G778"/>
    <mergeCell ref="B781:G781"/>
    <mergeCell ref="B770:E770"/>
    <mergeCell ref="B753:E753"/>
    <mergeCell ref="X744:AA744"/>
    <mergeCell ref="X752:AA752"/>
    <mergeCell ref="B754:E754"/>
    <mergeCell ref="B759:E759"/>
    <mergeCell ref="B765:E765"/>
    <mergeCell ref="W783:W784"/>
    <mergeCell ref="X746:AA746"/>
    <mergeCell ref="X751:AA751"/>
    <mergeCell ref="F721:F722"/>
    <mergeCell ref="X754:AA754"/>
    <mergeCell ref="X742:AA742"/>
    <mergeCell ref="X750:AA750"/>
    <mergeCell ref="R783:R784"/>
    <mergeCell ref="B750:E750"/>
    <mergeCell ref="X729:AA729"/>
    <mergeCell ref="B761:E761"/>
    <mergeCell ref="X761:AA761"/>
    <mergeCell ref="X734:AA734"/>
    <mergeCell ref="B738:E738"/>
    <mergeCell ref="X747:AA747"/>
    <mergeCell ref="B755:E755"/>
    <mergeCell ref="X755:AA755"/>
    <mergeCell ref="AF571:AH571"/>
    <mergeCell ref="AB572:AB573"/>
    <mergeCell ref="AF572:AH572"/>
    <mergeCell ref="B600:E600"/>
    <mergeCell ref="B645:E645"/>
    <mergeCell ref="B593:E593"/>
    <mergeCell ref="B642:E642"/>
    <mergeCell ref="B661:E661"/>
    <mergeCell ref="B708:E708"/>
    <mergeCell ref="AB694:AB695"/>
    <mergeCell ref="X764:AA764"/>
    <mergeCell ref="X713:AA714"/>
    <mergeCell ref="B752:E752"/>
    <mergeCell ref="B740:E740"/>
    <mergeCell ref="B742:E742"/>
    <mergeCell ref="B746:E746"/>
    <mergeCell ref="B736:E736"/>
    <mergeCell ref="B697:E697"/>
    <mergeCell ref="B704:E704"/>
    <mergeCell ref="B670:E670"/>
    <mergeCell ref="B664:E664"/>
    <mergeCell ref="B748:E748"/>
    <mergeCell ref="B671:E671"/>
    <mergeCell ref="X743:AA743"/>
    <mergeCell ref="C694:E695"/>
    <mergeCell ref="B634:E634"/>
    <mergeCell ref="B672:E672"/>
    <mergeCell ref="B581:E581"/>
    <mergeCell ref="X694:AA695"/>
    <mergeCell ref="AB721:AB722"/>
    <mergeCell ref="B694:B695"/>
    <mergeCell ref="X737:AA737"/>
    <mergeCell ref="F694:F695"/>
    <mergeCell ref="B693:W693"/>
    <mergeCell ref="B673:E673"/>
    <mergeCell ref="B592:E592"/>
    <mergeCell ref="AF693:AH693"/>
    <mergeCell ref="B577:E577"/>
    <mergeCell ref="B626:E626"/>
    <mergeCell ref="X572:AA573"/>
    <mergeCell ref="C572:E573"/>
    <mergeCell ref="B632:E632"/>
    <mergeCell ref="B627:E627"/>
    <mergeCell ref="B629:E629"/>
    <mergeCell ref="B624:E624"/>
    <mergeCell ref="B678:E678"/>
    <mergeCell ref="B685:E685"/>
    <mergeCell ref="B687:E687"/>
    <mergeCell ref="B662:E662"/>
    <mergeCell ref="B684:E684"/>
    <mergeCell ref="B609:E609"/>
    <mergeCell ref="B579:E579"/>
    <mergeCell ref="B628:E628"/>
    <mergeCell ref="B682:E682"/>
    <mergeCell ref="B683:E683"/>
    <mergeCell ref="B679:E679"/>
    <mergeCell ref="B680:E680"/>
    <mergeCell ref="AF694:AH694"/>
    <mergeCell ref="B623:E623"/>
    <mergeCell ref="B635:E635"/>
    <mergeCell ref="B574:E574"/>
    <mergeCell ref="B616:W616"/>
    <mergeCell ref="B653:E653"/>
    <mergeCell ref="B647:E647"/>
    <mergeCell ref="I529:M534"/>
    <mergeCell ref="B535:E535"/>
    <mergeCell ref="B471:E471"/>
    <mergeCell ref="B491:E491"/>
    <mergeCell ref="X521:AA521"/>
    <mergeCell ref="B478:B479"/>
    <mergeCell ref="C478:E479"/>
    <mergeCell ref="X499:AA499"/>
    <mergeCell ref="X522:AA522"/>
    <mergeCell ref="B485:E485"/>
    <mergeCell ref="B496:E496"/>
    <mergeCell ref="B530:E530"/>
    <mergeCell ref="B509:E509"/>
    <mergeCell ref="X509:AA509"/>
    <mergeCell ref="X538:AA538"/>
    <mergeCell ref="B538:E538"/>
    <mergeCell ref="B495:E495"/>
    <mergeCell ref="B522:E522"/>
    <mergeCell ref="X505:AA505"/>
    <mergeCell ref="X526:AA526"/>
    <mergeCell ref="X527:AA527"/>
    <mergeCell ref="B480:E480"/>
    <mergeCell ref="B536:E536"/>
    <mergeCell ref="X498:AA498"/>
    <mergeCell ref="B506:E506"/>
    <mergeCell ref="X506:AA506"/>
    <mergeCell ref="B481:E481"/>
    <mergeCell ref="B493:E493"/>
    <mergeCell ref="X478:AA479"/>
    <mergeCell ref="B473:E473"/>
    <mergeCell ref="B492:E492"/>
    <mergeCell ref="X513:AA513"/>
    <mergeCell ref="Q251:W251"/>
    <mergeCell ref="B371:E371"/>
    <mergeCell ref="B390:E390"/>
    <mergeCell ref="B402:E402"/>
    <mergeCell ref="X356:AA356"/>
    <mergeCell ref="X302:AA302"/>
    <mergeCell ref="X284:AA284"/>
    <mergeCell ref="B253:E253"/>
    <mergeCell ref="F318:F319"/>
    <mergeCell ref="B400:E400"/>
    <mergeCell ref="B376:E376"/>
    <mergeCell ref="B361:E361"/>
    <mergeCell ref="H318:W318"/>
    <mergeCell ref="B362:E362"/>
    <mergeCell ref="B381:E381"/>
    <mergeCell ref="B331:E331"/>
    <mergeCell ref="B289:E289"/>
    <mergeCell ref="X290:AA290"/>
    <mergeCell ref="B270:E270"/>
    <mergeCell ref="X352:AA352"/>
    <mergeCell ref="B341:E341"/>
    <mergeCell ref="X297:AA297"/>
    <mergeCell ref="B252:E252"/>
    <mergeCell ref="X275:AA275"/>
    <mergeCell ref="X340:AA340"/>
    <mergeCell ref="X335:AA335"/>
    <mergeCell ref="B350:E350"/>
    <mergeCell ref="B356:E356"/>
    <mergeCell ref="B324:E324"/>
    <mergeCell ref="X361:AA361"/>
    <mergeCell ref="X292:AA292"/>
    <mergeCell ref="X355:AA355"/>
    <mergeCell ref="B15:E15"/>
    <mergeCell ref="X15:AA15"/>
    <mergeCell ref="B216:E216"/>
    <mergeCell ref="B114:E114"/>
    <mergeCell ref="B151:E151"/>
    <mergeCell ref="B322:E322"/>
    <mergeCell ref="B294:E294"/>
    <mergeCell ref="B314:E314"/>
    <mergeCell ref="B181:E181"/>
    <mergeCell ref="B176:E176"/>
    <mergeCell ref="B162:E162"/>
    <mergeCell ref="H158:W158"/>
    <mergeCell ref="C158:E159"/>
    <mergeCell ref="B165:E165"/>
    <mergeCell ref="B163:E163"/>
    <mergeCell ref="B173:E173"/>
    <mergeCell ref="B174:E174"/>
    <mergeCell ref="X147:AA147"/>
    <mergeCell ref="G158:G159"/>
    <mergeCell ref="B187:E187"/>
    <mergeCell ref="X187:AA187"/>
    <mergeCell ref="X180:AA180"/>
    <mergeCell ref="B144:E144"/>
    <mergeCell ref="B147:E147"/>
    <mergeCell ref="B152:E152"/>
    <mergeCell ref="B194:E194"/>
    <mergeCell ref="B164:E164"/>
    <mergeCell ref="X154:AA154"/>
    <mergeCell ref="X192:AA192"/>
    <mergeCell ref="X135:AA135"/>
    <mergeCell ref="X138:AA138"/>
    <mergeCell ref="B161:E161"/>
    <mergeCell ref="I224:M224"/>
    <mergeCell ref="X174:AA174"/>
    <mergeCell ref="X186:AA186"/>
    <mergeCell ref="H231:M231"/>
    <mergeCell ref="B231:E231"/>
    <mergeCell ref="B248:E248"/>
    <mergeCell ref="B243:E243"/>
    <mergeCell ref="B185:E185"/>
    <mergeCell ref="B244:E244"/>
    <mergeCell ref="B256:E256"/>
    <mergeCell ref="X291:AA291"/>
    <mergeCell ref="X293:AA293"/>
    <mergeCell ref="X279:AA279"/>
    <mergeCell ref="X280:AA280"/>
    <mergeCell ref="B284:E284"/>
    <mergeCell ref="B282:E282"/>
    <mergeCell ref="B291:E291"/>
    <mergeCell ref="B288:E288"/>
    <mergeCell ref="B250:E250"/>
    <mergeCell ref="B228:E228"/>
    <mergeCell ref="X270:AA270"/>
    <mergeCell ref="B275:E275"/>
    <mergeCell ref="B259:E259"/>
    <mergeCell ref="B234:E234"/>
    <mergeCell ref="B183:E183"/>
    <mergeCell ref="B208:E208"/>
    <mergeCell ref="X207:AA207"/>
    <mergeCell ref="B203:E203"/>
    <mergeCell ref="B202:E202"/>
    <mergeCell ref="B193:E193"/>
    <mergeCell ref="I202:M205"/>
    <mergeCell ref="B199:E199"/>
    <mergeCell ref="AF29:AJ29"/>
    <mergeCell ref="B223:E223"/>
    <mergeCell ref="X341:AA341"/>
    <mergeCell ref="X337:AA337"/>
    <mergeCell ref="X344:AA344"/>
    <mergeCell ref="B271:E271"/>
    <mergeCell ref="H238:W238"/>
    <mergeCell ref="X260:AA260"/>
    <mergeCell ref="X276:AA276"/>
    <mergeCell ref="X288:AA288"/>
    <mergeCell ref="X285:AA285"/>
    <mergeCell ref="X286:AA286"/>
    <mergeCell ref="X298:AA298"/>
    <mergeCell ref="B303:E303"/>
    <mergeCell ref="B278:E278"/>
    <mergeCell ref="G318:G319"/>
    <mergeCell ref="B137:E137"/>
    <mergeCell ref="B167:E167"/>
    <mergeCell ref="B175:E175"/>
    <mergeCell ref="B179:E179"/>
    <mergeCell ref="B150:E150"/>
    <mergeCell ref="B198:E198"/>
    <mergeCell ref="B160:E160"/>
    <mergeCell ref="F158:F159"/>
    <mergeCell ref="B158:B159"/>
    <mergeCell ref="B170:E170"/>
    <mergeCell ref="X170:AA170"/>
    <mergeCell ref="B171:E171"/>
    <mergeCell ref="X171:AA171"/>
    <mergeCell ref="B182:E182"/>
    <mergeCell ref="X182:AA182"/>
    <mergeCell ref="B180:E180"/>
    <mergeCell ref="X193:AA193"/>
    <mergeCell ref="B654:E654"/>
    <mergeCell ref="B191:E191"/>
    <mergeCell ref="X191:AA191"/>
    <mergeCell ref="X420:AA420"/>
    <mergeCell ref="B249:E249"/>
    <mergeCell ref="X249:AA249"/>
    <mergeCell ref="X183:AA183"/>
    <mergeCell ref="X199:AA199"/>
    <mergeCell ref="B196:E196"/>
    <mergeCell ref="B188:E188"/>
    <mergeCell ref="X139:AA139"/>
    <mergeCell ref="X188:AA188"/>
    <mergeCell ref="B148:E148"/>
    <mergeCell ref="B143:E143"/>
    <mergeCell ref="B178:E178"/>
    <mergeCell ref="X178:AA178"/>
    <mergeCell ref="B153:E153"/>
    <mergeCell ref="X151:AA151"/>
    <mergeCell ref="X198:AA198"/>
    <mergeCell ref="B241:E241"/>
    <mergeCell ref="B207:E207"/>
    <mergeCell ref="X153:AA153"/>
    <mergeCell ref="X184:AA184"/>
    <mergeCell ref="X152:AA152"/>
    <mergeCell ref="B226:E226"/>
    <mergeCell ref="B242:E242"/>
    <mergeCell ref="B227:E227"/>
    <mergeCell ref="X345:AA345"/>
    <mergeCell ref="X301:AA301"/>
    <mergeCell ref="X140:AA140"/>
    <mergeCell ref="I223:M223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51" r:id="rId8" display="https://www.jivi.com.ar/ficha.php?id=41"/>
    <hyperlink ref="AB52" r:id="rId9" display="https://www.jivi.com.ar/ficha.php?id=42"/>
    <hyperlink ref="AB53" r:id="rId10" display="https://www.jivi.com.ar/ficha.php?id=649"/>
    <hyperlink ref="AB54" r:id="rId11" display="https://www.jivi.com.ar/ficha.php?id=650"/>
    <hyperlink ref="AB65" r:id="rId12" display="https://www.jivi.com.ar/ficha.php?id=164"/>
    <hyperlink ref="AB69" r:id="rId13" display="https://www.jivi.com.ar/ficha.php?id=77"/>
    <hyperlink ref="AB71" r:id="rId14"/>
    <hyperlink ref="AB73" r:id="rId15"/>
    <hyperlink ref="AC80" r:id="rId16"/>
    <hyperlink ref="AD80" r:id="rId17"/>
    <hyperlink ref="AE80" r:id="rId18"/>
    <hyperlink ref="AF80" r:id="rId19"/>
    <hyperlink ref="AG80" r:id="rId20"/>
    <hyperlink ref="AC81" r:id="rId21"/>
    <hyperlink ref="AD81" r:id="rId22"/>
    <hyperlink ref="AE81" r:id="rId23"/>
    <hyperlink ref="AF81" r:id="rId24"/>
    <hyperlink ref="AG81" r:id="rId25"/>
    <hyperlink ref="AH81" r:id="rId26"/>
    <hyperlink ref="AC82" r:id="rId27"/>
    <hyperlink ref="AD82" r:id="rId28"/>
    <hyperlink ref="AE82" r:id="rId29"/>
    <hyperlink ref="AF82" r:id="rId30"/>
    <hyperlink ref="AH82" r:id="rId31"/>
    <hyperlink ref="AG82" r:id="rId32"/>
    <hyperlink ref="AC83" r:id="rId33"/>
    <hyperlink ref="AD83" r:id="rId34"/>
    <hyperlink ref="AE83" r:id="rId35"/>
    <hyperlink ref="AF83" r:id="rId36"/>
    <hyperlink ref="AC84" r:id="rId37"/>
    <hyperlink ref="AD84" r:id="rId38"/>
    <hyperlink ref="AE84" r:id="rId39"/>
    <hyperlink ref="AF84" r:id="rId40"/>
    <hyperlink ref="AG84" r:id="rId41"/>
    <hyperlink ref="AC85" r:id="rId42"/>
    <hyperlink ref="AD85" r:id="rId43"/>
    <hyperlink ref="AE85" r:id="rId44"/>
    <hyperlink ref="AC86" r:id="rId45"/>
    <hyperlink ref="AD86" r:id="rId46"/>
    <hyperlink ref="AE86" r:id="rId47"/>
    <hyperlink ref="AF86" r:id="rId48"/>
    <hyperlink ref="AG86" r:id="rId49"/>
    <hyperlink ref="AH86" r:id="rId50"/>
    <hyperlink ref="AB87" r:id="rId51"/>
    <hyperlink ref="AB88" r:id="rId52"/>
    <hyperlink ref="AB89" r:id="rId53"/>
    <hyperlink ref="AC90" r:id="rId54"/>
    <hyperlink ref="AD90" r:id="rId55"/>
    <hyperlink ref="AE90" r:id="rId56"/>
    <hyperlink ref="AF90" r:id="rId57"/>
    <hyperlink ref="AG90" r:id="rId58"/>
    <hyperlink ref="AB366" r:id="rId59" display="https://www.jivi.com.ar/ficha.php?id=187"/>
    <hyperlink ref="AB368" r:id="rId60" display="https://www.jivi.com.ar/ficha.php?id=4"/>
    <hyperlink ref="AB378" r:id="rId61" display="https://www.jivi.com.ar/ficha.php?id=55"/>
    <hyperlink ref="AB380" r:id="rId62" display="https://www.jivi.com.ar/ficha.php?id=209"/>
    <hyperlink ref="AB381" r:id="rId63"/>
    <hyperlink ref="AB389" r:id="rId64" display="https://www.jivi.com.ar/ficha.php?id=380"/>
    <hyperlink ref="AB393" r:id="rId65" display="https://www.jivi.com.ar/ficha.php?id=548"/>
    <hyperlink ref="AB394" r:id="rId66"/>
    <hyperlink ref="AB402" r:id="rId67" display="https://www.jivi.com.ar/ficha.php?id=719"/>
    <hyperlink ref="AB99" r:id="rId68" display="https://www.jivi.com.ar/ficha.php?id=326"/>
    <hyperlink ref="AB103" r:id="rId69" display="https://www.jivi.com.ar/ficha.php?id=134"/>
    <hyperlink ref="AB144" r:id="rId70" display="https://www.jivi.com.ar/ficha.php?id=394"/>
    <hyperlink ref="AB145" r:id="rId71" display="https://www.jivi.com.ar/ficha.php?id=145"/>
    <hyperlink ref="AB148" r:id="rId72" display="https://www.jivi.com.ar/ficha.php?id=18"/>
    <hyperlink ref="AB152" r:id="rId73" display="https://www.jivi.com.ar/ficha.php?id=19"/>
    <hyperlink ref="AB161" r:id="rId74" display="https://www.jivi.com.ar/ficha.php?id=142"/>
    <hyperlink ref="AB162" r:id="rId75" display="https://www.jivi.com.ar/ficha.php?id=392"/>
    <hyperlink ref="AB163" r:id="rId76" display="https://www.jivi.com.ar/ficha.php?id=393"/>
    <hyperlink ref="AB202" r:id="rId77" display="https://www.jivi.com.ar/ficha.php?id=135"/>
    <hyperlink ref="AB203" r:id="rId78" display="https://www.jivi.com.ar/ficha.php?id=136"/>
    <hyperlink ref="AB204" r:id="rId79" display="https://www.jivi.com.ar/ficha.php?id=137"/>
    <hyperlink ref="AB205" r:id="rId80" display="https://www.jivi.com.ar/ficha.php?id=138"/>
    <hyperlink ref="AB213" r:id="rId81" display="https://www.jivi.com.ar/ficha.php?id=245"/>
    <hyperlink ref="AB231" r:id="rId82" display="https://www.jivi.com.ar/ficha.php?id=166"/>
    <hyperlink ref="AB232" r:id="rId83" display="https://www.jivi.com.ar/ficha.php?id=171"/>
    <hyperlink ref="AB241" r:id="rId84" display="https://www.jivi.com.ar/ficha.php?id=168"/>
    <hyperlink ref="AB248" r:id="rId85" display="https://www.jivi.com.ar/ficha.php?id=169"/>
    <hyperlink ref="AB250" r:id="rId86" display="https://www.jivi.com.ar/ficha.php?id=148"/>
    <hyperlink ref="AB251" r:id="rId87" display="https://www.jivi.com.ar/ficha.php?id=158"/>
    <hyperlink ref="AB737" r:id="rId88" display="https://www.jivi.com.ar/ficha.php?id=621"/>
    <hyperlink ref="AB738" r:id="rId89" display="https://www.jivi.com.ar/ficha.php?id=622"/>
    <hyperlink ref="AB94" r:id="rId90" display="https://www.jivi.com.ar/ficha.php?id=456"/>
    <hyperlink ref="AB308" r:id="rId91" display="https://www.jivi.com.ar/ficha.php?id=246"/>
    <hyperlink ref="AB498" r:id="rId92" display="https://www.jivi.com.ar/ficha.php?id=431"/>
    <hyperlink ref="AB502" r:id="rId93" display="https://www.jivi.com.ar/ficha.php?id=728"/>
    <hyperlink ref="AB529" r:id="rId94"/>
    <hyperlink ref="AB531" r:id="rId95"/>
    <hyperlink ref="AB539" r:id="rId96"/>
    <hyperlink ref="AB541" r:id="rId97"/>
    <hyperlink ref="AB544" r:id="rId98"/>
    <hyperlink ref="AB545" r:id="rId99"/>
    <hyperlink ref="AB546" r:id="rId100"/>
    <hyperlink ref="AB548" r:id="rId101"/>
    <hyperlink ref="AB549" r:id="rId102"/>
    <hyperlink ref="AB551" r:id="rId103"/>
    <hyperlink ref="AB561" r:id="rId104"/>
    <hyperlink ref="AB562" r:id="rId105"/>
    <hyperlink ref="AB716" r:id="rId106"/>
    <hyperlink ref="AB726" r:id="rId107"/>
    <hyperlink ref="AB727" r:id="rId108"/>
    <hyperlink ref="AB373" r:id="rId109" display="https://www.jivi.com.ar/ficha.php?id=51"/>
    <hyperlink ref="AB382" r:id="rId110"/>
    <hyperlink ref="B7:V7" location="'Artículos Publicitarios'!A686" display="PARA IR A LOS RECARGOS POR IMPRESIONES ADICIONALES CLICK AQUÍ"/>
    <hyperlink ref="AB533" r:id="rId111"/>
    <hyperlink ref="AC49" r:id="rId112"/>
    <hyperlink ref="AD49" r:id="rId113"/>
    <hyperlink ref="AE49" r:id="rId114"/>
    <hyperlink ref="B7:W7" location="'Artículos Publicitarios'!A780" display="PARA IR A LOS RECARGOS POR IMPRESIONES ADICIONALES CLICK AQUÍ"/>
    <hyperlink ref="AB260" r:id="rId115" display="https://www.jivi.com.ar/ficha.php?id=840"/>
    <hyperlink ref="AE2:AF2" location="'Artículos Publicitarios'!A839" display="CLICK AQUÍ"/>
    <hyperlink ref="AE2" location="'Artículos Publicitarios'!A833" display="CLICK AQUÍ"/>
    <hyperlink ref="AB603" r:id="rId116" display="https://www.jivi.com.ar/ficha.php?id=846"/>
    <hyperlink ref="AB25" r:id="rId117" display="https://www.jivi.com.ar/ficha.php?id=848"/>
    <hyperlink ref="AB74" r:id="rId118"/>
    <hyperlink ref="AE2:AG2" location="'Artículos Publicitarios'!A850" display="CLICK AQUÍ"/>
    <hyperlink ref="B843:W843" location="'Artículos Publicitarios'!A3" display="PARA SUBIR AL PRINCIPIO DE LA LISTA CLICK AQUÍ"/>
    <hyperlink ref="AB303" r:id="rId119" display="https://www.jivi.com.ar/ficha.php?id=862"/>
    <hyperlink ref="AB42" r:id="rId120"/>
    <hyperlink ref="AB164" r:id="rId121" display="https://www.jivi.com.ar/ficha.php?id=88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741" r:id="rId122" display="https://www.jivi.com.ar/ficha.php?id=903"/>
    <hyperlink ref="AB21" r:id="rId123"/>
    <hyperlink ref="AB734" r:id="rId124" display="https://www.jivi.com.ar/ficha.php?id=918"/>
    <hyperlink ref="AB369" r:id="rId125" display="https://www.jivi.com.ar/ficha.php?id=926"/>
    <hyperlink ref="AB66" r:id="rId126"/>
    <hyperlink ref="AB526" r:id="rId127"/>
    <hyperlink ref="AB206" r:id="rId128" display="https://www.jivi.com.ar/ficha.php?id=948"/>
    <hyperlink ref="AB379" r:id="rId129" display="https://www.jivi.com.ar/ficha.php?id=954"/>
    <hyperlink ref="AB139" r:id="rId130"/>
    <hyperlink ref="AB141" r:id="rId131"/>
    <hyperlink ref="AB140" r:id="rId132"/>
    <hyperlink ref="AB534" r:id="rId133"/>
    <hyperlink ref="AB374" r:id="rId134" display="https://www.jivi.com.ar/ficha.php?id=850"/>
    <hyperlink ref="AB142" r:id="rId135"/>
    <hyperlink ref="AB552" r:id="rId136"/>
    <hyperlink ref="AB553" r:id="rId137"/>
    <hyperlink ref="AB403" r:id="rId138" display="https://www.jivi.com.ar/ficha.php?id=1023"/>
    <hyperlink ref="AB370" r:id="rId139" display="https://www.jivi.com.ar/ficha.php?id=1025"/>
    <hyperlink ref="AB376" r:id="rId140" display="https://www.jivi.com.ar/ficha.php?id=647"/>
    <hyperlink ref="AB365" r:id="rId141" display="https://www.jivi.com.ar/ficha.php?id=1049"/>
    <hyperlink ref="AB23" r:id="rId142" display="https://www.jivi.com.ar/ficha.php?id=364"/>
    <hyperlink ref="AF23:AI23" location="'Artículos Publicitarios'!A713" display="IR A PROD. SUBLIMADOS"/>
    <hyperlink ref="AB387" r:id="rId143" display="https://www.jivi.com.ar/ficha.php?id=1095"/>
    <hyperlink ref="AB371" r:id="rId144" display="https://www.jivi.com.ar/ficha.php?id=1094"/>
    <hyperlink ref="AB367" r:id="rId145" display="https://www.jivi.com.ar/ficha.php?id=297"/>
    <hyperlink ref="AB409" r:id="rId146" display="https://www.jivi.com.ar/ficha.php?id=1097"/>
    <hyperlink ref="AB97" r:id="rId147" display="https://www.jivi.com.ar/ficha.php?id=1098"/>
    <hyperlink ref="AB20" r:id="rId148"/>
    <hyperlink ref="AB254" r:id="rId149"/>
    <hyperlink ref="AB363" r:id="rId150" display="https://www.jivi.com.ar/ficha.php?id=1108"/>
    <hyperlink ref="AF24:AI24" location="'Artículos Publicitarios'!A171" display="IR A CARPITAS"/>
    <hyperlink ref="AF20:AI20" location="'Artículos Publicitarios'!A129" display="IR A CINTAS COLGANTES"/>
    <hyperlink ref="AF26:AI26" location="'Artículos Publicitarios'!A264" display="IR A PORTADOCUMENTOS"/>
    <hyperlink ref="AB198" r:id="rId151" display="https://www.jivi.com.ar/ficha.php?id=1119"/>
    <hyperlink ref="AB199" r:id="rId152"/>
    <hyperlink ref="AB729" r:id="rId153" display="https://www.jivi.com.ar/ficha.php?id=1154"/>
    <hyperlink ref="AB739" r:id="rId154" display="https://www.jivi.com.ar/ficha.php?id=1157"/>
    <hyperlink ref="AB740" r:id="rId155" display="https://www.jivi.com.ar/ficha.php?id=1158"/>
    <hyperlink ref="AB708" r:id="rId156" display="hhttps://www.jivi.com.ar/ficha.php?id=1155"/>
    <hyperlink ref="AB709" r:id="rId157" display="https://www.jivi.com.ar/ficha.php?id=1156"/>
    <hyperlink ref="AB372" r:id="rId158"/>
    <hyperlink ref="AB50" r:id="rId159" display="https://www.jivi.com.ar/ficha.php?id=1172"/>
    <hyperlink ref="AB375" r:id="rId160"/>
    <hyperlink ref="AB96" r:id="rId161"/>
    <hyperlink ref="AB127" r:id="rId162"/>
    <hyperlink ref="AB377" r:id="rId163" display="https://www.jivi.com.ar/ficha.php?id=915"/>
    <hyperlink ref="AB106" r:id="rId164" display="https://www.jivi.com.ar/ficha.php?id=1182"/>
    <hyperlink ref="AB126" r:id="rId165" display="https://www.jivi.com.ar/ficha.php?id=1183"/>
    <hyperlink ref="AB128" r:id="rId166"/>
    <hyperlink ref="AB448" r:id="rId167" display="https://www.jivi.com.ar/ficha.php?id=1190"/>
    <hyperlink ref="AB104" r:id="rId168" display="https://www.jivi.com.ar/ficha.php?id=1181"/>
    <hyperlink ref="AB385" r:id="rId169"/>
    <hyperlink ref="AB535" r:id="rId170"/>
    <hyperlink ref="AB451" r:id="rId171" display="https://www.jivi.com.ar/ficha.php?id=1219"/>
    <hyperlink ref="AB47" r:id="rId172"/>
    <hyperlink ref="AB46" r:id="rId173"/>
    <hyperlink ref="AB48" r:id="rId174"/>
    <hyperlink ref="AB742" r:id="rId175" display="https://www.jivi.com.ar/ficha.php?id=904"/>
    <hyperlink ref="AB58" r:id="rId176" display="00085-1B"/>
    <hyperlink ref="AB493" r:id="rId177" display="https://www.jivi.com.ar/ficha.php?id=1225"/>
    <hyperlink ref="AB41" r:id="rId178"/>
    <hyperlink ref="AB735" r:id="rId179" display="https://www.jivi.com.ar/ficha.php?id=919"/>
    <hyperlink ref="AB40" r:id="rId180"/>
    <hyperlink ref="AB165" r:id="rId181" display="https://www.jivi.com.ar/ficha.php?id=883"/>
    <hyperlink ref="AB566" r:id="rId182"/>
    <hyperlink ref="AB132" r:id="rId183" display="https://jivi.com.ar/ficha.php?id=89"/>
    <hyperlink ref="AB608" r:id="rId184" display="https://www.jivi.com.ar/ficha.php?id=1248"/>
    <hyperlink ref="AB388" r:id="rId185" display="https://www.jivi.com.ar/ficha.php?id=1253"/>
    <hyperlink ref="AB304" r:id="rId186" display="https://www.jivi.com.ar/ficha.php?id=1124"/>
    <hyperlink ref="AB166" r:id="rId187" display="https://www.jivi.com.ar/ficha.php?id=1261"/>
    <hyperlink ref="AB494" r:id="rId188" display="https://www.jivi.com.ar/ficha.php?id=1268"/>
    <hyperlink ref="AB426" r:id="rId189" display="https://www.jivi.com.ar/ficha.php?id=1277"/>
    <hyperlink ref="AB762" r:id="rId190"/>
    <hyperlink ref="AB95" r:id="rId191" display="https://www.jivi.com.ar/ficha.php?id=378"/>
    <hyperlink ref="AB195" r:id="rId192"/>
    <hyperlink ref="AB105" r:id="rId193"/>
    <hyperlink ref="AB107" r:id="rId194"/>
    <hyperlink ref="AB121" r:id="rId195" display="https://www.jivi.com.ar/ficha.php?id=1305"/>
    <hyperlink ref="AB122" r:id="rId196"/>
    <hyperlink ref="AB253" r:id="rId197" display="https://www.jivi.com.ar/ficha.php?id=1287"/>
    <hyperlink ref="AB710" r:id="rId198" display="https://www.jivi.com.ar/ficha.php?id=1290"/>
    <hyperlink ref="AB100" r:id="rId199" display="https://www.jivi.com.ar/ficha.php?id=1314"/>
    <hyperlink ref="AJ1:AJ2" location="'Artículos Publicitarios'!A3" display="IR A PAGINA 1"/>
    <hyperlink ref="AB194" r:id="rId200"/>
    <hyperlink ref="AB413" r:id="rId201" display="https://www.jivi.com.ar/ficha.php?id=1344"/>
    <hyperlink ref="AB123" r:id="rId202"/>
    <hyperlink ref="AF804:AH804" location="'Artículos Publicitarios'!A3" display="IR A PAGINA 1"/>
    <hyperlink ref="AB175" r:id="rId203" display="https://www.jivi.com.ar/ficha.php?id=1346"/>
    <hyperlink ref="AB176" r:id="rId204" display="https://www.jivi.com.ar/ficha.php?id=1347"/>
    <hyperlink ref="AB219" r:id="rId205" display="https://www.jivi.com.ar/ficha.php?id=1348"/>
    <hyperlink ref="AB414" r:id="rId206" display="https://www.jivi.com.ar/ficha.php?id=1359"/>
    <hyperlink ref="AB429" r:id="rId207" display="https://www.jivi.com.ar/ficha.php?id=1360"/>
    <hyperlink ref="AB196" r:id="rId208"/>
    <hyperlink ref="AB102" r:id="rId209" display="https://www.jivi.com.ar/ficha.php?id=1366"/>
    <hyperlink ref="AC8:AI9" r:id="rId210" display="REGISTRATE EN NUESTRA WEB PARA BAJAR LISTA DE PRECIOS DESDE CUALQUIER PC"/>
    <hyperlink ref="AB436" r:id="rId211" display="https://www.jivi.com.ar/ficha.php?id=1372"/>
    <hyperlink ref="AB433" r:id="rId212" display="https://www.jivi.com.ar/ficha.php?id=1378"/>
    <hyperlink ref="AB437" r:id="rId213" display="https://www.jivi.com.ar/ficha.php?id=1382"/>
    <hyperlink ref="AB432" r:id="rId214" display="https://www.jivi.com.ar/ficha.php?id=1383"/>
    <hyperlink ref="AB456" r:id="rId215" display="https://www.jivi.com.ar/ficha.php?id=1384"/>
    <hyperlink ref="AB134" r:id="rId216" display="https://www.jivi.com.ar/ficha.php?id=1428"/>
    <hyperlink ref="AB457" r:id="rId217" display="https://www.jivi.com.ar/ficha.php?id=1385"/>
    <hyperlink ref="AB455" r:id="rId218" display="https://www.jivi.com.ar/ficha.php?id=1387"/>
    <hyperlink ref="AB458" r:id="rId219" display="https://www.jivi.com.ar/ficha.php?id=1389"/>
    <hyperlink ref="AB22" r:id="rId220" display="https://www.jivi.com.ar/ficha.php?id=363"/>
    <hyperlink ref="AF22" location="'Artículos Publicitarios'!A582" display="IR A REMERAS"/>
    <hyperlink ref="AF22:AI22" location="'Artículos Publicitarios'!A559" display="IR A REMERAS"/>
    <hyperlink ref="AF26:AJ26" location="'Artículos Publicitarios'!A245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732" display="IR A ART. DE CUERO - CUCHILLERIA"/>
    <hyperlink ref="AB56" r:id="rId221" display="https://www.jivi.com.ar/ficha.php?id=236"/>
    <hyperlink ref="AB181" r:id="rId222" display="https://www.jivi.com.ar/ficha.php?id=1343"/>
    <hyperlink ref="AF13:AH13" location="'Artículos Publicitarios'!A342" display="IR A PAGINA 5"/>
    <hyperlink ref="AF14:AH14" location="'Artículos Publicitarios'!A421" display="IR A PAGINA 6"/>
    <hyperlink ref="AB438" r:id="rId223" display="https://www.jivi.com.ar/ficha.php?id=1394"/>
    <hyperlink ref="AB255" r:id="rId224" display="https://www.jivi.com.ar/ficha.php?id=872"/>
    <hyperlink ref="AB154" r:id="rId225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80" display="IR A BOLIGRAFOS"/>
    <hyperlink ref="AB454" r:id="rId226" display="https://www.jivi.com.ar/ficha.php?id=1262"/>
    <hyperlink ref="AB430" r:id="rId227" display="https://www.jivi.com.ar/ficha.php?id=1400"/>
    <hyperlink ref="AB439" r:id="rId228" display="https://www.jivi.com.ar/ficha.php?id=1401"/>
    <hyperlink ref="AB173" r:id="rId229" display="https://www.jivi.com.ar/ficha.php?id=1392"/>
    <hyperlink ref="AB298" r:id="rId230" display="https://www.jivi.com.ar/ficha.php?id=1230"/>
    <hyperlink ref="AB415" r:id="rId231" display="https://www.jivi.com.ar/ficha.php?id=1110"/>
    <hyperlink ref="AB418" r:id="rId232" display="https://www.jivi.com.ar/ficha.php?id=1111"/>
    <hyperlink ref="AF21:AI21" location="'Artículos Publicitarios'!A325" display="IR A SET DE NOTAS"/>
    <hyperlink ref="AF21:AJ21" location="'Artículos Publicitarios'!A591" display="IR A PARAGUAS"/>
    <hyperlink ref="AB91" r:id="rId233" display="https://www.jivi.com.ar/ficha.php?id=477"/>
    <hyperlink ref="AB93" r:id="rId234" display="https://www.jivi.com.ar/ficha.php?id=376"/>
    <hyperlink ref="AB13" r:id="rId235" display="https://www.jivi.com.ar/ficha.php?id=1402"/>
    <hyperlink ref="AB596" r:id="rId236" display="https://www.jivi.com.ar/ficha.php?id=1393"/>
    <hyperlink ref="AB17" r:id="rId237" display="https://www.jivi.com.ar/ficha.php?id=1405"/>
    <hyperlink ref="AB131" r:id="rId238" display="https://www.jivi.com.ar/ficha.php?id=1413"/>
    <hyperlink ref="AB189" r:id="rId239" display="https://www.jivi.com.ar/ficha.php?id=1415"/>
    <hyperlink ref="AF12:AH12" location="'Artículos Publicitarios'!A260" display="IR A PAGINA 4"/>
    <hyperlink ref="AB356" r:id="rId240" display="https://www.jivi.com.ar/ficha.php?id=1356"/>
    <hyperlink ref="AB240" r:id="rId241" display="https://www.jivi.com.ar/ficha.php?id=1084"/>
    <hyperlink ref="AB354" r:id="rId242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787" display="IR A DELANTALES"/>
    <hyperlink ref="AB767" r:id="rId243"/>
    <hyperlink ref="AB770" r:id="rId244"/>
    <hyperlink ref="AB736" r:id="rId245" display="https://www.jivi.com.ar/ficha.php?id=1281"/>
    <hyperlink ref="AB757" r:id="rId246"/>
    <hyperlink ref="AB328" r:id="rId247" display="https://www.jivi.com.ar/ficha.php?id=1421"/>
    <hyperlink ref="AB331" r:id="rId248" display="https://www.jivi.com.ar/ficha.php?id=1422"/>
    <hyperlink ref="AB332" r:id="rId249" display="https://www.jivi.com.ar/ficha.php?id=1423"/>
    <hyperlink ref="AB352" r:id="rId250" display="https://www.jivi.com.ar/ficha.php?id=1425"/>
    <hyperlink ref="AB353" r:id="rId251" display="https://www.jivi.com.ar/ficha.php?id=1426"/>
    <hyperlink ref="AB491" r:id="rId252" display="https://www.jivi.com.ar/ficha.php?id=1429"/>
    <hyperlink ref="AB537" r:id="rId253"/>
    <hyperlink ref="AB590" r:id="rId254" display="https://www.jivi.com.ar/ficha.php?id=1436"/>
    <hyperlink ref="AB591" r:id="rId255" display="https://www.jivi.com.ar/ficha.php?id=1437"/>
    <hyperlink ref="AB592" r:id="rId256"/>
    <hyperlink ref="AB594" r:id="rId257" display="https://www.jivi.com.ar/ficha.php?id=1439"/>
    <hyperlink ref="AB330" r:id="rId258" display="https://www.jivi.com.ar/ficha.php?id=1442"/>
    <hyperlink ref="AB350" r:id="rId259" display="https://www.jivi.com.ar/ficha.php?id=1427"/>
    <hyperlink ref="AB728" r:id="rId260"/>
    <hyperlink ref="AB408" r:id="rId261" display="https://www.jivi.com.ar/ficha.php?id=1056"/>
    <hyperlink ref="AB297" r:id="rId262" display="https://www.jivi.com.ar/ficha.php?id=1334"/>
    <hyperlink ref="AB291" r:id="rId263" display="https://www.jivi.com.ar/ficha.php?id=1335"/>
    <hyperlink ref="AB339" r:id="rId264" display="https://www.jivi.com.ar/ficha.php?id=1446"/>
    <hyperlink ref="AB355" r:id="rId265" display="https://www.jivi.com.ar/ficha.php?id=1354"/>
    <hyperlink ref="AB345" r:id="rId266" display="https://www.jivi.com.ar/ficha.php?id=1448"/>
    <hyperlink ref="AB362" r:id="rId267" display="https://www.jivi.com.ar/ficha.php?id=1450"/>
    <hyperlink ref="AB215" r:id="rId268"/>
    <hyperlink ref="AB527" r:id="rId269"/>
    <hyperlink ref="AB763" r:id="rId270"/>
    <hyperlink ref="AB444" r:id="rId271" display="https://www.jivi.com.ar/ficha.php?id=1463"/>
    <hyperlink ref="AB445" r:id="rId272" display="https://www.jivi.com.ar/ficha.php?id=1464"/>
    <hyperlink ref="AB597" r:id="rId273" display="https://www.jivi.com.ar/ficha.php?id=1467"/>
    <hyperlink ref="AB611" r:id="rId274"/>
    <hyperlink ref="AB612" r:id="rId275" display="https://www.jivi.com.ar/ficha.php?id=1472"/>
    <hyperlink ref="AB547" r:id="rId276"/>
    <hyperlink ref="AB705" r:id="rId277"/>
    <hyperlink ref="AB706" r:id="rId278"/>
    <hyperlink ref="AB704" r:id="rId279"/>
    <hyperlink ref="AB245" r:id="rId280" display="https://www.jivi.com.ar/ficha.php?id=1478"/>
    <hyperlink ref="AB246" r:id="rId281"/>
    <hyperlink ref="AB247" r:id="rId282"/>
    <hyperlink ref="AB234" r:id="rId283" display="https://www.jivi.com.ar/ficha.php?id=1481"/>
    <hyperlink ref="AB256" r:id="rId284" display="https://www.jivi.com.ar/ficha.php?id=1483"/>
    <hyperlink ref="AB289" r:id="rId285" display="https://www.jivi.com.ar/ficha.php?id=1486"/>
    <hyperlink ref="AB290" r:id="rId286" display="https://www.jivi.com.ar/ficha.php?id=1488"/>
    <hyperlink ref="AB730" r:id="rId287" display="https://www.jivi.com.ar/ficha.php?id=1492"/>
    <hyperlink ref="AB731" r:id="rId288" display="https://www.jivi.com.ar/ficha.php?id=1493"/>
    <hyperlink ref="AB732" r:id="rId289" display="https://www.jivi.com.ar/ficha.php?id=1494"/>
    <hyperlink ref="AB733" r:id="rId290"/>
    <hyperlink ref="AB746" r:id="rId291" display="https://www.jivi.com.ar/ficha.php?id=1496"/>
    <hyperlink ref="AB747" r:id="rId292" display="https://www.jivi.com.ar/ficha.php?id=1497"/>
    <hyperlink ref="AB749" r:id="rId293" display="https://www.jivi.com.ar/ficha.php?id=1498"/>
    <hyperlink ref="AB750" r:id="rId294" display="https://www.jivi.com.ar/ficha.php?id=1499"/>
    <hyperlink ref="AB751" r:id="rId295" display="https://www.jivi.com.ar/ficha.php?id=1500"/>
    <hyperlink ref="AB35" r:id="rId296"/>
    <hyperlink ref="AB37" r:id="rId297"/>
    <hyperlink ref="AB34" r:id="rId298"/>
    <hyperlink ref="AB36" r:id="rId299"/>
    <hyperlink ref="AB38" r:id="rId300"/>
    <hyperlink ref="AB39" r:id="rId301"/>
    <hyperlink ref="AB588" r:id="rId302" display="https://www.jivi.com.ar/ficha.php?id=1509"/>
    <hyperlink ref="AB568" r:id="rId303"/>
    <hyperlink ref="AB327" r:id="rId304" display="https://www.jivi.com.ar/ficha.php?id=1515"/>
    <hyperlink ref="AB70" r:id="rId305"/>
    <hyperlink ref="AB72" r:id="rId306"/>
    <hyperlink ref="AB441" r:id="rId307" display="https://www.jivi.com.ar/ficha.php?id=1523"/>
    <hyperlink ref="AB326" r:id="rId308" display="https://www.jivi.com.ar/ficha.php?id=1559"/>
    <hyperlink ref="AB329" r:id="rId309" display="https://www.jivi.com.ar/ficha.php?id=1527"/>
    <hyperlink ref="AB278" r:id="rId310" display="https://www.jivi.com.ar/ficha.php?id=1532"/>
    <hyperlink ref="AB287" r:id="rId311" display="https://www.jivi.com.ar/ficha.php?id=1534"/>
    <hyperlink ref="AB752" r:id="rId312" display="https://www.jivi.com.ar/ficha.php?id=1535"/>
    <hyperlink ref="AB753" r:id="rId313" display="https://www.jivi.com.ar/ficha.php?id=1536"/>
    <hyperlink ref="AB259" r:id="rId314" display="https://www.jivi.com.ar/ficha.php?id=1539"/>
    <hyperlink ref="AB138" r:id="rId315" display="https://www.jivi.com.ar/ficha.php?id=1540"/>
    <hyperlink ref="AB609" r:id="rId316" display="https://www.jivi.com.ar/ficha.php?id=1541"/>
    <hyperlink ref="AB610" r:id="rId317" display="https://www.jivi.com.ar/ficha.php?id=1542"/>
    <hyperlink ref="AB272" r:id="rId318" display="https://www.jivi.com.ar/ficha.php?id=1545"/>
    <hyperlink ref="AB416" r:id="rId319"/>
    <hyperlink ref="AB386" r:id="rId320" display="https://www.jivi.com.ar/ficha.php?id=981"/>
    <hyperlink ref="AB442" r:id="rId321" display="https://www.jivi.com.ar/ficha.php?id=1548"/>
    <hyperlink ref="AB443" r:id="rId322" display="https://www.jivi.com.ar/ficha.php?id=1549"/>
    <hyperlink ref="AB507" r:id="rId323"/>
    <hyperlink ref="AB473" r:id="rId324" display="https://www.jivi.com.ar/ficha.php?id=1552"/>
    <hyperlink ref="AB411" r:id="rId325" display="https://www.jivi.com.ar/ficha.php?id=1311"/>
    <hyperlink ref="AB153" r:id="rId326" display="https://www.jivi.com.ar/ficha.php?id=1553"/>
    <hyperlink ref="AB149" r:id="rId327" display="https://www.jivi.com.ar/ficha.php?id=1554"/>
    <hyperlink ref="AB660" r:id="rId328" display="https://www.jivi.com.ar/ficha.php?id=1555"/>
    <hyperlink ref="AB55" r:id="rId329" display="https://www.jivi.com.ar/ficha.php?id=1557"/>
    <hyperlink ref="AB768" r:id="rId330"/>
    <hyperlink ref="AB257" r:id="rId331" display="https://www.jivi.com.ar/ficha.php?id=518"/>
    <hyperlink ref="AB216" r:id="rId332" display="https://www.jivi.com.ar/ficha.php?id=1561"/>
    <hyperlink ref="AB10" r:id="rId333" display="https://www.jivi.com.ar/ficha.php?id=26"/>
    <hyperlink ref="AB265" r:id="rId334" display="https://www.jivi.com.ar/ficha.php?id=1066"/>
    <hyperlink ref="AB269" r:id="rId335" display="https://www.jivi.com.ar/ficha.php?id=1562"/>
    <hyperlink ref="AB499" r:id="rId336" display="https://www.jivi.com.ar/ficha.php?id=1563"/>
    <hyperlink ref="AB174" r:id="rId337" display="https://www.jivi.com.ar/ficha.php?id=1414"/>
    <hyperlink ref="AB18" r:id="rId338" display="https://www.jivi.com.ar/ficha.php?id=790"/>
    <hyperlink ref="AB336" r:id="rId339" display="https://www.jivi.com.ar/ficha.php?id=1407"/>
    <hyperlink ref="AB335" r:id="rId340" display="https://www.jivi.com.ar/ficha.php?id=1409"/>
    <hyperlink ref="AB337" r:id="rId341" display="https://www.jivi.com.ar/ficha.php?id=1408"/>
    <hyperlink ref="AB324" r:id="rId342" display="https://www.jivi.com.ar/ficha.php?id=1564"/>
    <hyperlink ref="AB27" r:id="rId343" display="https://www.jivi.com.ar/ficha.php?id=1434"/>
    <hyperlink ref="AB446" r:id="rId344" display="https://www.jivi.com.ar/ficha.php?id=1567"/>
    <hyperlink ref="AB43" r:id="rId345"/>
    <hyperlink ref="AB44" r:id="rId346"/>
    <hyperlink ref="AB45" r:id="rId347"/>
    <hyperlink ref="AB135" r:id="rId348" display="https://www.jivi.com.ar/ficha.php?id=1571"/>
    <hyperlink ref="AB233" r:id="rId349"/>
    <hyperlink ref="AB325" r:id="rId350" display="https://www.jivi.com.ar/ficha.php?id=1573"/>
    <hyperlink ref="AB624" r:id="rId351" display="https://www.jivi.com.ar/ficha.php?id=1294"/>
    <hyperlink ref="AB633" r:id="rId352" display="https://www.jivi.com.ar/ficha.php?id=1271"/>
    <hyperlink ref="AB632" r:id="rId353" display="https://www.jivi.com.ar/ficha.php?id=1296"/>
    <hyperlink ref="AB642" r:id="rId354" display="https://www.jivi.com.ar/ficha.php?id=1139"/>
    <hyperlink ref="AB629" r:id="rId355" display="https://www.jivi.com.ar/ficha.php?id=1249"/>
    <hyperlink ref="AB676" r:id="rId356" display="https://www.jivi.com.ar/ficha.php?id=1574"/>
    <hyperlink ref="AB631" r:id="rId357" display="https://www.jivi.com.ar/ficha.php?id=1576"/>
    <hyperlink ref="AB646" r:id="rId358" display="https://www.jivi.com.ar/ficha.php?id=1580"/>
    <hyperlink ref="AB647" r:id="rId359" display="https://www.jivi.com.ar/ficha.php?id=1581"/>
    <hyperlink ref="AB651" r:id="rId360" display="https://www.jivi.com.ar/ficha.php?id=1583"/>
    <hyperlink ref="AB652" r:id="rId361" display="https://www.jivi.com.ar/ficha.php?id=1584"/>
    <hyperlink ref="AB653" r:id="rId362" display="https://www.jivi.com.ar/ficha.php?id=1586"/>
    <hyperlink ref="AF18:AJ18" location="'Artículos Publicitarios'!A284" display="IR A CUADERNOS"/>
    <hyperlink ref="AB300" r:id="rId363" display="https://www.jivi.com.ar/ficha.php?id=1221"/>
    <hyperlink ref="AB583" r:id="rId364"/>
    <hyperlink ref="AB584" r:id="rId365" display="https://www.jivi.com.ar/ficha.php?id=1590"/>
    <hyperlink ref="AB585" r:id="rId366"/>
    <hyperlink ref="AB586" r:id="rId367" display="https://www.jivi.com.ar/ficha.php?id=1592"/>
    <hyperlink ref="AB661" r:id="rId368" display="https://www.jivi.com.ar/ficha.php?id=1593"/>
    <hyperlink ref="AB322" r:id="rId369" display="https://www.jivi.com.ar/ficha.php?id=1595"/>
    <hyperlink ref="AB465" r:id="rId370" display="https://www.jivi.com.ar/ficha.php?id=1596"/>
    <hyperlink ref="AB662" r:id="rId371" display="https://www.jivi.com.ar/ficha.php?id=1598"/>
    <hyperlink ref="AB664" r:id="rId372" display="https://www.jivi.com.ar/ficha.php?id=1602"/>
    <hyperlink ref="AB669" r:id="rId373" display="https://www.jivi.com.ar/ficha.php?id=1603"/>
    <hyperlink ref="AB59" r:id="rId374" display="00085-1N"/>
    <hyperlink ref="AB670" r:id="rId375" display="https://www.jivi.com.ar/ficha.php?id=1604"/>
    <hyperlink ref="AB671" r:id="rId376" display="https://www.jivi.com.ar/ficha.php?id=1606"/>
    <hyperlink ref="AB342" r:id="rId377" display="https://www.jivi.com.ar/ficha.php?id=1424"/>
    <hyperlink ref="AB200" r:id="rId378"/>
    <hyperlink ref="AB283" r:id="rId379" display="https://www.jivi.com.ar/ficha.php?id=1459"/>
    <hyperlink ref="AB282" r:id="rId380" display="https://www.jivi.com.ar/ficha.php?id=1608"/>
    <hyperlink ref="AB281" r:id="rId381" display="https://www.jivi.com.ar/ficha.php?id=1609"/>
    <hyperlink ref="AB301" r:id="rId382" display="https://www.jivi.com.ar/ficha.php?id=1274"/>
    <hyperlink ref="AB650" r:id="rId383" display="https://www.jivi.com.ar/ficha.php?id=1611"/>
    <hyperlink ref="AB649" r:id="rId384" display="https://www.jivi.com.ar/ficha.php?id=1612"/>
    <hyperlink ref="AB226" r:id="rId385" display="https://www.jivi.com.ar/ficha.php?id=1614"/>
    <hyperlink ref="AB221" r:id="rId386" display="https://www.jivi.com.ar/ficha.php?id=1452"/>
    <hyperlink ref="AB685" r:id="rId387" display="https://www.jivi.com.ar/ficha.php?id=1617"/>
    <hyperlink ref="AB686" r:id="rId388" display="https://www.jivi.com.ar/ficha.php?id=1618"/>
    <hyperlink ref="AB581" r:id="rId389"/>
    <hyperlink ref="AB582" r:id="rId390" display="https://www.jivi.com.ar/ficha.php?id=1620"/>
    <hyperlink ref="AB601" r:id="rId391" display="https://www.jivi.com.ar/ficha.php?id=1204"/>
    <hyperlink ref="AB602" r:id="rId392"/>
    <hyperlink ref="AB384" r:id="rId393"/>
    <hyperlink ref="AB567" r:id="rId394"/>
    <hyperlink ref="AB717" r:id="rId395"/>
    <hyperlink ref="AB772" r:id="rId396"/>
    <hyperlink ref="AB773" r:id="rId397"/>
    <hyperlink ref="AB774" r:id="rId398"/>
    <hyperlink ref="AB421" r:id="rId399" display="https://www.jivi.com.ar/ficha.php?id=1641"/>
    <hyperlink ref="AB756" r:id="rId400"/>
    <hyperlink ref="AB186" r:id="rId401" display="https://www.jivi.com.ar/ficha.php?id=1660"/>
    <hyperlink ref="AB98" r:id="rId402" display="https://www.jivi.com.ar/ficha.php?id=440"/>
    <hyperlink ref="AB766" r:id="rId403"/>
    <hyperlink ref="AB771" r:id="rId404"/>
    <hyperlink ref="AB587" r:id="rId405" display="https://www.jivi.com.ar/ficha.php?id=1684"/>
    <hyperlink ref="AB423" r:id="rId406" display="https://www.jivi.com.ar/ficha.php?id=1272"/>
    <hyperlink ref="AB422" r:id="rId407" display="https://www.jivi.com.ar/ficha.php?id=1687"/>
    <hyperlink ref="AB420" r:id="rId408" display="https://www.jivi.com.ar/ficha.php?id=1672"/>
    <hyperlink ref="AB656" r:id="rId409" display="https://www.jivi.com.ar/ficha.php?id=1690"/>
    <hyperlink ref="AB580" r:id="rId410" display="https://www.jivi.com.ar/ficha.php?id=1691"/>
    <hyperlink ref="AB593" r:id="rId411" display="https://www.jivi.com.ar/ficha.php?id=1438"/>
    <hyperlink ref="AB28" r:id="rId412" display="https://www.jivi.com.ar/ficha.php?id=36"/>
    <hyperlink ref="AB578" r:id="rId413"/>
    <hyperlink ref="AB579" r:id="rId414" display="https://www.jivi.com.ar/ficha.php?id=1698"/>
    <hyperlink ref="AB466" r:id="rId415" display="https://www.jivi.com.ar/ficha.php?id=1699"/>
    <hyperlink ref="AB569" r:id="rId416"/>
    <hyperlink ref="AB440" r:id="rId417" display="https://www.jivi.com.ar/ficha.php?id=1462"/>
    <hyperlink ref="AB277" r:id="rId418" display="https://www.jivi.com.ar/ficha.php?id=1531"/>
    <hyperlink ref="AB275" r:id="rId419" display="https://www.jivi.com.ar/ficha.php?id=1528"/>
    <hyperlink ref="AB492" r:id="rId420"/>
    <hyperlink ref="AB390" r:id="rId421" display="https://www.jivi.com.ar/ficha.php?id=977"/>
    <hyperlink ref="AB461" r:id="rId422" display="https://www.jivi.com.ar/ficha.php?id=1457"/>
    <hyperlink ref="AB460" r:id="rId423" display="https://www.jivi.com.ar/ficha.php?id=1456"/>
    <hyperlink ref="AB391" r:id="rId424" display="https://www.jivi.com.ar/ficha.php?id=1707"/>
    <hyperlink ref="AB392" r:id="rId425" display="https://www.jivi.com.ar/ficha.php?id=1708"/>
    <hyperlink ref="AB577" r:id="rId426" display="https://www.jivi.com.ar/ficha.php?id=1722"/>
    <hyperlink ref="AB14" r:id="rId427" display="https://www.jivi.com.ar/ficha.php?id=1723"/>
    <hyperlink ref="AB212" r:id="rId428"/>
    <hyperlink ref="AB208" r:id="rId429"/>
    <hyperlink ref="AB210" r:id="rId430"/>
    <hyperlink ref="AB209" r:id="rId431"/>
    <hyperlink ref="AB211" r:id="rId432"/>
    <hyperlink ref="AB207" r:id="rId433"/>
    <hyperlink ref="AB723" r:id="rId434"/>
    <hyperlink ref="AB725" r:id="rId435"/>
    <hyperlink ref="AB745" r:id="rId436"/>
    <hyperlink ref="AB677" r:id="rId437" display="https://www.jivi.com.ar/ficha.php?id=1575"/>
    <hyperlink ref="AB672" r:id="rId438" display="https://www.jivi.com.ar/ficha.php?id=1743"/>
    <hyperlink ref="AB673" r:id="rId439" display="https://www.jivi.com.ar/ficha.php?id=1744"/>
    <hyperlink ref="AB674" r:id="rId440" display="https://www.jivi.com.ar/ficha.php?id=1745"/>
    <hyperlink ref="AB643" r:id="rId441" display="https://www.jivi.com.ar/ficha.php?id=1746"/>
    <hyperlink ref="AB715" r:id="rId442"/>
    <hyperlink ref="AB575" r:id="rId443"/>
    <hyperlink ref="AB576" r:id="rId444" display="https://www.jivi.com.ar/ficha.php?id=1749"/>
    <hyperlink ref="AB627" r:id="rId445"/>
    <hyperlink ref="AB769" r:id="rId446"/>
    <hyperlink ref="AB464" r:id="rId447"/>
    <hyperlink ref="AB333" r:id="rId448" display="https://www.jivi.com.ar/ficha.php?id=1461"/>
    <hyperlink ref="AB657" r:id="rId449" display="https://www.jivi.com.ar/ficha.php?id=1776"/>
    <hyperlink ref="AB133" r:id="rId450" display="https://www.jivi.com.ar/ficha.php?id=1310"/>
    <hyperlink ref="AB536" r:id="rId451"/>
    <hyperlink ref="AB63" r:id="rId452" display="https://www.jivi.com.ar/ficha.php?id=76"/>
    <hyperlink ref="AB62" r:id="rId453"/>
    <hyperlink ref="AB60" r:id="rId454"/>
    <hyperlink ref="AB270" r:id="rId455" display="https://www.jivi.com.ar/ficha.php?id=1709"/>
    <hyperlink ref="AB687" r:id="rId456" display="https://www.jivi.com.ar/ficha.php?id=1710"/>
    <hyperlink ref="AB696" r:id="rId457"/>
    <hyperlink ref="AB700" r:id="rId458"/>
    <hyperlink ref="AB702" r:id="rId459"/>
    <hyperlink ref="AB634" r:id="rId460" display="https://www.jivi.com.ar/ficha.php?id=1293"/>
    <hyperlink ref="AB299" r:id="rId461" display="https://www.jivi.com.ar/ficha.php?id=1265"/>
    <hyperlink ref="AB288" r:id="rId462" display="https://www.jivi.com.ar/ficha.php?id=1487"/>
    <hyperlink ref="AB124" r:id="rId463"/>
    <hyperlink ref="AB129" r:id="rId464"/>
    <hyperlink ref="AB125" r:id="rId465"/>
    <hyperlink ref="AB130" r:id="rId466"/>
    <hyperlink ref="AB338" r:id="rId467" display="https://www.jivi.com.ar/ficha.php?id=1447"/>
    <hyperlink ref="AB406" r:id="rId468" display="https://www.jivi.com.ar/ficha.php?id=1087"/>
    <hyperlink ref="AB538" r:id="rId469"/>
    <hyperlink ref="AB137" r:id="rId470" display="https://www.jivi.com.ar/ficha.php?id=1451"/>
    <hyperlink ref="AB292" r:id="rId471"/>
    <hyperlink ref="AB400" r:id="rId472" display="https://www.jivi.com.ar/ficha.php?id=1805"/>
    <hyperlink ref="AB361" r:id="rId473" display="https://www.jivi.com.ar/ficha.php?id=1342"/>
    <hyperlink ref="AB407" r:id="rId474" display="https://www.jivi.com.ar/ficha.php?id=1070"/>
    <hyperlink ref="AB410" r:id="rId475"/>
    <hyperlink ref="AB471" r:id="rId476" display="https://www.jivi.com.ar/ficha.php?id=1597"/>
    <hyperlink ref="AB412" r:id="rId477" display="https://www.jivi.com.ar/ficha.php?id=1131"/>
    <hyperlink ref="AB321" r:id="rId478" display="https://www.jivi.com.ar/ficha.php?id=1774"/>
    <hyperlink ref="AB450" r:id="rId479" display="https://www.jivi.com.ar/ficha.php?id=1820"/>
    <hyperlink ref="AB274" r:id="rId480" display="https://www.jivi.com.ar/ficha.php?id=1544"/>
    <hyperlink ref="AB279" r:id="rId481" display="https://www.jivi.com.ar/ficha.php?id=1533"/>
    <hyperlink ref="AF10:AH10" location="'Artículos Publicitarios'!A101" display="IR A PAGINA 2"/>
    <hyperlink ref="AB658" r:id="rId482" display="https://www.jivi.com.ar/ficha.php?id=1556"/>
    <hyperlink ref="AB675" r:id="rId483" display="https://www.jivi.com.ar/ficha.php?id=1825"/>
    <hyperlink ref="AB306" r:id="rId484" display="https://www.jivi.com.ar/ficha.php?id=1491"/>
    <hyperlink ref="AB214" r:id="rId485" display="https://www.jivi.com.ar/ficha.php?id=149"/>
    <hyperlink ref="AB323" r:id="rId486" display="https://www.jivi.com.ar/ficha.php?id=1594"/>
    <hyperlink ref="AB462" r:id="rId487"/>
    <hyperlink ref="AB222" r:id="rId488" display="https://www.jivi.com.ar/ficha.php?id=1799"/>
    <hyperlink ref="AB764" r:id="rId489"/>
    <hyperlink ref="AB765" r:id="rId490"/>
    <hyperlink ref="AB302" r:id="rId491" display="https://www.jivi.com.ar/ficha.php?id=1077"/>
    <hyperlink ref="AB383" r:id="rId492"/>
    <hyperlink ref="AB684" r:id="rId493" display="https://www.jivi.com.ar/ficha.php?id=1616"/>
    <hyperlink ref="AB284" r:id="rId494" display="https://www.jivi.com.ar/ficha.php?id=1520"/>
    <hyperlink ref="AB293" r:id="rId495"/>
    <hyperlink ref="AB340" r:id="rId496" display="https://www.jivi.com.ar/ficha.php?id=1443"/>
    <hyperlink ref="AB136" r:id="rId497" display="https://www.jivi.com.ar/ficha.php?id=1055"/>
    <hyperlink ref="AB724" r:id="rId498"/>
    <hyperlink ref="AB276" r:id="rId499" display="https://www.jivi.com.ar/ficha.php?id=1530"/>
    <hyperlink ref="AB435" r:id="rId500" display="https://www.jivi.com.ar/ficha.php?id=1379"/>
    <hyperlink ref="AB434" r:id="rId501" display="https://www.jivi.com.ar/ficha.php?id=1380"/>
    <hyperlink ref="AB401" r:id="rId502" display="https://www.jivi.com.ar/ficha.php?id=1840"/>
    <hyperlink ref="AB620" r:id="rId503" display="https://www.jivi.com.ar/ficha.php?id=1371"/>
    <hyperlink ref="AB701" r:id="rId504"/>
    <hyperlink ref="AB645" r:id="rId505" display="https://www.jivi.com.ar/ficha.php?id=1579"/>
    <hyperlink ref="AB623" r:id="rId506" display="https://www.jivi.com.ar/ficha.php?id=1916"/>
    <hyperlink ref="AB622" r:id="rId507" display="https://www.jivi.com.ar/ficha.php?id=1912"/>
    <hyperlink ref="AF617:AH617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47" r:id="rId508" display="https://www.jivi.com.ar/ficha.php?id=1386"/>
    <hyperlink ref="AB419" r:id="rId509" display="https://www.jivi.com.ar/ficha.php?id=1566"/>
    <hyperlink ref="AB271" r:id="rId510" display="https://www.jivi.com.ar/ficha.php?id=1998"/>
    <hyperlink ref="AB307" r:id="rId511" display="https://www.jivi.com.ar/ficha.php?id=1411"/>
    <hyperlink ref="AB663" r:id="rId512" display="https://www.jivi.com.ar/ficha.php?id=1601"/>
    <hyperlink ref="AB644" r:id="rId513" display="https://www.jivi.com.ar/ficha.php?id=1577"/>
    <hyperlink ref="AB635" r:id="rId514" display="https://www.jivi.com.ar/ficha.php?id=1245"/>
    <hyperlink ref="AB668" r:id="rId515" display="https://www.jivi.com.ar/ficha.php?id=2003"/>
    <hyperlink ref="AB280" r:id="rId516" display="https://www.jivi.com.ar/ficha.php?id=2007"/>
    <hyperlink ref="AB520" r:id="rId517"/>
    <hyperlink ref="AB453" r:id="rId518" display="https://www.jivi.com.ar/ficha.php?id=1720"/>
    <hyperlink ref="AB543" r:id="rId519"/>
    <hyperlink ref="AB273" r:id="rId520" display="https://www.jivi.com.ar/ficha.php?id=2011"/>
    <hyperlink ref="AB405" r:id="rId521"/>
    <hyperlink ref="AB628" r:id="rId522" display="https://www.jivi.com.ar/ficha.php?id=2014"/>
    <hyperlink ref="AB452" r:id="rId523" display="https://www.jivi.com.ar/ficha.php?id=2017"/>
    <hyperlink ref="AB467" r:id="rId524" display="https://www.jivi.com.ar/ficha.php?id=2018"/>
    <hyperlink ref="AB294" r:id="rId525" display="https://www.jivi.com.ar/ficha.php?id=1339"/>
    <hyperlink ref="AB320" r:id="rId526" display="https://www.jivi.com.ar/ficha.php?id=2026"/>
    <hyperlink ref="AB258" r:id="rId527" display="https://www.jivi.com.ar/ficha.php?id=335"/>
    <hyperlink ref="AB521" r:id="rId528"/>
    <hyperlink ref="AB522" r:id="rId529"/>
    <hyperlink ref="AB688" r:id="rId530" display="https://www.jivi.com.ar/ficha.php?id=2040"/>
    <hyperlink ref="AB760" r:id="rId531" display="https://www.jivi.com.ar/ficha.php?id=1662"/>
    <hyperlink ref="AB744" r:id="rId532" display="https://www.jivi.com.ar/ficha.php?id=2042"/>
    <hyperlink ref="AB554" r:id="rId533"/>
    <hyperlink ref="AB560" r:id="rId534"/>
    <hyperlink ref="AB563" r:id="rId535"/>
    <hyperlink ref="AF478:AH478" location="'Artículos Publicitarios'!A3" display="IR A PAGINA 1"/>
    <hyperlink ref="AB459" r:id="rId536" display="https://www.jivi.com.ar/ficha.php?id=1390"/>
    <hyperlink ref="AB428" r:id="rId537" display="https://www.jivi.com.ar/ficha.php?id=1280"/>
    <hyperlink ref="AB427" r:id="rId538" display="https://www.jivi.com.ar/ficha.php?id=1278"/>
    <hyperlink ref="AB296" r:id="rId539" display="https://www.jivi.com.ar/ficha.php?id=1256"/>
    <hyperlink ref="AB341" r:id="rId540" display="https://www.jivi.com.ar/ficha.php?id=1410"/>
    <hyperlink ref="AB347" r:id="rId541" display="https://www.jivi.com.ar/articulos.php?search=1066"/>
    <hyperlink ref="AB188" r:id="rId542" display="https://www.jivi.com.ar/ficha.php?id=1416"/>
    <hyperlink ref="AB667" r:id="rId543" display="https://www.jivi.com.ar/ficha.php?id=2051"/>
    <hyperlink ref="AB180" r:id="rId544" display="https://www.jivi.com.ar/ficha.php?id=2052"/>
    <hyperlink ref="AB449" r:id="rId545"/>
    <hyperlink ref="AB285" r:id="rId546" display="https://www.jivi.com.ar/ficha.php?id=2058"/>
    <hyperlink ref="AB268" r:id="rId547" display="https://www.jivi.com.ar/ficha.php?id=971"/>
    <hyperlink ref="AB267" r:id="rId548" display="https://www.jivi.com.ar/ficha.php?id=2059"/>
    <hyperlink ref="AB759" r:id="rId549" display="https://www.jivi.com.ar/ficha.php?id=2060"/>
    <hyperlink ref="AB743" r:id="rId550" display="https://www.jivi.com.ar/ficha.php?id=2061"/>
    <hyperlink ref="AB754" r:id="rId551" display="https://www.jivi.com.ar/ficha.php?id=2062"/>
    <hyperlink ref="AB182" r:id="rId552" display="https://www.jivi.com.ar/ficha.php?id=2337"/>
    <hyperlink ref="AB217" r:id="rId553" display="https://www.jivi.com.ar/ficha.php?id=1391"/>
    <hyperlink ref="AB218" r:id="rId554" display="https://www.jivi.com.ar/ficha.php?id=2066"/>
    <hyperlink ref="AB468" r:id="rId555" display="https://www.jivi.com.ar/ficha.php?id=2067"/>
    <hyperlink ref="AB469" r:id="rId556" display="https://www.jivi.com.ar/ficha.php?id=2068"/>
    <hyperlink ref="AB626" r:id="rId557" display="https://www.jivi.com.ar/ficha.php?id=1295"/>
    <hyperlink ref="AB690" r:id="rId558" display="https://www.jivi.com.ar/ficha.php?id=2069"/>
    <hyperlink ref="AB666" r:id="rId559" display="https://www.jivi.com.ar/ficha.php?id=2070"/>
    <hyperlink ref="AB621" r:id="rId560" display="https://www.jivi.com.ar/ficha.php?id=2083"/>
    <hyperlink ref="AB185" r:id="rId561" display="https://www.jivi.com.ar/ficha.php?id=1266"/>
    <hyperlink ref="AB190" r:id="rId562" display="https://www.jivi.com.ar/ficha.php?id=2084"/>
    <hyperlink ref="AB192" r:id="rId563" display="https://www.jivi.com.ar/ficha.php?id=1001"/>
    <hyperlink ref="AB101" r:id="rId564" display="https://www.jivi.com.ar/ficha.php?id=333"/>
    <hyperlink ref="AB470" r:id="rId565" display="https://www.jivi.com.ar/ficha.php?id=1512"/>
    <hyperlink ref="AB404" r:id="rId566" display="https://www.jivi.com.ar/ficha.php?id=1299"/>
    <hyperlink ref="AB472" r:id="rId567" display="https://www.jivi.com.ar/ficha.php?id=2101"/>
    <hyperlink ref="AB564" r:id="rId568"/>
    <hyperlink ref="AB565" r:id="rId569"/>
    <hyperlink ref="AB187" r:id="rId570" display="https://www.jivi.com.ar/ficha.php?id=2142"/>
    <hyperlink ref="AB286" r:id="rId571" display="https://www.jivi.com.ar/ficha.php?id=2147"/>
    <hyperlink ref="AB364" r:id="rId572" display="https://www.jivi.com.ar/ficha.php?id=1403"/>
    <hyperlink ref="AF17:AJ17" location="'Artículos Publicitarios'!A328" display="IR A BOTELLAS Y JARROS"/>
    <hyperlink ref="AB343" r:id="rId573" display="https://www.jivi.com.ar/ficha.php?id=2178"/>
    <hyperlink ref="AB11" r:id="rId574" display="https://www.jivi.com.ar/ficha.php?id=2105"/>
    <hyperlink ref="AB314" r:id="rId575" display="https://www.jivi.com.ar/ficha.php?id=2224"/>
    <hyperlink ref="AB425" r:id="rId576" display="https://www.jivi.com.ar/ficha.php?id=1279"/>
    <hyperlink ref="AB528" r:id="rId577"/>
    <hyperlink ref="AB665" r:id="rId578" display="https://www.jivi.com.ar/ficha.php?id=2231"/>
    <hyperlink ref="AB641" r:id="rId579" display="https://www.jivi.com.ar/ficha.php?id=2230"/>
    <hyperlink ref="AB589" r:id="rId580" display="https://www.jivi.com.ar/ficha.php?id=1435"/>
    <hyperlink ref="AB313" r:id="rId581" display="https://www.jivi.com.ar/ficha.php?id=2225"/>
    <hyperlink ref="AB61" r:id="rId582"/>
    <hyperlink ref="AB431" r:id="rId583"/>
    <hyperlink ref="AB15" r:id="rId584" display="https://www.jivi.com.ar/ficha.php?id=2222"/>
    <hyperlink ref="AB244" r:id="rId585" display="https://www.jivi.com.ar/ficha.php?id=2226"/>
    <hyperlink ref="AB697" r:id="rId586"/>
    <hyperlink ref="AB118" r:id="rId587"/>
    <hyperlink ref="AB119" r:id="rId588"/>
    <hyperlink ref="AB120" r:id="rId589"/>
    <hyperlink ref="AB108" r:id="rId590" display="https://www.jivi.com.ar/ficha.php?id=2208"/>
    <hyperlink ref="AB109" r:id="rId591"/>
    <hyperlink ref="AB110" r:id="rId592" display="https://www.jivi.com.ar/ficha.php?id=2210"/>
    <hyperlink ref="AB111" r:id="rId593"/>
    <hyperlink ref="AB112" r:id="rId594" display="https://www.jivi.com.ar/ficha.php?id=2212"/>
    <hyperlink ref="AB113" r:id="rId595"/>
    <hyperlink ref="AB114" r:id="rId596" display="https://www.jivi.com.ar/ficha.php?id=2214"/>
    <hyperlink ref="AB116" r:id="rId597" display="https://www.jivi.com.ar/ficha.php?id=2215"/>
    <hyperlink ref="AB117" r:id="rId598"/>
    <hyperlink ref="AB266" r:id="rId599" display="https://www.jivi.com.ar/ficha.php?id=2233"/>
    <hyperlink ref="AB681" r:id="rId600" display="https://www.jivi.com.ar/ficha.php?id=2234"/>
    <hyperlink ref="AB16" r:id="rId601" display="https://www.jivi.com.ar/ficha.php?id=1251"/>
    <hyperlink ref="AB229" r:id="rId602" display="https://www.jivi.com.ar/ficha.php?id=2266"/>
    <hyperlink ref="AB508" r:id="rId603"/>
    <hyperlink ref="AB510" r:id="rId604"/>
    <hyperlink ref="AB516" r:id="rId605"/>
    <hyperlink ref="AB351" r:id="rId606" display="https://www.jivi.com.ar/ficha.php?id=2272"/>
    <hyperlink ref="AB312" r:id="rId607" display="https://www.jivi.com.ar/ficha.php?id=2273"/>
    <hyperlink ref="AB346" r:id="rId608" display="https://www.jivi.com.ar/ficha.php?id=2274"/>
    <hyperlink ref="AB630" r:id="rId609" display="https://www.jivi.com.ar/ficha.php?id=1140"/>
    <hyperlink ref="AB512" r:id="rId610"/>
    <hyperlink ref="AB519" r:id="rId611"/>
    <hyperlink ref="AB509" r:id="rId612"/>
    <hyperlink ref="AB505" r:id="rId613"/>
    <hyperlink ref="AB761" r:id="rId614" display="https://www.jivi.com.ar/ficha.php?id=2278"/>
    <hyperlink ref="AB758" r:id="rId615" display="https://www.jivi.com.ar/ficha.php?id=2279"/>
    <hyperlink ref="AB357" r:id="rId616" display="https://www.jivi.com.ar/ficha.php?id=1445"/>
    <hyperlink ref="AB310" r:id="rId617" display="https://www.jivi.com.ar/ficha.php?id=2286"/>
    <hyperlink ref="AB348" r:id="rId618" display="https://www.jivi.com.ar/ficha.php?id=2287"/>
    <hyperlink ref="AB349" r:id="rId619" display="https://www.jivi.com.ar/ficha.php?id=2288"/>
    <hyperlink ref="AB689" r:id="rId620" display="https://www.jivi.com.ar/ficha.php?id=2289"/>
    <hyperlink ref="AB344" r:id="rId621" display="https://www.jivi.com.ar/ficha.php?id=2290"/>
    <hyperlink ref="AB417" r:id="rId622"/>
    <hyperlink ref="AB179" r:id="rId623" display="https://www.jivi.com.ar/ficha.php?id=2055"/>
    <hyperlink ref="AB242" r:id="rId624"/>
    <hyperlink ref="AB311" r:id="rId625" display="https://www.jivi.com.ar/ficha.php?id=2294"/>
    <hyperlink ref="AB309" r:id="rId626" display="https://www.jivi.com.ar/ficha.php?id=2295"/>
    <hyperlink ref="AB678" r:id="rId627" display="https://www.jivi.com.ar/ficha.php?id=2296"/>
    <hyperlink ref="AB679" r:id="rId628" display="https://www.jivi.com.ar/ficha.php?id=2297"/>
    <hyperlink ref="AB680" r:id="rId629" display="https://www.jivi.com.ar/ficha.php?id=2298"/>
    <hyperlink ref="AB682" r:id="rId630" display="https://www.jivi.com.ar/ficha.php?id=2299"/>
    <hyperlink ref="AB683" r:id="rId631" display="https://www.jivi.com.ar/ficha.php?id=2300"/>
    <hyperlink ref="AB625" r:id="rId632"/>
    <hyperlink ref="AF639:AH639" location="'Artículos Publicitarios'!A3" display="IR A PAGINA 1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497" display="IR A PELOTITAS ANTIESTRES"/>
    <hyperlink ref="AB698" r:id="rId633"/>
    <hyperlink ref="AB228" r:id="rId634" display="https://www.jivi.com.ar/ficha.php?id=1319"/>
    <hyperlink ref="AB474" r:id="rId635" display="https://www.jivi.com.ar/ficha.php?id=2306"/>
    <hyperlink ref="AB480" r:id="rId636" display="https://www.jivi.com.ar/ficha.php?id=2307"/>
    <hyperlink ref="AB481" r:id="rId637" display="https://www.jivi.com.ar/ficha.php?id=2308"/>
    <hyperlink ref="AB482" r:id="rId638" display="https://www.jivi.com.ar/ficha.php?id=2309"/>
    <hyperlink ref="AB483" r:id="rId639" display="https://www.jivi.com.ar/ficha.php?id=2312"/>
    <hyperlink ref="AB484" r:id="rId640" display="https://www.jivi.com.ar/ficha.php?id=2310"/>
    <hyperlink ref="AB485" r:id="rId641" display="https://www.jivi.com.ar/ficha.php?id=2313"/>
    <hyperlink ref="AB64" r:id="rId642"/>
    <hyperlink ref="AB359" r:id="rId643" display="https://jivi.com.ar/ficha.php?id=648"/>
    <hyperlink ref="AB24" r:id="rId644" display="https://www.jivi.com.ar/ficha.php?id=2327"/>
    <hyperlink ref="AB115" r:id="rId645"/>
    <hyperlink ref="AB183" r:id="rId646" display="https://www.jivi.com.ar/ficha.php?id=1369"/>
    <hyperlink ref="AB574" r:id="rId647" display="https://www.jivi.com.ar/ficha.php?id=2338"/>
    <hyperlink ref="AB225" r:id="rId648" display="https://www.jivi.com.ar/ficha.php?id=2341"/>
    <hyperlink ref="AB486" r:id="rId649" display="https://www.jivi.com.ar/ficha.php?id=2343"/>
    <hyperlink ref="AB488" r:id="rId650" display="https://www.jivi.com.ar/ficha.php?id=2344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506" display="IR A PULSERAS"/>
    <hyperlink ref="AB223" r:id="rId651" display="https://www.jivi.com.ar/ficha.php?id=2342"/>
    <hyperlink ref="AB224" r:id="rId652" display="https://www.jivi.com.ar/ficha.php?id=2346"/>
    <hyperlink ref="AB497" r:id="rId653" display="https://www.jivi.com.ar/ficha.php?id=2350"/>
    <hyperlink ref="AB490" r:id="rId654" display="https://www.jivi.com.ar/ficha.php?id=2345"/>
    <hyperlink ref="AB252" r:id="rId655" display="https://www.jivi.com.ar/ficha.php?id=150"/>
    <hyperlink ref="AF721:AH721" location="'Artículos Publicitarios'!A3" display="IR A PAGINA 1"/>
    <hyperlink ref="AB463" r:id="rId656" display="https://www.jivi.com.ar/ficha.php?id=1466"/>
    <hyperlink ref="AB167" r:id="rId657" display="https://www.jivi.com.ar/ficha.php?id=1261"/>
    <hyperlink ref="AB57" r:id="rId658" display="https://www.jivi.com.ar/ficha.php?id=236"/>
    <hyperlink ref="AB648" r:id="rId659" display="https://www.jivi.com.ar/ficha.php?id=1613"/>
    <hyperlink ref="AB178" r:id="rId660" display="https://www.jivi.com.ar/ficha.php?id=1343"/>
    <hyperlink ref="AB184" r:id="rId661" display="https://www.jivi.com.ar/ficha.php?id=2085"/>
    <hyperlink ref="AB506" r:id="rId662"/>
    <hyperlink ref="AB503" r:id="rId663"/>
    <hyperlink ref="AB249" r:id="rId664" display="https://www.jivi.com.ar/ficha.php?id=2293"/>
    <hyperlink ref="AB604" r:id="rId665"/>
    <hyperlink ref="AB659" r:id="rId666" display="https://www.jivi.com.ar/ficha.php?id=2000"/>
    <hyperlink ref="AB606" r:id="rId667" display="https://www.jivi.com.ar/ficha.php?id=910"/>
    <hyperlink ref="AB605" r:id="rId668"/>
    <hyperlink ref="AB424" r:id="rId669" display="https://www.jivi.com.ar/ficha.php?id=3003"/>
    <hyperlink ref="AB600" r:id="rId670" display="https://www.jivi.com.ar/ficha.php?id=1325"/>
    <hyperlink ref="AB607" r:id="rId671"/>
    <hyperlink ref="AB598" r:id="rId672" display="https://www.jivi.com.ar/ficha.php?id=3009"/>
    <hyperlink ref="AB599" r:id="rId673"/>
    <hyperlink ref="AB595" r:id="rId674" display="https://www.jivi.com.ar/ficha.php?id=1468"/>
    <hyperlink ref="AB334" r:id="rId675" display="https://www.jivi.com.ar/ficha.php?id=1775"/>
    <hyperlink ref="AB295" r:id="rId676" display="https://www.jivi.com.ar/ficha.php?id=1340"/>
    <hyperlink ref="AB305" r:id="rId677" display="https://www.jivi.com.ar/ficha.php?id=1588"/>
    <hyperlink ref="AB655" r:id="rId678" display="https://www.jivi.com.ar/ficha.php?id=1587"/>
    <hyperlink ref="AB160" r:id="rId679" display="https://www.jivi.com.ar/ficha.php?id=1398"/>
    <hyperlink ref="AB654" r:id="rId680" display="https://www.jivi.com.ar/ficha.php?id=1396"/>
    <hyperlink ref="AB191" r:id="rId681" display="https://www.jivi.com.ar/ficha.php?id=3129"/>
    <hyperlink ref="AB177" r:id="rId682" display="https://www.jivi.com.ar/ficha.php?id=3137"/>
    <hyperlink ref="AB168" r:id="rId683" display="https://www.jivi.com.ar/ficha.php?id=3139"/>
    <hyperlink ref="AB169" r:id="rId684" display="https://www.jivi.com.ar/ficha.php?id=3170"/>
    <hyperlink ref="AB170" r:id="rId685" display="https://www.jivi.com.ar/ficha.php?id=3172"/>
    <hyperlink ref="AB171" r:id="rId686" display="https://www.jivi.com.ar/ficha.php?id=3173"/>
    <hyperlink ref="AB172" r:id="rId687" display="https://www.jivi.com.ar/ficha.php?id=3176"/>
    <hyperlink ref="AB511" r:id="rId688"/>
    <hyperlink ref="AB513" r:id="rId689"/>
    <hyperlink ref="AB514" r:id="rId690"/>
    <hyperlink ref="AB518" r:id="rId691"/>
    <hyperlink ref="AB517" r:id="rId692"/>
    <hyperlink ref="AB515" r:id="rId693"/>
    <hyperlink ref="AB504" r:id="rId694"/>
    <hyperlink ref="AB197" r:id="rId695"/>
    <hyperlink ref="AB201" r:id="rId696"/>
    <hyperlink ref="AB360" r:id="rId697" display="https://www.jivi.com.ar/ficha.php?id=909"/>
    <hyperlink ref="AB358" r:id="rId698" display="https://www.jivi.com.ar/ficha.php?id=875"/>
    <hyperlink ref="AF558:AH558" location="'Artículos Publicitarios'!A3" display="IR A PAGINA 1"/>
    <hyperlink ref="AB550" r:id="rId699"/>
    <hyperlink ref="AB220" r:id="rId700" display="https://www.jivi.com.ar/ficha.php?id=3188"/>
    <hyperlink ref="AB193" r:id="rId701"/>
    <hyperlink ref="AB261" r:id="rId702" display="https://www.jivi.com.ar/ficha.php?id=3204"/>
    <hyperlink ref="AB262" r:id="rId703" display="https://www.jivi.com.ar/ficha.php?id=3205"/>
    <hyperlink ref="AB263" r:id="rId704" display="https://www.jivi.com.ar/ficha.php?id=3206"/>
    <hyperlink ref="AB264" r:id="rId705" display="https://www.jivi.com.ar/ficha.php?id=3207"/>
    <hyperlink ref="AB755" r:id="rId706" display="https://www.jivi.com.ar/ficha.php?id=2356"/>
    <hyperlink ref="AB619" r:id="rId707" display="https://www.jivi.com.ar/ficha.php?id=1370"/>
  </hyperlinks>
  <pageMargins left="0.27559055118110237" right="0.11811023622047245" top="0.19685039370078741" bottom="0.15748031496062992" header="0.11811023622047245" footer="0.15748031496062992"/>
  <pageSetup paperSize="5" orientation="portrait" copies="5" r:id="rId708"/>
  <headerFooter alignWithMargins="0"/>
  <cellWatches>
    <cellWatch r="X8"/>
  </cellWatches>
  <ignoredErrors>
    <ignoredError sqref="AB715 AB762:AB763 AB756 AB744 AB745 AB757" numberStoredAsText="1"/>
    <ignoredError sqref="X710 C25:E25 A219:E219 A102:E103 H395:Q395 C26:E26 G303 G315:W315 U29 S37:S38 S34 U34 U37:U38 S40 U40 S46 U46 F555:T555 G386:G388 V91:W92 F81:I88 F90:I90 F89:I89 Q104 I58 U104 S104 J80:J90 B298:E298 H385:J388 G80:I80 H93:W93 X234 X11 O106:O107 S106:S107 Q106:Q107 U106:U107 G297:G298 S29 H29:M29 G393:J394 O29 Q29 G289:G292 G381:K382 K384:K388 Q389 R389:W389 W207 N94:W94 G281:G282 G453:G456 G459 G308 G181 F471:G471 G372 G472 W63 W55 H94:I94 G553:G554 G623 G621:H621 I621:U621 I629 G620:I620 L629:U629 I716:V717 F744:G744 H771:I774 F769:G770 G50:V50 G635:I635 G745 G699:V699 G696:V696 I697:V697 H60:I60 I61 G363 G352 F350:G350 H626:H629 N630:U630 G760 G761 G757 K620:U620 I626:U628 I624 K624:U624 H631:U634 K635:U635 W313 G312 I374:K378 G94:G97 G269:G275 F425:I425 I622:K623 N623:U623 G771:G774 H623:H624 G474:M474 N474:V474 N625:U625 K679:U679 J698:V698 G701:V702 G700 I700:V700 G704:V706 G703 I703:V703 H753:K753 G339 F526:G526 G522:V522 G752:H752 H67:V68 H690:U690 G99:G103 W96 H223:W225 F228 W231 W309 G420:I423 H475:V475 X520:AA520 G523:M523 G524:M524 G525:M525 O523 Q523 S523 U523 G527:I528 J526:V528 N622:Q622 G676:U677 F254:G254 I494:T496 H665:U665 K678 N678:U678 L707:V707 I414 J493:T493 N654:U655 H680:U689 G359 F482:V490 H644:U653 H726:V728 K379:K380 G443:G448 H433:I446 J10:V12 W364:W365 K390:K394 L374:V388 G389:P389 L390:V394 J403:V446 W456 W451 H447:V473 H62:I66 I55:I56 G69:V69 W52 G51:I54 J51:V66 W148:W151 H148:V153 H95:V103 K94:M94 H161:S161 W234 W221 H168:V194 L206:V216 G217:V222 G213:K216 G206:K206 G207:G212 H207:K207 H208:K212 I205:M205 I202:M202 I203:M203 I204:M204 G202:H205 G196:V201 N202:V205 F230:G233 H231:M231 H232:S233 G227:I227 G226:V226 G228:V229 H230:V230 F234:S234 T231:V234 N231:R231 H242:V247 L227:W227 H248:W249 H252:W255 H250:W251 H257:W260 H261:V279 H281:V294 G280:V280 I295:W295 H296:V314 W358 I325:V360 H361:V373 G492:V492 I498:I501 J498:V504 G521 H505:W505 W520:W521 W509:W514 W518 H506:V521 F154:W154 H160:V160 H132:V138 H19:W28 H17:H18 H13:W16 I17:W18 H256:V256 G535:V538 H539:V554 G754:K754 H755:K755 U566 S566 Q566 O566 M566 K566 H569:I569 H563:I563 H562:I562 I566 H564:V565 H567:V568 H566 J566 J562:V562 J563:V563 J569:V569 L566 N566 P566 R566 T566 V566 G622:H622 U575 S575 Q575 O575 M575 K575 U574 S574 Q574 O574 M574 K574 I574 I575 H574 H576:V613 H575 J575 J574 L574 N574 P574 R574 T574 V574 L575 N575 P575 R575 T575 V575 W630:Y630 V620:V635 H643:U643 H656:U664 W654:W655 H667:U675 H666:U666 W690 V669:V691 V643:V662 V666:V668 V665 V663:V664 I715:L715 H716:H717 H715 M715:N715 H747:K750 I743:K743 I744:K744 I745:K745 H743:H745 I752:K752 G759 H739:V742 H729:N729 P715:W715 O715 H730:N730 H731:N731 H732:N732 H733:N733 H734:N734 H735:N735 H736:N736 H737:N738 O736 O735 O734 O733 O732 O731 O730 U729 S729 O729:Q729 O737:V738 P736:V736 R729 T729 V729 P730:V730 P731:V731 P732:V732 P733:V733 P734:V734 P735:V735 H746:K746 G756 L746:M746 O743 L752:M752 L745:V745 L744:M744 L743:M743 L747:V750 L755:V755 L754:V754 L753:M753 N746:V746 N753:V753 L751:V751 N743 N744:V744 N752:V752 P743:V743 K769 K768 U767 S767 Q767 O767 M767:N767 I767:K767 N759:V759 N756:V756 N758:V758 N760:V760 L758:M758 L757:V757 L759:M759 L760:M760 L756:M756 H756:K756 H758:H760 H762:H767 H761 I761:W761 I768 I769 I760:K760 I759:K759 H757:K757 I758:K758 I762:V766 W756 L767 W762:W766 W758 W757 W759 W760 H769 J769 H768 J768 P767 R767 T767 V767:W767 L768:W768 L769:W769 H770:I770 S770 Q770 O770 M770 K771:K774 K770 J771:J774 J770 L770 L771:T774 N770 P770 R770 T770 P619:W619 M241:V241 H320:V324 I400:V402 L480:V481 H560:V561 G641:V642 H725:V725 G723:V724 G725 G491:V491" formula="1"/>
    <ignoredError sqref="C160:E160 G160" evalError="1"/>
  </ignoredErrors>
  <drawing r:id="rId709"/>
  <legacyDrawing r:id="rId7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2025-12-02T17:17:55Z</cp:lastPrinted>
  <dcterms:created xsi:type="dcterms:W3CDTF">2003-01-03T20:20:32Z</dcterms:created>
  <dcterms:modified xsi:type="dcterms:W3CDTF">2025-12-02T18:08:21Z</dcterms:modified>
</cp:coreProperties>
</file>